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3D2270E1-5A3E-46A2-91F8-CB1B5FEA747C}" xr6:coauthVersionLast="47" xr6:coauthVersionMax="47" xr10:uidLastSave="{00000000-0000-0000-0000-000000000000}"/>
  <bookViews>
    <workbookView xWindow="-28920" yWindow="-120" windowWidth="29040" windowHeight="15720" xr2:uid="{E2623245-2143-4B81-998C-D74458F27A66}"/>
  </bookViews>
  <sheets>
    <sheet name="Matrice SWOT" sheetId="1" r:id="rId1"/>
    <sheet name="Factori" sheetId="2" r:id="rId2"/>
    <sheet name="Competitori" sheetId="3" r:id="rId3"/>
    <sheet name="Strategii și acțiuni" sheetId="4" r:id="rId4"/>
    <sheet name="Setări" sheetId="5" r:id="rId5"/>
  </sheets>
  <definedNames>
    <definedName name="_xlnm.Print_Area" localSheetId="0">'Matrice SWOT'!$A$1:$N$30</definedName>
    <definedName name="DataA">Setări!$C$6</definedName>
    <definedName name="Echipa">Setări!$C$7</definedName>
    <definedName name="Firma">Setări!$C$4</definedName>
    <definedName name="ListaNota">Setări!$H$5:$H$9</definedName>
    <definedName name="ListaStatus">Setări!$G$5:$G$8</definedName>
    <definedName name="ListaStrat">Setări!$F$5:$F$8</definedName>
    <definedName name="ListaTip">Setări!$E$5:$E$8</definedName>
    <definedName name="PragM">Setări!$C$9</definedName>
    <definedName name="PragR">Setări!$C$8</definedName>
    <definedName name="Scop">Setări!$C$5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N30" i="1" l="1"/>
  <c r="L30" i="1"/>
  <c r="K30" i="1"/>
  <c r="I30" i="1"/>
  <c r="C30" i="1"/>
  <c r="B30" i="1"/>
  <c r="N29" i="1"/>
  <c r="L29" i="1"/>
  <c r="K29" i="1"/>
  <c r="I29" i="1"/>
  <c r="C29" i="1"/>
  <c r="B29" i="1"/>
  <c r="N28" i="1"/>
  <c r="L28" i="1"/>
  <c r="K28" i="1"/>
  <c r="I28" i="1"/>
  <c r="C28" i="1"/>
  <c r="B28" i="1"/>
  <c r="N27" i="1"/>
  <c r="L27" i="1"/>
  <c r="K27" i="1"/>
  <c r="I27" i="1"/>
  <c r="C27" i="1"/>
  <c r="B27" i="1"/>
  <c r="N26" i="1"/>
  <c r="L26" i="1"/>
  <c r="K26" i="1"/>
  <c r="I26" i="1"/>
  <c r="C26" i="1"/>
  <c r="B26" i="1"/>
  <c r="AF21" i="1"/>
  <c r="AF20" i="1"/>
  <c r="AF19" i="1"/>
  <c r="AF18" i="1"/>
  <c r="AF17" i="1"/>
  <c r="AF16" i="1"/>
  <c r="AD22" i="1"/>
  <c r="AD21" i="1"/>
  <c r="AD20" i="1"/>
  <c r="AD19" i="1"/>
  <c r="AD18" i="1"/>
  <c r="AD17" i="1"/>
  <c r="AD16" i="1"/>
  <c r="AB12" i="1"/>
  <c r="AB11" i="1"/>
  <c r="AB10" i="1"/>
  <c r="AB9" i="1"/>
  <c r="AB8" i="1"/>
  <c r="AB7" i="1"/>
  <c r="AB6" i="1"/>
  <c r="Z12" i="1"/>
  <c r="Z11" i="1"/>
  <c r="Z10" i="1"/>
  <c r="Z9" i="1"/>
  <c r="Z8" i="1"/>
  <c r="Z7" i="1"/>
  <c r="Z6" i="1"/>
  <c r="B2" i="1"/>
  <c r="B1" i="1"/>
  <c r="G9" i="4"/>
  <c r="G8" i="4"/>
  <c r="G7" i="4"/>
  <c r="G6" i="4"/>
  <c r="G5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G15" i="3"/>
  <c r="F15" i="3"/>
  <c r="E15" i="3"/>
  <c r="D15" i="3"/>
  <c r="C15" i="3"/>
  <c r="I15" i="3" s="1"/>
  <c r="I14" i="3"/>
  <c r="H14" i="3"/>
  <c r="I13" i="3"/>
  <c r="H13" i="3"/>
  <c r="I12" i="3"/>
  <c r="H12" i="3"/>
  <c r="H11" i="3"/>
  <c r="I11" i="3" s="1"/>
  <c r="H10" i="3"/>
  <c r="I10" i="3" s="1"/>
  <c r="H9" i="3"/>
  <c r="I9" i="3" s="1"/>
  <c r="H8" i="3"/>
  <c r="I8" i="3" s="1"/>
  <c r="H7" i="3"/>
  <c r="I7" i="3" s="1"/>
  <c r="H6" i="3"/>
  <c r="I6" i="3" s="1"/>
  <c r="H5" i="3"/>
  <c r="I5" i="3" s="1"/>
  <c r="D4" i="3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I27" i="2" s="1"/>
  <c r="H28" i="2"/>
  <c r="I28" i="2" s="1"/>
  <c r="H29" i="2"/>
  <c r="I29" i="2" s="1"/>
  <c r="H30" i="2"/>
  <c r="I30" i="2" s="1"/>
  <c r="H31" i="2"/>
  <c r="I31" i="2" s="1"/>
  <c r="H32" i="2"/>
  <c r="I32" i="2" s="1"/>
  <c r="H33" i="2"/>
  <c r="I33" i="2" s="1"/>
  <c r="H34" i="2"/>
  <c r="I34" i="2" s="1"/>
  <c r="H35" i="2"/>
  <c r="I35" i="2" s="1"/>
  <c r="H36" i="2"/>
  <c r="I36" i="2" s="1"/>
  <c r="H37" i="2"/>
  <c r="I37" i="2" s="1"/>
  <c r="H38" i="2"/>
  <c r="I38" i="2" s="1"/>
  <c r="H39" i="2"/>
  <c r="I39" i="2" s="1"/>
  <c r="H40" i="2"/>
  <c r="I40" i="2" s="1"/>
  <c r="H41" i="2"/>
  <c r="I41" i="2" s="1"/>
  <c r="H42" i="2"/>
  <c r="I42" i="2" s="1"/>
  <c r="H43" i="2"/>
  <c r="I43" i="2" s="1"/>
  <c r="H44" i="2"/>
  <c r="I44" i="2" s="1"/>
  <c r="H45" i="2"/>
  <c r="I45" i="2" s="1"/>
  <c r="H46" i="2"/>
  <c r="I46" i="2" s="1"/>
  <c r="H47" i="2"/>
  <c r="I47" i="2" s="1"/>
  <c r="H48" i="2"/>
  <c r="I48" i="2" s="1"/>
  <c r="H49" i="2"/>
  <c r="I49" i="2" s="1"/>
  <c r="H50" i="2"/>
  <c r="I50" i="2" s="1"/>
  <c r="H51" i="2"/>
  <c r="I51" i="2" s="1"/>
  <c r="H52" i="2"/>
  <c r="I52" i="2" s="1"/>
  <c r="H53" i="2"/>
  <c r="I53" i="2" s="1"/>
  <c r="H54" i="2"/>
  <c r="I54" i="2" s="1"/>
  <c r="H55" i="2"/>
  <c r="I55" i="2" s="1"/>
  <c r="H56" i="2"/>
  <c r="I56" i="2" s="1"/>
  <c r="H57" i="2"/>
  <c r="I57" i="2" s="1"/>
  <c r="H58" i="2"/>
  <c r="I58" i="2" s="1"/>
  <c r="H59" i="2"/>
  <c r="I59" i="2" s="1"/>
  <c r="H60" i="2"/>
  <c r="I60" i="2" s="1"/>
  <c r="H61" i="2"/>
  <c r="I61" i="2" s="1"/>
  <c r="H62" i="2"/>
  <c r="I62" i="2" s="1"/>
  <c r="H63" i="2"/>
  <c r="I63" i="2" s="1"/>
  <c r="H64" i="2"/>
  <c r="I64" i="2" s="1"/>
  <c r="H65" i="2"/>
  <c r="I65" i="2" s="1"/>
  <c r="H66" i="2"/>
  <c r="I66" i="2" s="1"/>
  <c r="H67" i="2"/>
  <c r="I67" i="2" s="1"/>
  <c r="H68" i="2"/>
  <c r="I68" i="2" s="1"/>
  <c r="H69" i="2"/>
  <c r="I69" i="2" s="1"/>
  <c r="H70" i="2"/>
  <c r="I70" i="2" s="1"/>
  <c r="H71" i="2"/>
  <c r="I71" i="2" s="1"/>
  <c r="H72" i="2"/>
  <c r="H73" i="2"/>
  <c r="I73" i="2" s="1"/>
  <c r="H74" i="2"/>
  <c r="I74" i="2" s="1"/>
  <c r="H75" i="2"/>
  <c r="I75" i="2" s="1"/>
  <c r="H76" i="2"/>
  <c r="I76" i="2" s="1"/>
  <c r="H77" i="2"/>
  <c r="I77" i="2" s="1"/>
  <c r="H78" i="2"/>
  <c r="I78" i="2" s="1"/>
  <c r="H79" i="2"/>
  <c r="I79" i="2" s="1"/>
  <c r="H80" i="2"/>
  <c r="I80" i="2" s="1"/>
  <c r="H81" i="2"/>
  <c r="I81" i="2" s="1"/>
  <c r="H82" i="2"/>
  <c r="I82" i="2" s="1"/>
  <c r="H83" i="2"/>
  <c r="I83" i="2" s="1"/>
  <c r="H84" i="2"/>
  <c r="I84" i="2" s="1"/>
  <c r="H85" i="2"/>
  <c r="I85" i="2" s="1"/>
  <c r="H86" i="2"/>
  <c r="I86" i="2" s="1"/>
  <c r="H87" i="2"/>
  <c r="I87" i="2" s="1"/>
  <c r="H88" i="2"/>
  <c r="I88" i="2" s="1"/>
  <c r="H89" i="2"/>
  <c r="I89" i="2" s="1"/>
  <c r="H90" i="2"/>
  <c r="I90" i="2" s="1"/>
  <c r="H91" i="2"/>
  <c r="I91" i="2" s="1"/>
  <c r="H92" i="2"/>
  <c r="I92" i="2" s="1"/>
  <c r="H93" i="2"/>
  <c r="I93" i="2" s="1"/>
  <c r="H94" i="2"/>
  <c r="I94" i="2" s="1"/>
  <c r="H95" i="2"/>
  <c r="I95" i="2" s="1"/>
  <c r="H96" i="2"/>
  <c r="I96" i="2" s="1"/>
  <c r="H97" i="2"/>
  <c r="I97" i="2" s="1"/>
  <c r="H98" i="2"/>
  <c r="I98" i="2" s="1"/>
  <c r="H99" i="2"/>
  <c r="I99" i="2" s="1"/>
  <c r="H100" i="2"/>
  <c r="I100" i="2" s="1"/>
  <c r="H101" i="2"/>
  <c r="I101" i="2" s="1"/>
  <c r="H102" i="2"/>
  <c r="I102" i="2" s="1"/>
  <c r="H103" i="2"/>
  <c r="I103" i="2" s="1"/>
  <c r="H104" i="2"/>
  <c r="I104" i="2" s="1"/>
  <c r="H105" i="2"/>
  <c r="I105" i="2" s="1"/>
  <c r="H106" i="2"/>
  <c r="I106" i="2" s="1"/>
  <c r="H107" i="2"/>
  <c r="I107" i="2" s="1"/>
  <c r="H108" i="2"/>
  <c r="I108" i="2" s="1"/>
  <c r="H109" i="2"/>
  <c r="I109" i="2" s="1"/>
  <c r="H110" i="2"/>
  <c r="I110" i="2" s="1"/>
  <c r="H111" i="2"/>
  <c r="I111" i="2" s="1"/>
  <c r="H112" i="2"/>
  <c r="I112" i="2" s="1"/>
  <c r="H113" i="2"/>
  <c r="I113" i="2" s="1"/>
  <c r="H114" i="2"/>
  <c r="I114" i="2" s="1"/>
  <c r="H115" i="2"/>
  <c r="I115" i="2" s="1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I172" i="2" s="1"/>
  <c r="H173" i="2"/>
  <c r="I173" i="2" s="1"/>
  <c r="H174" i="2"/>
  <c r="I174" i="2" s="1"/>
  <c r="H175" i="2"/>
  <c r="I175" i="2" s="1"/>
  <c r="H176" i="2"/>
  <c r="I176" i="2" s="1"/>
  <c r="H177" i="2"/>
  <c r="I177" i="2" s="1"/>
  <c r="H178" i="2"/>
  <c r="I178" i="2" s="1"/>
  <c r="H179" i="2"/>
  <c r="I179" i="2" s="1"/>
  <c r="H180" i="2"/>
  <c r="I180" i="2" s="1"/>
  <c r="H181" i="2"/>
  <c r="I181" i="2" s="1"/>
  <c r="H182" i="2"/>
  <c r="I182" i="2" s="1"/>
  <c r="H183" i="2"/>
  <c r="I183" i="2" s="1"/>
  <c r="H184" i="2"/>
  <c r="I184" i="2" s="1"/>
  <c r="H185" i="2"/>
  <c r="I185" i="2" s="1"/>
  <c r="H186" i="2"/>
  <c r="I186" i="2" s="1"/>
  <c r="H187" i="2"/>
  <c r="I187" i="2" s="1"/>
  <c r="H188" i="2"/>
  <c r="I188" i="2" s="1"/>
  <c r="H189" i="2"/>
  <c r="I189" i="2" s="1"/>
  <c r="H190" i="2"/>
  <c r="I190" i="2" s="1"/>
  <c r="H191" i="2"/>
  <c r="I191" i="2" s="1"/>
  <c r="H192" i="2"/>
  <c r="I192" i="2" s="1"/>
  <c r="H193" i="2"/>
  <c r="I193" i="2" s="1"/>
  <c r="H194" i="2"/>
  <c r="I194" i="2" s="1"/>
  <c r="H195" i="2"/>
  <c r="I195" i="2" s="1"/>
  <c r="H196" i="2"/>
  <c r="I196" i="2" s="1"/>
  <c r="H197" i="2"/>
  <c r="I197" i="2" s="1"/>
  <c r="H198" i="2"/>
  <c r="I198" i="2" s="1"/>
  <c r="H199" i="2"/>
  <c r="I199" i="2" s="1"/>
  <c r="H200" i="2"/>
  <c r="I200" i="2" s="1"/>
  <c r="H201" i="2"/>
  <c r="I201" i="2" s="1"/>
  <c r="H202" i="2"/>
  <c r="I202" i="2" s="1"/>
  <c r="H203" i="2"/>
  <c r="I203" i="2" s="1"/>
  <c r="H204" i="2"/>
  <c r="I204" i="2" s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C6" i="5"/>
  <c r="N21" i="1" l="1"/>
  <c r="J21" i="1"/>
  <c r="I21" i="1"/>
  <c r="J20" i="1"/>
  <c r="I20" i="1"/>
  <c r="N20" i="1"/>
  <c r="I19" i="1"/>
  <c r="J19" i="1"/>
  <c r="N19" i="1"/>
  <c r="I18" i="1"/>
  <c r="N18" i="1"/>
  <c r="J18" i="1"/>
  <c r="N17" i="1"/>
  <c r="J17" i="1"/>
  <c r="I17" i="1"/>
  <c r="I16" i="1"/>
  <c r="J16" i="1"/>
  <c r="N16" i="1"/>
  <c r="G22" i="1"/>
  <c r="C22" i="1"/>
  <c r="B22" i="1"/>
  <c r="B21" i="1"/>
  <c r="C21" i="1"/>
  <c r="G21" i="1"/>
  <c r="B20" i="1"/>
  <c r="C20" i="1"/>
  <c r="G20" i="1"/>
  <c r="G19" i="1"/>
  <c r="B19" i="1"/>
  <c r="C19" i="1"/>
  <c r="G18" i="1"/>
  <c r="B18" i="1"/>
  <c r="C18" i="1"/>
  <c r="G17" i="1"/>
  <c r="C17" i="1"/>
  <c r="B17" i="1"/>
  <c r="B16" i="1"/>
  <c r="C16" i="1"/>
  <c r="G16" i="1"/>
  <c r="N12" i="1"/>
  <c r="I12" i="1"/>
  <c r="J12" i="1"/>
  <c r="N11" i="1"/>
  <c r="J11" i="1"/>
  <c r="I11" i="1"/>
  <c r="I10" i="1"/>
  <c r="N10" i="1"/>
  <c r="J10" i="1"/>
  <c r="J9" i="1"/>
  <c r="I9" i="1"/>
  <c r="N9" i="1"/>
  <c r="N8" i="1"/>
  <c r="I8" i="1"/>
  <c r="J8" i="1"/>
  <c r="J7" i="1"/>
  <c r="N7" i="1"/>
  <c r="I7" i="1"/>
  <c r="I6" i="1"/>
  <c r="J6" i="1"/>
  <c r="N6" i="1"/>
  <c r="C12" i="1"/>
  <c r="B12" i="1"/>
  <c r="G12" i="1"/>
  <c r="G11" i="1"/>
  <c r="C11" i="1"/>
  <c r="B11" i="1"/>
  <c r="G10" i="1"/>
  <c r="B10" i="1"/>
  <c r="C10" i="1"/>
  <c r="B9" i="1"/>
  <c r="C9" i="1"/>
  <c r="G9" i="1"/>
  <c r="B8" i="1"/>
  <c r="C8" i="1"/>
  <c r="G8" i="1"/>
  <c r="G7" i="1"/>
  <c r="B7" i="1"/>
  <c r="C7" i="1"/>
  <c r="B6" i="1"/>
  <c r="G6" i="1"/>
  <c r="C6" i="1"/>
  <c r="I72" i="2"/>
  <c r="AF22" i="1"/>
  <c r="M5" i="4"/>
  <c r="M9" i="4"/>
  <c r="M8" i="4"/>
  <c r="M6" i="4"/>
  <c r="M7" i="4"/>
  <c r="I22" i="1" l="1"/>
  <c r="J22" i="1"/>
  <c r="N22" i="1"/>
</calcChain>
</file>

<file path=xl/sharedStrings.xml><?xml version="1.0" encoding="utf-8"?>
<sst xmlns="http://schemas.openxmlformats.org/spreadsheetml/2006/main" count="157" uniqueCount="126">
  <si>
    <t>Setări</t>
  </si>
  <si>
    <t>Datele analizei și listele din meniuri. Scorul unui factor = impact × importanță (fiecare de la 1 la 5).</t>
  </si>
  <si>
    <t>Firma / proiectul analizat</t>
  </si>
  <si>
    <t>Exemplu Instalații SRL</t>
  </si>
  <si>
    <t>Scopul analizei</t>
  </si>
  <si>
    <t>Strategia de creștere pentru 2027</t>
  </si>
  <si>
    <t>Data analizei</t>
  </si>
  <si>
    <t>Echipa care a făcut analiza</t>
  </si>
  <si>
    <t>Mihai Georgescu, Andrei Toma, Maria Stoica</t>
  </si>
  <si>
    <t>Prag prioritate ridicată (scor ≥)</t>
  </si>
  <si>
    <t>Prag prioritate medie (scor ≥)</t>
  </si>
  <si>
    <t>Tip factor</t>
  </si>
  <si>
    <t>Punct tare</t>
  </si>
  <si>
    <t>Punct slab</t>
  </si>
  <si>
    <t>Oportunitate</t>
  </si>
  <si>
    <t>Amenințare</t>
  </si>
  <si>
    <t>Tip strategie</t>
  </si>
  <si>
    <t>SO – folosește punctele tari pentru oportunități</t>
  </si>
  <si>
    <t>WO – corectează punctele slabe prin oportunități</t>
  </si>
  <si>
    <t>ST – folosește punctele tari contra amenințărilor</t>
  </si>
  <si>
    <t>WT – reduce punctele slabe și amenințările</t>
  </si>
  <si>
    <t>Status</t>
  </si>
  <si>
    <t>Neînceput</t>
  </si>
  <si>
    <t>În curs</t>
  </si>
  <si>
    <t>Realizat</t>
  </si>
  <si>
    <t>Abandonat</t>
  </si>
  <si>
    <t>Notă</t>
  </si>
  <si>
    <t>Cod</t>
  </si>
  <si>
    <t>S</t>
  </si>
  <si>
    <t>W</t>
  </si>
  <si>
    <t>O</t>
  </si>
  <si>
    <t>T</t>
  </si>
  <si>
    <t>Factorii analizei SWOT</t>
  </si>
  <si>
    <t>Un rând pentru fiecare factor. Scrie concret și adaugă dovada (date, cifre, sursa): fără ea, factorul e doar o părere.</t>
  </si>
  <si>
    <t>Tip</t>
  </si>
  <si>
    <t>Descriere (concretă)</t>
  </si>
  <si>
    <t>Dovadă / date / sursa</t>
  </si>
  <si>
    <t>Impact (1–5)</t>
  </si>
  <si>
    <t>Importanță / probabilitate (1–5)</t>
  </si>
  <si>
    <t>Scor</t>
  </si>
  <si>
    <t>Prioritate</t>
  </si>
  <si>
    <t>Verificare</t>
  </si>
  <si>
    <t>Electricieni autorizați ANRE cu peste 10 ani de experiență: 5 din 7 angajați</t>
  </si>
  <si>
    <t>Registrul angajaților și autorizațiile ANRE, octombrie 2026</t>
  </si>
  <si>
    <t>Timp mediu de răspuns la avarii de 4 ore în Ploiești și împrejurimi</t>
  </si>
  <si>
    <t>Registrul de intervenții 2026: 118 intervenții</t>
  </si>
  <si>
    <t>62% dintre clienții noi din 2026 au venit din recomandări</t>
  </si>
  <si>
    <t>Baza de date clienți, coloana „Sursa”</t>
  </si>
  <si>
    <t>Dependență de 3 clienți mari, care aduc 58% din vânzări</t>
  </si>
  <si>
    <t>Clasificarea ABC a vânzărilor din 2026</t>
  </si>
  <si>
    <t>Site vechi, fără portofoliu, și zero recenzii pe Google</t>
  </si>
  <si>
    <t>Verificare Google și site, octombrie 2026</t>
  </si>
  <si>
    <t>Ore suplimentare frecvente în sezonul de vârf (16 h/lună la șeful de echipă)</t>
  </si>
  <si>
    <t>Registrul orelor suplimentare, octombrie 2026</t>
  </si>
  <si>
    <t>Marketing slab</t>
  </si>
  <si>
    <t>Cerere în creștere pentru instalații fotovoltaice la case: 14 cereri de ofertă în 2026, față de 5 în 2025</t>
  </si>
  <si>
    <t>Registrul de oportunități 2025–2026</t>
  </si>
  <si>
    <t>Trei blocuri noi în construcție în Ploiești Vest, cu instalațiile electrice încă necontractate</t>
  </si>
  <si>
    <t>Autorizații de construire publicate de primărie</t>
  </si>
  <si>
    <t>Firmele din zonă caută contracte de mentenanță anuală a instalațiilor</t>
  </si>
  <si>
    <t>Două cereri primite în 2026 (24.000 lei în negociere)</t>
  </si>
  <si>
    <t>Lipsă de electricieni calificați pe piață: un post neocupat de 4 luni</t>
  </si>
  <si>
    <t>Anunțuri de angajare publicate din iunie 2026</t>
  </si>
  <si>
    <t>Prețul cuprului și al aparatajului a crescut cu 12% în 2026</t>
  </si>
  <si>
    <t>Listele de prețuri ale furnizorilor, ian.–oct. 2026</t>
  </si>
  <si>
    <t>Trei firme noi în oraș, cu prețuri mici și reclame pe platforme online</t>
  </si>
  <si>
    <t>Căutări pe Google și Facebook, septembrie 2026</t>
  </si>
  <si>
    <t>Comparația cu concurența</t>
  </si>
  <si>
    <t>Notează de la 1 la 5 firma ta și principalii concurenți la fiecare criteriu. Ponderile arată cât contează criteriul pentru clienți.</t>
  </si>
  <si>
    <t>Criteriu</t>
  </si>
  <si>
    <t>Pondere</t>
  </si>
  <si>
    <t>Electro Rapid SRL</t>
  </si>
  <si>
    <t>Volt Service SRL</t>
  </si>
  <si>
    <t>Instal Pro SRL</t>
  </si>
  <si>
    <t>Cel mai bun concurent</t>
  </si>
  <si>
    <t>Concluzie</t>
  </si>
  <si>
    <t>Preț</t>
  </si>
  <si>
    <t>Calitatea execuției</t>
  </si>
  <si>
    <t>Timp de răspuns la avarii</t>
  </si>
  <si>
    <t>Gama de servicii</t>
  </si>
  <si>
    <t>Prezență online și recenzii</t>
  </si>
  <si>
    <t>Garanție și service</t>
  </si>
  <si>
    <t>Recomandările clienților</t>
  </si>
  <si>
    <t>Scor ponderat</t>
  </si>
  <si>
    <t>Strategii și plan de acțiune</t>
  </si>
  <si>
    <t>Transformă concluziile în acțiuni măsurabile: fiecare acțiune are factorii pe care îi folosește, un responsabil, un termen și un indicator cu țintă.</t>
  </si>
  <si>
    <t>Nr.</t>
  </si>
  <si>
    <t>Strategie</t>
  </si>
  <si>
    <t>Factori folosiți (coduri)</t>
  </si>
  <si>
    <t>Acțiunea concretă</t>
  </si>
  <si>
    <t>Responsabil</t>
  </si>
  <si>
    <t>Termen</t>
  </si>
  <si>
    <t>Indicator (KPI)</t>
  </si>
  <si>
    <t>Valoare actuală</t>
  </si>
  <si>
    <t>Țintă</t>
  </si>
  <si>
    <t>Diferență până la țintă</t>
  </si>
  <si>
    <t>S1, O1</t>
  </si>
  <si>
    <t>Lansăm oferta de instalații fotovoltaice pentru case, cu echipa autorizată ANRE</t>
  </si>
  <si>
    <t>Andrei Toma</t>
  </si>
  <si>
    <t>Contracte fotovoltaice semnate</t>
  </si>
  <si>
    <t>W2, O1</t>
  </si>
  <si>
    <t>Site nou cu portofoliu de lucrări, formular de cerere de ofertă și profil Google cu recenzii</t>
  </si>
  <si>
    <t>Maria Stoica</t>
  </si>
  <si>
    <t>Cereri de ofertă online pe lună</t>
  </si>
  <si>
    <t>S2, T2</t>
  </si>
  <si>
    <t>Contract cu preț fix pe 6 luni cu doi furnizori de cablu și aparataj</t>
  </si>
  <si>
    <t>Dan Ilie</t>
  </si>
  <si>
    <t>Creșterea costului materialelor (%)</t>
  </si>
  <si>
    <t>W1, T3</t>
  </si>
  <si>
    <t>Atragem 10 clienți noi de mentenanță anuală, ca să reducem dependența de clienții mari</t>
  </si>
  <si>
    <t>Ponderea primilor 3 clienți în vânzări (%)</t>
  </si>
  <si>
    <t>W3, T1</t>
  </si>
  <si>
    <t>Program de ucenicie pentru doi electricieni</t>
  </si>
  <si>
    <t>Mihai Georgescu</t>
  </si>
  <si>
    <t>FACTORI INTERNI</t>
  </si>
  <si>
    <t>FACTORI EXTERNI</t>
  </si>
  <si>
    <t>PUNCTE TARI (S)</t>
  </si>
  <si>
    <t>PUNCTE SLABE (W)</t>
  </si>
  <si>
    <t>OPORTUNITĂȚI (O)</t>
  </si>
  <si>
    <t>AMENINȚĂRI (T)</t>
  </si>
  <si>
    <t>ACȚIUNI PRIORITARE</t>
  </si>
  <si>
    <t>Acțiune</t>
  </si>
  <si>
    <t>Indicator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</si>
  <si>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</si>
  <si>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</si>
  <si>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modelexcel.ro/analiza-swot/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</si>
</sst>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-0;0"/>
  </numFmts>
  <fonts count="20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B5E20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sz val="10"/>
      <color rgb="FF5D6B64"/>
      <name val="Calibri"/>
      <family val="2"/>
    </font>
    <font>
      <b/>
      <sz val="10"/>
      <color rgb="FF5D6B64"/>
      <name val="Calibri"/>
      <family val="2"/>
    </font>
    <font>
      <b/>
      <sz val="12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2E8E7D"/>
      <name val="Calibri"/>
      <family val="2"/>
    </font>
    <font>
      <b/>
      <sz val="10"/>
      <color rgb="FFEF6B0C"/>
      <name val="Calibri"/>
      <family val="2"/>
    </font>
    <font>
      <b/>
      <sz val="10"/>
      <color rgb="FF1E65C0"/>
      <name val="Calibri"/>
      <family val="2"/>
    </font>
    <font>
      <b/>
      <sz val="10"/>
      <color rgb="FFC62828"/>
      <name val="Calibri"/>
      <family val="2"/>
    </font>
    <font>
      <b/>
      <sz val="10"/>
      <color rgb="FF1B5E20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6FBF6"/>
        <bgColor indexed="64"/>
      </patternFill>
    </fill>
    <fill>
      <patternFill patternType="solid">
        <fgColor rgb="FF1B5E2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2E8E7D"/>
        <bgColor indexed="64"/>
      </patternFill>
    </fill>
    <fill>
      <patternFill patternType="solid">
        <fgColor rgb="FFEF6B0C"/>
        <bgColor indexed="64"/>
      </patternFill>
    </fill>
    <fill>
      <patternFill patternType="solid">
        <fgColor rgb="FFFFF0E0"/>
        <bgColor indexed="64"/>
      </patternFill>
    </fill>
    <fill>
      <patternFill patternType="solid">
        <fgColor rgb="FF1E65C0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C62828"/>
        <bgColor indexed="64"/>
      </patternFill>
    </fill>
    <fill>
      <patternFill patternType="solid">
        <fgColor rgb="FFFFEBEE"/>
        <bgColor indexed="64"/>
      </patternFill>
    </fill>
  </fills>
  <borders count="34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2E8E7D"/>
      </left>
      <right/>
      <top style="thin">
        <color rgb="FF2E8E7D"/>
      </top>
      <bottom/>
      <diagonal/>
    </border>
    <border>
      <left/>
      <right/>
      <top style="thin">
        <color rgb="FF2E8E7D"/>
      </top>
      <bottom/>
      <diagonal/>
    </border>
    <border>
      <left/>
      <right style="thin">
        <color rgb="FF2E8E7D"/>
      </right>
      <top style="thin">
        <color rgb="FF2E8E7D"/>
      </top>
      <bottom/>
      <diagonal/>
    </border>
    <border>
      <left style="thin">
        <color rgb="FF2E8E7D"/>
      </left>
      <right/>
      <top/>
      <bottom/>
      <diagonal/>
    </border>
    <border>
      <left/>
      <right style="thin">
        <color rgb="FF2E8E7D"/>
      </right>
      <top/>
      <bottom/>
      <diagonal/>
    </border>
    <border>
      <left style="thin">
        <color rgb="FF2E8E7D"/>
      </left>
      <right/>
      <top/>
      <bottom style="thin">
        <color rgb="FF2E8E7D"/>
      </bottom>
      <diagonal/>
    </border>
    <border>
      <left/>
      <right/>
      <top/>
      <bottom style="thin">
        <color rgb="FF2E8E7D"/>
      </bottom>
      <diagonal/>
    </border>
    <border>
      <left/>
      <right style="thin">
        <color rgb="FF2E8E7D"/>
      </right>
      <top/>
      <bottom style="thin">
        <color rgb="FF2E8E7D"/>
      </bottom>
      <diagonal/>
    </border>
    <border>
      <left style="thin">
        <color rgb="FFEF6B0C"/>
      </left>
      <right/>
      <top style="thin">
        <color rgb="FFEF6B0C"/>
      </top>
      <bottom/>
      <diagonal/>
    </border>
    <border>
      <left/>
      <right/>
      <top style="thin">
        <color rgb="FFEF6B0C"/>
      </top>
      <bottom/>
      <diagonal/>
    </border>
    <border>
      <left/>
      <right style="thin">
        <color rgb="FFEF6B0C"/>
      </right>
      <top style="thin">
        <color rgb="FFEF6B0C"/>
      </top>
      <bottom/>
      <diagonal/>
    </border>
    <border>
      <left style="thin">
        <color rgb="FFEF6B0C"/>
      </left>
      <right/>
      <top/>
      <bottom/>
      <diagonal/>
    </border>
    <border>
      <left/>
      <right style="thin">
        <color rgb="FFEF6B0C"/>
      </right>
      <top/>
      <bottom/>
      <diagonal/>
    </border>
    <border>
      <left style="thin">
        <color rgb="FFEF6B0C"/>
      </left>
      <right/>
      <top/>
      <bottom style="thin">
        <color rgb="FFEF6B0C"/>
      </bottom>
      <diagonal/>
    </border>
    <border>
      <left/>
      <right/>
      <top/>
      <bottom style="thin">
        <color rgb="FFEF6B0C"/>
      </bottom>
      <diagonal/>
    </border>
    <border>
      <left/>
      <right style="thin">
        <color rgb="FFEF6B0C"/>
      </right>
      <top/>
      <bottom style="thin">
        <color rgb="FFEF6B0C"/>
      </bottom>
      <diagonal/>
    </border>
    <border>
      <left style="thin">
        <color rgb="FF1E65C0"/>
      </left>
      <right/>
      <top style="thin">
        <color rgb="FF1E65C0"/>
      </top>
      <bottom/>
      <diagonal/>
    </border>
    <border>
      <left/>
      <right/>
      <top style="thin">
        <color rgb="FF1E65C0"/>
      </top>
      <bottom/>
      <diagonal/>
    </border>
    <border>
      <left/>
      <right style="thin">
        <color rgb="FF1E65C0"/>
      </right>
      <top style="thin">
        <color rgb="FF1E65C0"/>
      </top>
      <bottom/>
      <diagonal/>
    </border>
    <border>
      <left style="thin">
        <color rgb="FF1E65C0"/>
      </left>
      <right/>
      <top/>
      <bottom/>
      <diagonal/>
    </border>
    <border>
      <left/>
      <right style="thin">
        <color rgb="FF1E65C0"/>
      </right>
      <top/>
      <bottom/>
      <diagonal/>
    </border>
    <border>
      <left style="thin">
        <color rgb="FF1E65C0"/>
      </left>
      <right/>
      <top/>
      <bottom style="thin">
        <color rgb="FF1E65C0"/>
      </bottom>
      <diagonal/>
    </border>
    <border>
      <left/>
      <right/>
      <top/>
      <bottom style="thin">
        <color rgb="FF1E65C0"/>
      </bottom>
      <diagonal/>
    </border>
    <border>
      <left/>
      <right style="thin">
        <color rgb="FF1E65C0"/>
      </right>
      <top/>
      <bottom style="thin">
        <color rgb="FF1E65C0"/>
      </bottom>
      <diagonal/>
    </border>
    <border>
      <left style="thin">
        <color rgb="FFC62828"/>
      </left>
      <right/>
      <top style="thin">
        <color rgb="FFC62828"/>
      </top>
      <bottom/>
      <diagonal/>
    </border>
    <border>
      <left/>
      <right/>
      <top style="thin">
        <color rgb="FFC62828"/>
      </top>
      <bottom/>
      <diagonal/>
    </border>
    <border>
      <left/>
      <right style="thin">
        <color rgb="FFC62828"/>
      </right>
      <top style="thin">
        <color rgb="FFC62828"/>
      </top>
      <bottom/>
      <diagonal/>
    </border>
    <border>
      <left style="thin">
        <color rgb="FFC62828"/>
      </left>
      <right/>
      <top/>
      <bottom/>
      <diagonal/>
    </border>
    <border>
      <left/>
      <right style="thin">
        <color rgb="FFC62828"/>
      </right>
      <top/>
      <bottom/>
      <diagonal/>
    </border>
    <border>
      <left style="thin">
        <color rgb="FFC62828"/>
      </left>
      <right/>
      <top/>
      <bottom style="thin">
        <color rgb="FFC62828"/>
      </bottom>
      <diagonal/>
    </border>
    <border>
      <left/>
      <right/>
      <top/>
      <bottom style="thin">
        <color rgb="FFC62828"/>
      </bottom>
      <diagonal/>
    </border>
    <border>
      <left/>
      <right style="thin">
        <color rgb="FFC62828"/>
      </right>
      <top/>
      <bottom style="thin">
        <color rgb="FFC62828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6" borderId="1" xfId="0" applyFont="1" applyFill="1" applyBorder="1"/>
    <xf numFmtId="9" fontId="4" fillId="6" borderId="1" xfId="0" applyNumberFormat="1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7" fillId="0" borderId="0" xfId="0" applyFont="1"/>
    <xf numFmtId="0" fontId="10" fillId="0" borderId="0" xfId="0" applyFont="1"/>
    <xf numFmtId="0" fontId="11" fillId="6" borderId="5" xfId="0" applyFont="1" applyFill="1" applyBorder="1" applyAlignment="1">
      <alignment horizontal="center" vertical="top"/>
    </xf>
    <xf numFmtId="0" fontId="4" fillId="6" borderId="6" xfId="0" applyFont="1" applyFill="1" applyBorder="1" applyAlignment="1">
      <alignment horizontal="center" vertical="top"/>
    </xf>
    <xf numFmtId="0" fontId="11" fillId="6" borderId="7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12" fillId="9" borderId="13" xfId="0" applyFont="1" applyFill="1" applyBorder="1" applyAlignment="1">
      <alignment horizontal="center" vertical="top"/>
    </xf>
    <xf numFmtId="0" fontId="4" fillId="9" borderId="14" xfId="0" applyFont="1" applyFill="1" applyBorder="1" applyAlignment="1">
      <alignment horizontal="center" vertical="top"/>
    </xf>
    <xf numFmtId="0" fontId="12" fillId="9" borderId="15" xfId="0" applyFont="1" applyFill="1" applyBorder="1" applyAlignment="1">
      <alignment horizontal="center" vertical="top"/>
    </xf>
    <xf numFmtId="0" fontId="4" fillId="9" borderId="17" xfId="0" applyFont="1" applyFill="1" applyBorder="1" applyAlignment="1">
      <alignment horizontal="center" vertical="top"/>
    </xf>
    <xf numFmtId="0" fontId="13" fillId="11" borderId="21" xfId="0" applyFont="1" applyFill="1" applyBorder="1" applyAlignment="1">
      <alignment horizontal="center" vertical="top"/>
    </xf>
    <xf numFmtId="0" fontId="4" fillId="11" borderId="22" xfId="0" applyFont="1" applyFill="1" applyBorder="1" applyAlignment="1">
      <alignment horizontal="center" vertical="top"/>
    </xf>
    <xf numFmtId="0" fontId="13" fillId="11" borderId="23" xfId="0" applyFont="1" applyFill="1" applyBorder="1" applyAlignment="1">
      <alignment horizontal="center" vertical="top"/>
    </xf>
    <xf numFmtId="0" fontId="4" fillId="11" borderId="25" xfId="0" applyFont="1" applyFill="1" applyBorder="1" applyAlignment="1">
      <alignment horizontal="center" vertical="top"/>
    </xf>
    <xf numFmtId="0" fontId="14" fillId="13" borderId="29" xfId="0" applyFont="1" applyFill="1" applyBorder="1" applyAlignment="1">
      <alignment horizontal="center" vertical="top"/>
    </xf>
    <xf numFmtId="0" fontId="4" fillId="13" borderId="30" xfId="0" applyFont="1" applyFill="1" applyBorder="1" applyAlignment="1">
      <alignment horizontal="center" vertical="top"/>
    </xf>
    <xf numFmtId="0" fontId="14" fillId="13" borderId="31" xfId="0" applyFont="1" applyFill="1" applyBorder="1" applyAlignment="1">
      <alignment horizontal="center" vertical="top"/>
    </xf>
    <xf numFmtId="0" fontId="4" fillId="13" borderId="33" xfId="0" applyFont="1" applyFill="1" applyBorder="1" applyAlignment="1">
      <alignment horizontal="center" vertical="top"/>
    </xf>
    <xf numFmtId="0" fontId="15" fillId="0" borderId="0" xfId="0" applyFont="1"/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13" borderId="0" xfId="0" applyFont="1" applyFill="1" applyAlignment="1">
      <alignment vertical="top" wrapText="1"/>
    </xf>
    <xf numFmtId="0" fontId="1" fillId="13" borderId="32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vertical="top" wrapText="1"/>
    </xf>
    <xf numFmtId="0" fontId="1" fillId="11" borderId="24" xfId="0" applyFont="1" applyFill="1" applyBorder="1" applyAlignment="1">
      <alignment vertical="top" wrapText="1"/>
    </xf>
    <xf numFmtId="0" fontId="9" fillId="12" borderId="26" xfId="0" applyFont="1" applyFill="1" applyBorder="1" applyAlignment="1">
      <alignment horizontal="center"/>
    </xf>
    <xf numFmtId="0" fontId="9" fillId="12" borderId="27" xfId="0" applyFont="1" applyFill="1" applyBorder="1" applyAlignment="1">
      <alignment horizontal="center"/>
    </xf>
    <xf numFmtId="0" fontId="9" fillId="12" borderId="28" xfId="0" applyFont="1" applyFill="1" applyBorder="1" applyAlignment="1">
      <alignment horizontal="center"/>
    </xf>
    <xf numFmtId="0" fontId="1" fillId="9" borderId="0" xfId="0" applyFont="1" applyFill="1" applyAlignment="1">
      <alignment vertical="top" wrapText="1"/>
    </xf>
    <xf numFmtId="0" fontId="1" fillId="9" borderId="16" xfId="0" applyFont="1" applyFill="1" applyBorder="1" applyAlignment="1">
      <alignment vertical="top" wrapText="1"/>
    </xf>
    <xf numFmtId="0" fontId="9" fillId="10" borderId="18" xfId="0" applyFont="1" applyFill="1" applyBorder="1" applyAlignment="1">
      <alignment horizontal="center"/>
    </xf>
    <xf numFmtId="0" fontId="9" fillId="10" borderId="19" xfId="0" applyFont="1" applyFill="1" applyBorder="1" applyAlignment="1">
      <alignment horizontal="center"/>
    </xf>
    <xf numFmtId="0" fontId="9" fillId="10" borderId="20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11" xfId="0" applyFont="1" applyFill="1" applyBorder="1" applyAlignment="1">
      <alignment horizontal="center"/>
    </xf>
    <xf numFmtId="0" fontId="9" fillId="8" borderId="12" xfId="0" applyFont="1" applyFill="1" applyBorder="1" applyAlignment="1">
      <alignment horizontal="center"/>
    </xf>
    <xf numFmtId="0" fontId="8" fillId="0" borderId="0" xfId="0" applyFont="1"/>
    <xf numFmtId="0" fontId="1" fillId="0" borderId="0" xfId="0" applyFont="1"/>
    <xf numFmtId="0" fontId="9" fillId="7" borderId="2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1" fillId="6" borderId="0" xfId="0" applyFont="1" applyFill="1" applyAlignment="1">
      <alignment vertical="top" wrapText="1"/>
    </xf>
    <xf numFmtId="0" fontId="1" fillId="6" borderId="8" xfId="0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9">
    <dxf>
      <font>
        <b/>
        <i val="0"/>
        <color rgb="FF327D2E"/>
      </font>
    </dxf>
    <dxf>
      <font>
        <b/>
        <i val="0"/>
        <color rgb="FFB4322A"/>
      </font>
    </dxf>
    <dxf>
      <font>
        <b/>
        <i val="0"/>
        <color rgb="FF327D2E"/>
      </font>
    </dxf>
    <dxf>
      <font>
        <b/>
        <i val="0"/>
        <color rgb="FFFFFFFF"/>
      </font>
      <fill>
        <patternFill>
          <bgColor rgb="FF1B5E20"/>
        </patternFill>
      </fill>
    </dxf>
    <dxf>
      <fill>
        <patternFill>
          <bgColor rgb="FFFFE68C"/>
        </patternFill>
      </fill>
    </dxf>
    <dxf>
      <font>
        <color rgb="FFC62828"/>
      </font>
      <fill>
        <patternFill>
          <bgColor rgb="FFFFEBEE"/>
        </patternFill>
      </fill>
    </dxf>
    <dxf>
      <font>
        <color rgb="FF1E65C0"/>
      </font>
      <fill>
        <patternFill>
          <bgColor rgb="FFE3F2FD"/>
        </patternFill>
      </fill>
    </dxf>
    <dxf>
      <font>
        <color rgb="FFEF6B0C"/>
      </font>
      <fill>
        <patternFill>
          <bgColor rgb="FFFFF0E0"/>
        </patternFill>
      </fill>
    </dxf>
    <dxf>
      <font>
        <color rgb="FF2E8E7D"/>
      </font>
      <fill>
        <patternFill>
          <bgColor rgb="FFE8F5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/>
              <a:t>Profilul competitiv</a:t>
            </a:r>
          </a:p>
        </c:rich>
      </c:tx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Competitori!$D$4</c:f>
              <c:strCache>
                <c:ptCount val="1"/>
                <c:pt idx="0">
                  <c:v>Exemplu Instalații SRL</c:v>
                </c:pt>
              </c:strCache>
            </c:strRef>
          </c:tx>
          <c:cat>
            <c:strRef>
              <c:f>Competitori!$B$5:$B$11</c:f>
              <c:strCache>
                <c:ptCount val="7"/>
                <c:pt idx="0">
                  <c:v>Preț</c:v>
                </c:pt>
                <c:pt idx="1">
                  <c:v>Calitatea execuției</c:v>
                </c:pt>
                <c:pt idx="2">
                  <c:v>Timp de răspuns la avarii</c:v>
                </c:pt>
                <c:pt idx="3">
                  <c:v>Gama de servicii</c:v>
                </c:pt>
                <c:pt idx="4">
                  <c:v>Prezență online și recenzii</c:v>
                </c:pt>
                <c:pt idx="5">
                  <c:v>Garanție și service</c:v>
                </c:pt>
                <c:pt idx="6">
                  <c:v>Recomandările clienților</c:v>
                </c:pt>
              </c:strCache>
            </c:strRef>
          </c:cat>
          <c:val>
            <c:numRef>
              <c:f>Competitori!$D$5:$D$11</c:f>
              <c:numCache>
                <c:formatCode>General</c:formatCode>
                <c:ptCount val="7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65-4CF9-B8DC-ABF9402CE3AF}"/>
            </c:ext>
          </c:extLst>
        </c:ser>
        <c:ser>
          <c:idx val="1"/>
          <c:order val="1"/>
          <c:tx>
            <c:strRef>
              <c:f>Competitori!$E$4</c:f>
              <c:strCache>
                <c:ptCount val="1"/>
                <c:pt idx="0">
                  <c:v>Electro Rapid SRL</c:v>
                </c:pt>
              </c:strCache>
            </c:strRef>
          </c:tx>
          <c:cat>
            <c:strRef>
              <c:f>Competitori!$B$5:$B$11</c:f>
              <c:strCache>
                <c:ptCount val="7"/>
                <c:pt idx="0">
                  <c:v>Preț</c:v>
                </c:pt>
                <c:pt idx="1">
                  <c:v>Calitatea execuției</c:v>
                </c:pt>
                <c:pt idx="2">
                  <c:v>Timp de răspuns la avarii</c:v>
                </c:pt>
                <c:pt idx="3">
                  <c:v>Gama de servicii</c:v>
                </c:pt>
                <c:pt idx="4">
                  <c:v>Prezență online și recenzii</c:v>
                </c:pt>
                <c:pt idx="5">
                  <c:v>Garanție și service</c:v>
                </c:pt>
                <c:pt idx="6">
                  <c:v>Recomandările clienților</c:v>
                </c:pt>
              </c:strCache>
            </c:strRef>
          </c:cat>
          <c:val>
            <c:numRef>
              <c:f>Competitori!$E$5:$E$11</c:f>
              <c:numCache>
                <c:formatCode>General</c:formatCode>
                <c:ptCount val="7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65-4CF9-B8DC-ABF9402CE3AF}"/>
            </c:ext>
          </c:extLst>
        </c:ser>
        <c:ser>
          <c:idx val="2"/>
          <c:order val="2"/>
          <c:tx>
            <c:strRef>
              <c:f>Competitori!$F$4</c:f>
              <c:strCache>
                <c:ptCount val="1"/>
                <c:pt idx="0">
                  <c:v>Volt Service SRL</c:v>
                </c:pt>
              </c:strCache>
            </c:strRef>
          </c:tx>
          <c:cat>
            <c:strRef>
              <c:f>Competitori!$B$5:$B$11</c:f>
              <c:strCache>
                <c:ptCount val="7"/>
                <c:pt idx="0">
                  <c:v>Preț</c:v>
                </c:pt>
                <c:pt idx="1">
                  <c:v>Calitatea execuției</c:v>
                </c:pt>
                <c:pt idx="2">
                  <c:v>Timp de răspuns la avarii</c:v>
                </c:pt>
                <c:pt idx="3">
                  <c:v>Gama de servicii</c:v>
                </c:pt>
                <c:pt idx="4">
                  <c:v>Prezență online și recenzii</c:v>
                </c:pt>
                <c:pt idx="5">
                  <c:v>Garanție și service</c:v>
                </c:pt>
                <c:pt idx="6">
                  <c:v>Recomandările clienților</c:v>
                </c:pt>
              </c:strCache>
            </c:strRef>
          </c:cat>
          <c:val>
            <c:numRef>
              <c:f>Competitori!$F$5:$F$11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65-4CF9-B8DC-ABF9402CE3AF}"/>
            </c:ext>
          </c:extLst>
        </c:ser>
        <c:ser>
          <c:idx val="3"/>
          <c:order val="3"/>
          <c:tx>
            <c:strRef>
              <c:f>Competitori!$G$4</c:f>
              <c:strCache>
                <c:ptCount val="1"/>
                <c:pt idx="0">
                  <c:v>Instal Pro SRL</c:v>
                </c:pt>
              </c:strCache>
            </c:strRef>
          </c:tx>
          <c:cat>
            <c:strRef>
              <c:f>Competitori!$B$5:$B$11</c:f>
              <c:strCache>
                <c:ptCount val="7"/>
                <c:pt idx="0">
                  <c:v>Preț</c:v>
                </c:pt>
                <c:pt idx="1">
                  <c:v>Calitatea execuției</c:v>
                </c:pt>
                <c:pt idx="2">
                  <c:v>Timp de răspuns la avarii</c:v>
                </c:pt>
                <c:pt idx="3">
                  <c:v>Gama de servicii</c:v>
                </c:pt>
                <c:pt idx="4">
                  <c:v>Prezență online și recenzii</c:v>
                </c:pt>
                <c:pt idx="5">
                  <c:v>Garanție și service</c:v>
                </c:pt>
                <c:pt idx="6">
                  <c:v>Recomandările clienților</c:v>
                </c:pt>
              </c:strCache>
            </c:strRef>
          </c:cat>
          <c:val>
            <c:numRef>
              <c:f>Competitori!$G$5:$G$11</c:f>
              <c:numCache>
                <c:formatCode>General</c:formatCode>
                <c:ptCount val="7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65-4CF9-B8DC-ABF9402CE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173144"/>
        <c:axId val="580165224"/>
      </c:radarChart>
      <c:catAx>
        <c:axId val="58017314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580165224"/>
        <c:crosses val="autoZero"/>
        <c:auto val="1"/>
        <c:lblAlgn val="ctr"/>
        <c:lblOffset val="100"/>
        <c:noMultiLvlLbl val="0"/>
      </c:catAx>
      <c:valAx>
        <c:axId val="580165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801731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9</xdr:col>
      <xdr:colOff>508000</xdr:colOff>
      <xdr:row>36</xdr:row>
      <xdr:rowOff>63500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E3A34F3-9304-80EE-27EC-05693F61F6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analiza-sw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5E91-7C64-4B4C-99EB-85AAD6BEBCF3}">
  <sheetPr>
    <pageSetUpPr fitToPage="1"/>
  </sheetPr>
  <dimension ref="B1:AH3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6" width="9.7109375" style="1" customWidth="1"/>
    <col min="7" max="7" width="6.7109375" style="1" customWidth="1"/>
    <col min="8" max="8" width="2.7109375" style="1" customWidth="1"/>
    <col min="9" max="9" width="5.7109375" style="1" customWidth="1"/>
    <col min="10" max="10" width="9.7109375" style="1" customWidth="1"/>
    <col min="11" max="11" width="10.7109375" style="1" customWidth="1"/>
    <col min="12" max="13" width="9.7109375" style="1" customWidth="1"/>
    <col min="14" max="14" width="7.7109375" style="1" customWidth="1"/>
    <col min="15" max="16384" width="11.42578125" style="1"/>
  </cols>
  <sheetData>
    <row r="1" spans="2:34" ht="21" x14ac:dyDescent="0.35">
      <c r="B1" s="2" t="str">
        <f>"Analiza SWOT – "&amp;Firma</f>
        <v>Analiza SWOT – Exemplu Instalații SRL</v>
      </c>
      <c r="Z1" s="29"/>
      <c r="AA1" s="29"/>
      <c r="AB1" s="29"/>
      <c r="AC1" s="29"/>
      <c r="AD1" s="29"/>
      <c r="AE1" s="29"/>
      <c r="AF1" s="29"/>
      <c r="AG1" s="29"/>
      <c r="AH1" s="29"/>
    </row>
    <row r="2" spans="2:34" x14ac:dyDescent="0.2">
      <c r="B2" s="28" t="str">
        <f>Scop&amp;"   ·   "&amp;RIGHT("0"&amp;DAY(DataA),2)&amp;"."&amp;RIGHT("0"&amp;MONTH(DataA),2)&amp;"."&amp;YEAR(DataA)&amp;"   ·   "&amp;Echipa</f>
        <v>Strategia de creștere pentru 2027   ·   14.10.2026   ·   Mihai Georgescu, Andrei Toma, Maria Stoica</v>
      </c>
      <c r="Z2" s="29"/>
      <c r="AA2" s="29"/>
      <c r="AB2" s="29"/>
      <c r="AC2" s="29"/>
      <c r="AD2" s="29"/>
      <c r="AE2" s="29"/>
      <c r="AF2" s="29"/>
      <c r="AG2" s="29"/>
      <c r="AH2" s="29"/>
    </row>
    <row r="3" spans="2:34" x14ac:dyDescent="0.2">
      <c r="Z3" s="29"/>
      <c r="AA3" s="29"/>
      <c r="AB3" s="29"/>
      <c r="AC3" s="29"/>
      <c r="AD3" s="29"/>
      <c r="AE3" s="29"/>
      <c r="AF3" s="29"/>
      <c r="AG3" s="29"/>
      <c r="AH3" s="29"/>
    </row>
    <row r="4" spans="2:34" x14ac:dyDescent="0.2">
      <c r="B4" s="66" t="s">
        <v>114</v>
      </c>
      <c r="C4" s="67"/>
      <c r="D4" s="67"/>
      <c r="E4" s="67"/>
      <c r="F4" s="67"/>
      <c r="G4" s="67"/>
      <c r="Z4" s="29"/>
      <c r="AA4" s="29"/>
      <c r="AB4" s="29"/>
      <c r="AC4" s="29"/>
      <c r="AD4" s="29"/>
      <c r="AE4" s="29"/>
      <c r="AF4" s="29"/>
      <c r="AG4" s="29"/>
      <c r="AH4" s="29"/>
    </row>
    <row r="5" spans="2:34" ht="15.75" x14ac:dyDescent="0.25">
      <c r="B5" s="68" t="s">
        <v>116</v>
      </c>
      <c r="C5" s="69"/>
      <c r="D5" s="69"/>
      <c r="E5" s="69"/>
      <c r="F5" s="69"/>
      <c r="G5" s="70"/>
      <c r="I5" s="63" t="s">
        <v>117</v>
      </c>
      <c r="J5" s="64"/>
      <c r="K5" s="64"/>
      <c r="L5" s="64"/>
      <c r="M5" s="64"/>
      <c r="N5" s="65"/>
      <c r="Z5" s="29"/>
      <c r="AA5" s="29"/>
      <c r="AB5" s="29"/>
      <c r="AC5" s="29"/>
      <c r="AD5" s="29"/>
      <c r="AE5" s="29"/>
      <c r="AF5" s="29"/>
      <c r="AG5" s="29"/>
      <c r="AH5" s="29"/>
    </row>
    <row r="6" spans="2:34" ht="41.1" customHeight="1" x14ac:dyDescent="0.2">
      <c r="B6" s="30" t="str">
        <f>IF($Z$6=0,"",INDEX(Factori!$B$5:$B$204,$Z$6))</f>
        <v>S1</v>
      </c>
      <c r="C6" s="71" t="str">
        <f>IF($Z$6=0,"",INDEX(Factori!$D$5:$D$204,$Z$6))</f>
        <v>Electricieni autorizați ANRE cu peste 10 ani de experiență: 5 din 7 angajați</v>
      </c>
      <c r="D6" s="71"/>
      <c r="E6" s="71"/>
      <c r="F6" s="71"/>
      <c r="G6" s="31">
        <f>IF($Z$6=0,"",INDEX(Factori!$H$5:$H$204,$Z$6))</f>
        <v>20</v>
      </c>
      <c r="I6" s="34" t="str">
        <f>IF($AB$6=0,"",INDEX(Factori!$B$5:$B$204,$AB$6))</f>
        <v>W1</v>
      </c>
      <c r="J6" s="58" t="str">
        <f>IF($AB$6=0,"",INDEX(Factori!$D$5:$D$204,$AB$6))</f>
        <v>Dependență de 3 clienți mari, care aduc 58% din vânzări</v>
      </c>
      <c r="K6" s="58"/>
      <c r="L6" s="58"/>
      <c r="M6" s="58"/>
      <c r="N6" s="35">
        <f>IF($AB$6=0,"",INDEX(Factori!$H$5:$H$204,$AB$6))</f>
        <v>20</v>
      </c>
      <c r="Z6" s="29">
        <f>IF(IFERROR(_xlfn.AGGREGATE(14,6,(Factori!$H$5:$H$204+ROW(Factori!$H$5:$H$204)/1000000)/(Factori!$C$5:$C$204="Punct tare"),1),0)=0,0,ROUND(MOD(IFERROR(_xlfn.AGGREGATE(14,6,(Factori!$H$5:$H$204+ROW(Factori!$H$5:$H$204)/1000000)/(Factori!$C$5:$C$204="Punct tare"),1),0),1)*1000000,0)-4)</f>
        <v>1</v>
      </c>
      <c r="AA6" s="29"/>
      <c r="AB6" s="29">
        <f>IF(IFERROR(_xlfn.AGGREGATE(14,6,(Factori!$H$5:$H$204+ROW(Factori!$H$5:$H$204)/1000000)/(Factori!$C$5:$C$204="Punct slab"),1),0)=0,0,ROUND(MOD(IFERROR(_xlfn.AGGREGATE(14,6,(Factori!$H$5:$H$204+ROW(Factori!$H$5:$H$204)/1000000)/(Factori!$C$5:$C$204="Punct slab"),1),0),1)*1000000,0)-4)</f>
        <v>4</v>
      </c>
      <c r="AC6" s="29"/>
      <c r="AD6" s="29"/>
      <c r="AE6" s="29"/>
      <c r="AF6" s="29"/>
      <c r="AG6" s="29"/>
      <c r="AH6" s="29"/>
    </row>
    <row r="7" spans="2:34" ht="41.1" customHeight="1" x14ac:dyDescent="0.2">
      <c r="B7" s="30" t="str">
        <f>IF($Z$7=0,"",INDEX(Factori!$B$5:$B$204,$Z$7))</f>
        <v>S2</v>
      </c>
      <c r="C7" s="71" t="str">
        <f>IF($Z$7=0,"",INDEX(Factori!$D$5:$D$204,$Z$7))</f>
        <v>Timp mediu de răspuns la avarii de 4 ore în Ploiești și împrejurimi</v>
      </c>
      <c r="D7" s="71"/>
      <c r="E7" s="71"/>
      <c r="F7" s="71"/>
      <c r="G7" s="31">
        <f>IF($Z$7=0,"",INDEX(Factori!$H$5:$H$204,$Z$7))</f>
        <v>16</v>
      </c>
      <c r="I7" s="34" t="str">
        <f>IF($AB$7=0,"",INDEX(Factori!$B$5:$B$204,$AB$7))</f>
        <v>W2</v>
      </c>
      <c r="J7" s="58" t="str">
        <f>IF($AB$7=0,"",INDEX(Factori!$D$5:$D$204,$AB$7))</f>
        <v>Site vechi, fără portofoliu, și zero recenzii pe Google</v>
      </c>
      <c r="K7" s="58"/>
      <c r="L7" s="58"/>
      <c r="M7" s="58"/>
      <c r="N7" s="35">
        <f>IF($AB$7=0,"",INDEX(Factori!$H$5:$H$204,$AB$7))</f>
        <v>12</v>
      </c>
      <c r="Z7" s="29">
        <f>IF(IFERROR(_xlfn.AGGREGATE(14,6,(Factori!$H$5:$H$204+ROW(Factori!$H$5:$H$204)/1000000)/(Factori!$C$5:$C$204="Punct tare"),2),0)=0,0,ROUND(MOD(IFERROR(_xlfn.AGGREGATE(14,6,(Factori!$H$5:$H$204+ROW(Factori!$H$5:$H$204)/1000000)/(Factori!$C$5:$C$204="Punct tare"),2),0),1)*1000000,0)-4)</f>
        <v>2</v>
      </c>
      <c r="AA7" s="29"/>
      <c r="AB7" s="29">
        <f>IF(IFERROR(_xlfn.AGGREGATE(14,6,(Factori!$H$5:$H$204+ROW(Factori!$H$5:$H$204)/1000000)/(Factori!$C$5:$C$204="Punct slab"),2),0)=0,0,ROUND(MOD(IFERROR(_xlfn.AGGREGATE(14,6,(Factori!$H$5:$H$204+ROW(Factori!$H$5:$H$204)/1000000)/(Factori!$C$5:$C$204="Punct slab"),2),0),1)*1000000,0)-4)</f>
        <v>5</v>
      </c>
      <c r="AC7" s="29"/>
      <c r="AD7" s="29"/>
      <c r="AE7" s="29"/>
      <c r="AF7" s="29"/>
      <c r="AG7" s="29"/>
      <c r="AH7" s="29"/>
    </row>
    <row r="8" spans="2:34" ht="41.1" customHeight="1" x14ac:dyDescent="0.2">
      <c r="B8" s="30" t="str">
        <f>IF($Z$8=0,"",INDEX(Factori!$B$5:$B$204,$Z$8))</f>
        <v>S3</v>
      </c>
      <c r="C8" s="71" t="str">
        <f>IF($Z$8=0,"",INDEX(Factori!$D$5:$D$204,$Z$8))</f>
        <v>62% dintre clienții noi din 2026 au venit din recomandări</v>
      </c>
      <c r="D8" s="71"/>
      <c r="E8" s="71"/>
      <c r="F8" s="71"/>
      <c r="G8" s="31">
        <f>IF($Z$8=0,"",INDEX(Factori!$H$5:$H$204,$Z$8))</f>
        <v>12</v>
      </c>
      <c r="I8" s="34" t="str">
        <f>IF($AB$8=0,"",INDEX(Factori!$B$5:$B$204,$AB$8))</f>
        <v>W3</v>
      </c>
      <c r="J8" s="58" t="str">
        <f>IF($AB$8=0,"",INDEX(Factori!$D$5:$D$204,$AB$8))</f>
        <v>Ore suplimentare frecvente în sezonul de vârf (16 h/lună la șeful de echipă)</v>
      </c>
      <c r="K8" s="58"/>
      <c r="L8" s="58"/>
      <c r="M8" s="58"/>
      <c r="N8" s="35">
        <f>IF($AB$8=0,"",INDEX(Factori!$H$5:$H$204,$AB$8))</f>
        <v>9</v>
      </c>
      <c r="Z8" s="29">
        <f>IF(IFERROR(_xlfn.AGGREGATE(14,6,(Factori!$H$5:$H$204+ROW(Factori!$H$5:$H$204)/1000000)/(Factori!$C$5:$C$204="Punct tare"),3),0)=0,0,ROUND(MOD(IFERROR(_xlfn.AGGREGATE(14,6,(Factori!$H$5:$H$204+ROW(Factori!$H$5:$H$204)/1000000)/(Factori!$C$5:$C$204="Punct tare"),3),0),1)*1000000,0)-4)</f>
        <v>3</v>
      </c>
      <c r="AA8" s="29"/>
      <c r="AB8" s="29">
        <f>IF(IFERROR(_xlfn.AGGREGATE(14,6,(Factori!$H$5:$H$204+ROW(Factori!$H$5:$H$204)/1000000)/(Factori!$C$5:$C$204="Punct slab"),3),0)=0,0,ROUND(MOD(IFERROR(_xlfn.AGGREGATE(14,6,(Factori!$H$5:$H$204+ROW(Factori!$H$5:$H$204)/1000000)/(Factori!$C$5:$C$204="Punct slab"),3),0),1)*1000000,0)-4)</f>
        <v>6</v>
      </c>
      <c r="AC8" s="29"/>
      <c r="AD8" s="29"/>
      <c r="AE8" s="29"/>
      <c r="AF8" s="29"/>
      <c r="AG8" s="29"/>
      <c r="AH8" s="29"/>
    </row>
    <row r="9" spans="2:34" ht="41.1" customHeight="1" x14ac:dyDescent="0.2">
      <c r="B9" s="30" t="str">
        <f>IF($Z$9=0,"",INDEX(Factori!$B$5:$B$204,$Z$9))</f>
        <v/>
      </c>
      <c r="C9" s="71" t="str">
        <f>IF($Z$9=0,"",INDEX(Factori!$D$5:$D$204,$Z$9))</f>
        <v/>
      </c>
      <c r="D9" s="71"/>
      <c r="E9" s="71"/>
      <c r="F9" s="71"/>
      <c r="G9" s="31" t="str">
        <f>IF($Z$9=0,"",INDEX(Factori!$H$5:$H$204,$Z$9))</f>
        <v/>
      </c>
      <c r="I9" s="34" t="str">
        <f>IF($AB$9=0,"",INDEX(Factori!$B$5:$B$204,$AB$9))</f>
        <v>W4</v>
      </c>
      <c r="J9" s="58" t="str">
        <f>IF($AB$9=0,"",INDEX(Factori!$D$5:$D$204,$AB$9))</f>
        <v>Marketing slab</v>
      </c>
      <c r="K9" s="58"/>
      <c r="L9" s="58"/>
      <c r="M9" s="58"/>
      <c r="N9" s="35">
        <f>IF($AB$9=0,"",INDEX(Factori!$H$5:$H$204,$AB$9))</f>
        <v>4</v>
      </c>
      <c r="Z9" s="29">
        <f>IF(IFERROR(_xlfn.AGGREGATE(14,6,(Factori!$H$5:$H$204+ROW(Factori!$H$5:$H$204)/1000000)/(Factori!$C$5:$C$204="Punct tare"),4),0)=0,0,ROUND(MOD(IFERROR(_xlfn.AGGREGATE(14,6,(Factori!$H$5:$H$204+ROW(Factori!$H$5:$H$204)/1000000)/(Factori!$C$5:$C$204="Punct tare"),4),0),1)*1000000,0)-4)</f>
        <v>0</v>
      </c>
      <c r="AA9" s="29"/>
      <c r="AB9" s="29">
        <f>IF(IFERROR(_xlfn.AGGREGATE(14,6,(Factori!$H$5:$H$204+ROW(Factori!$H$5:$H$204)/1000000)/(Factori!$C$5:$C$204="Punct slab"),4),0)=0,0,ROUND(MOD(IFERROR(_xlfn.AGGREGATE(14,6,(Factori!$H$5:$H$204+ROW(Factori!$H$5:$H$204)/1000000)/(Factori!$C$5:$C$204="Punct slab"),4),0),1)*1000000,0)-4)</f>
        <v>7</v>
      </c>
      <c r="AC9" s="29"/>
      <c r="AD9" s="29"/>
      <c r="AE9" s="29"/>
      <c r="AF9" s="29"/>
      <c r="AG9" s="29"/>
      <c r="AH9" s="29"/>
    </row>
    <row r="10" spans="2:34" ht="41.1" customHeight="1" x14ac:dyDescent="0.2">
      <c r="B10" s="30" t="str">
        <f>IF($Z$10=0,"",INDEX(Factori!$B$5:$B$204,$Z$10))</f>
        <v/>
      </c>
      <c r="C10" s="71" t="str">
        <f>IF($Z$10=0,"",INDEX(Factori!$D$5:$D$204,$Z$10))</f>
        <v/>
      </c>
      <c r="D10" s="71"/>
      <c r="E10" s="71"/>
      <c r="F10" s="71"/>
      <c r="G10" s="31" t="str">
        <f>IF($Z$10=0,"",INDEX(Factori!$H$5:$H$204,$Z$10))</f>
        <v/>
      </c>
      <c r="I10" s="34" t="str">
        <f>IF($AB$10=0,"",INDEX(Factori!$B$5:$B$204,$AB$10))</f>
        <v/>
      </c>
      <c r="J10" s="58" t="str">
        <f>IF($AB$10=0,"",INDEX(Factori!$D$5:$D$204,$AB$10))</f>
        <v/>
      </c>
      <c r="K10" s="58"/>
      <c r="L10" s="58"/>
      <c r="M10" s="58"/>
      <c r="N10" s="35" t="str">
        <f>IF($AB$10=0,"",INDEX(Factori!$H$5:$H$204,$AB$10))</f>
        <v/>
      </c>
      <c r="Z10" s="29">
        <f>IF(IFERROR(_xlfn.AGGREGATE(14,6,(Factori!$H$5:$H$204+ROW(Factori!$H$5:$H$204)/1000000)/(Factori!$C$5:$C$204="Punct tare"),5),0)=0,0,ROUND(MOD(IFERROR(_xlfn.AGGREGATE(14,6,(Factori!$H$5:$H$204+ROW(Factori!$H$5:$H$204)/1000000)/(Factori!$C$5:$C$204="Punct tare"),5),0),1)*1000000,0)-4)</f>
        <v>0</v>
      </c>
      <c r="AA10" s="29"/>
      <c r="AB10" s="29">
        <f>IF(IFERROR(_xlfn.AGGREGATE(14,6,(Factori!$H$5:$H$204+ROW(Factori!$H$5:$H$204)/1000000)/(Factori!$C$5:$C$204="Punct slab"),5),0)=0,0,ROUND(MOD(IFERROR(_xlfn.AGGREGATE(14,6,(Factori!$H$5:$H$204+ROW(Factori!$H$5:$H$204)/1000000)/(Factori!$C$5:$C$204="Punct slab"),5),0),1)*1000000,0)-4)</f>
        <v>0</v>
      </c>
      <c r="AC10" s="29"/>
      <c r="AD10" s="29"/>
      <c r="AE10" s="29"/>
      <c r="AF10" s="29"/>
      <c r="AG10" s="29"/>
      <c r="AH10" s="29"/>
    </row>
    <row r="11" spans="2:34" ht="41.1" customHeight="1" x14ac:dyDescent="0.2">
      <c r="B11" s="30" t="str">
        <f>IF($Z$11=0,"",INDEX(Factori!$B$5:$B$204,$Z$11))</f>
        <v/>
      </c>
      <c r="C11" s="71" t="str">
        <f>IF($Z$11=0,"",INDEX(Factori!$D$5:$D$204,$Z$11))</f>
        <v/>
      </c>
      <c r="D11" s="71"/>
      <c r="E11" s="71"/>
      <c r="F11" s="71"/>
      <c r="G11" s="31" t="str">
        <f>IF($Z$11=0,"",INDEX(Factori!$H$5:$H$204,$Z$11))</f>
        <v/>
      </c>
      <c r="I11" s="34" t="str">
        <f>IF($AB$11=0,"",INDEX(Factori!$B$5:$B$204,$AB$11))</f>
        <v/>
      </c>
      <c r="J11" s="58" t="str">
        <f>IF($AB$11=0,"",INDEX(Factori!$D$5:$D$204,$AB$11))</f>
        <v/>
      </c>
      <c r="K11" s="58"/>
      <c r="L11" s="58"/>
      <c r="M11" s="58"/>
      <c r="N11" s="35" t="str">
        <f>IF($AB$11=0,"",INDEX(Factori!$H$5:$H$204,$AB$11))</f>
        <v/>
      </c>
      <c r="Z11" s="29">
        <f>IF(IFERROR(_xlfn.AGGREGATE(14,6,(Factori!$H$5:$H$204+ROW(Factori!$H$5:$H$204)/1000000)/(Factori!$C$5:$C$204="Punct tare"),6),0)=0,0,ROUND(MOD(IFERROR(_xlfn.AGGREGATE(14,6,(Factori!$H$5:$H$204+ROW(Factori!$H$5:$H$204)/1000000)/(Factori!$C$5:$C$204="Punct tare"),6),0),1)*1000000,0)-4)</f>
        <v>0</v>
      </c>
      <c r="AA11" s="29"/>
      <c r="AB11" s="29">
        <f>IF(IFERROR(_xlfn.AGGREGATE(14,6,(Factori!$H$5:$H$204+ROW(Factori!$H$5:$H$204)/1000000)/(Factori!$C$5:$C$204="Punct slab"),6),0)=0,0,ROUND(MOD(IFERROR(_xlfn.AGGREGATE(14,6,(Factori!$H$5:$H$204+ROW(Factori!$H$5:$H$204)/1000000)/(Factori!$C$5:$C$204="Punct slab"),6),0),1)*1000000,0)-4)</f>
        <v>0</v>
      </c>
      <c r="AC11" s="29"/>
      <c r="AD11" s="29"/>
      <c r="AE11" s="29"/>
      <c r="AF11" s="29"/>
      <c r="AG11" s="29"/>
      <c r="AH11" s="29"/>
    </row>
    <row r="12" spans="2:34" ht="41.1" customHeight="1" x14ac:dyDescent="0.2">
      <c r="B12" s="32" t="str">
        <f>IF($Z$12=0,"",INDEX(Factori!$B$5:$B$204,$Z$12))</f>
        <v/>
      </c>
      <c r="C12" s="72" t="str">
        <f>IF($Z$12=0,"",INDEX(Factori!$D$5:$D$204,$Z$12))</f>
        <v/>
      </c>
      <c r="D12" s="72"/>
      <c r="E12" s="72"/>
      <c r="F12" s="72"/>
      <c r="G12" s="33" t="str">
        <f>IF($Z$12=0,"",INDEX(Factori!$H$5:$H$204,$Z$12))</f>
        <v/>
      </c>
      <c r="I12" s="36" t="str">
        <f>IF($AB$12=0,"",INDEX(Factori!$B$5:$B$204,$AB$12))</f>
        <v/>
      </c>
      <c r="J12" s="59" t="str">
        <f>IF($AB$12=0,"",INDEX(Factori!$D$5:$D$204,$AB$12))</f>
        <v/>
      </c>
      <c r="K12" s="59"/>
      <c r="L12" s="59"/>
      <c r="M12" s="59"/>
      <c r="N12" s="37" t="str">
        <f>IF($AB$12=0,"",INDEX(Factori!$H$5:$H$204,$AB$12))</f>
        <v/>
      </c>
      <c r="Z12" s="29">
        <f>IF(IFERROR(_xlfn.AGGREGATE(14,6,(Factori!$H$5:$H$204+ROW(Factori!$H$5:$H$204)/1000000)/(Factori!$C$5:$C$204="Punct tare"),7),0)=0,0,ROUND(MOD(IFERROR(_xlfn.AGGREGATE(14,6,(Factori!$H$5:$H$204+ROW(Factori!$H$5:$H$204)/1000000)/(Factori!$C$5:$C$204="Punct tare"),7),0),1)*1000000,0)-4)</f>
        <v>0</v>
      </c>
      <c r="AA12" s="29"/>
      <c r="AB12" s="29">
        <f>IF(IFERROR(_xlfn.AGGREGATE(14,6,(Factori!$H$5:$H$204+ROW(Factori!$H$5:$H$204)/1000000)/(Factori!$C$5:$C$204="Punct slab"),7),0)=0,0,ROUND(MOD(IFERROR(_xlfn.AGGREGATE(14,6,(Factori!$H$5:$H$204+ROW(Factori!$H$5:$H$204)/1000000)/(Factori!$C$5:$C$204="Punct slab"),7),0),1)*1000000,0)-4)</f>
        <v>0</v>
      </c>
      <c r="AC12" s="29"/>
      <c r="AD12" s="29"/>
      <c r="AE12" s="29"/>
      <c r="AF12" s="29"/>
      <c r="AG12" s="29"/>
      <c r="AH12" s="29"/>
    </row>
    <row r="13" spans="2:34" x14ac:dyDescent="0.2">
      <c r="Z13" s="29"/>
      <c r="AA13" s="29"/>
      <c r="AB13" s="29"/>
      <c r="AC13" s="29"/>
      <c r="AD13" s="29"/>
      <c r="AE13" s="29"/>
      <c r="AF13" s="29"/>
      <c r="AG13" s="29"/>
      <c r="AH13" s="29"/>
    </row>
    <row r="14" spans="2:34" x14ac:dyDescent="0.2">
      <c r="B14" s="66" t="s">
        <v>115</v>
      </c>
      <c r="C14" s="66"/>
      <c r="D14" s="66"/>
      <c r="E14" s="66"/>
      <c r="F14" s="66"/>
      <c r="G14" s="66"/>
      <c r="Z14" s="29"/>
      <c r="AA14" s="29"/>
      <c r="AB14" s="29"/>
      <c r="AC14" s="29"/>
      <c r="AD14" s="29"/>
      <c r="AE14" s="29"/>
      <c r="AF14" s="29"/>
      <c r="AG14" s="29"/>
      <c r="AH14" s="29"/>
    </row>
    <row r="15" spans="2:34" ht="15.75" x14ac:dyDescent="0.25">
      <c r="B15" s="60" t="s">
        <v>118</v>
      </c>
      <c r="C15" s="61"/>
      <c r="D15" s="61"/>
      <c r="E15" s="61"/>
      <c r="F15" s="61"/>
      <c r="G15" s="62"/>
      <c r="I15" s="55" t="s">
        <v>119</v>
      </c>
      <c r="J15" s="56"/>
      <c r="K15" s="56"/>
      <c r="L15" s="56"/>
      <c r="M15" s="56"/>
      <c r="N15" s="57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2:34" ht="41.1" customHeight="1" x14ac:dyDescent="0.2">
      <c r="B16" s="38" t="str">
        <f>IF($AD$16=0,"",INDEX(Factori!$B$5:$B$204,$AD$16))</f>
        <v>O1</v>
      </c>
      <c r="C16" s="53" t="str">
        <f>IF($AD$16=0,"",INDEX(Factori!$D$5:$D$204,$AD$16))</f>
        <v>Cerere în creștere pentru instalații fotovoltaice la case: 14 cereri de ofertă în 2026, față de 5 în 2025</v>
      </c>
      <c r="D16" s="53"/>
      <c r="E16" s="53"/>
      <c r="F16" s="53"/>
      <c r="G16" s="39">
        <f>IF($AD$16=0,"",INDEX(Factori!$H$5:$H$204,$AD$16))</f>
        <v>20</v>
      </c>
      <c r="I16" s="42" t="str">
        <f>IF($AF$16=0,"",INDEX(Factori!$B$5:$B$204,$AF$16))</f>
        <v>T1</v>
      </c>
      <c r="J16" s="50" t="str">
        <f>IF($AF$16=0,"",INDEX(Factori!$D$5:$D$204,$AF$16))</f>
        <v>Lipsă de electricieni calificați pe piață: un post neocupat de 4 luni</v>
      </c>
      <c r="K16" s="50"/>
      <c r="L16" s="50"/>
      <c r="M16" s="50"/>
      <c r="N16" s="43">
        <f>IF($AF$16=0,"",INDEX(Factori!$H$5:$H$204,$AF$16))</f>
        <v>20</v>
      </c>
      <c r="Z16" s="29"/>
      <c r="AA16" s="29"/>
      <c r="AB16" s="29"/>
      <c r="AC16" s="29"/>
      <c r="AD16" s="29">
        <f>IF(IFERROR(_xlfn.AGGREGATE(14,6,(Factori!$H$5:$H$204+ROW(Factori!$H$5:$H$204)/1000000)/(Factori!$C$5:$C$204="Oportunitate"),1),0)=0,0,ROUND(MOD(IFERROR(_xlfn.AGGREGATE(14,6,(Factori!$H$5:$H$204+ROW(Factori!$H$5:$H$204)/1000000)/(Factori!$C$5:$C$204="Oportunitate"),1),0),1)*1000000,0)-4)</f>
        <v>8</v>
      </c>
      <c r="AE16" s="29"/>
      <c r="AF16" s="29">
        <f>IF(IFERROR(_xlfn.AGGREGATE(14,6,(Factori!$H$5:$H$204+ROW(Factori!$H$5:$H$204)/1000000)/(Factori!$C$5:$C$204="Amenințare"),1),0)=0,0,ROUND(MOD(IFERROR(_xlfn.AGGREGATE(14,6,(Factori!$H$5:$H$204+ROW(Factori!$H$5:$H$204)/1000000)/(Factori!$C$5:$C$204="Amenințare"),1),0),1)*1000000,0)-4)</f>
        <v>11</v>
      </c>
      <c r="AG16" s="29"/>
      <c r="AH16" s="29"/>
    </row>
    <row r="17" spans="2:34" ht="41.1" customHeight="1" x14ac:dyDescent="0.2">
      <c r="B17" s="38" t="str">
        <f>IF($AD$17=0,"",INDEX(Factori!$B$5:$B$204,$AD$17))</f>
        <v>O2</v>
      </c>
      <c r="C17" s="53" t="str">
        <f>IF($AD$17=0,"",INDEX(Factori!$D$5:$D$204,$AD$17))</f>
        <v>Trei blocuri noi în construcție în Ploiești Vest, cu instalațiile electrice încă necontractate</v>
      </c>
      <c r="D17" s="53"/>
      <c r="E17" s="53"/>
      <c r="F17" s="53"/>
      <c r="G17" s="39">
        <f>IF($AD$17=0,"",INDEX(Factori!$H$5:$H$204,$AD$17))</f>
        <v>12</v>
      </c>
      <c r="I17" s="42" t="str">
        <f>IF($AF$17=0,"",INDEX(Factori!$B$5:$B$204,$AF$17))</f>
        <v>T2</v>
      </c>
      <c r="J17" s="50" t="str">
        <f>IF($AF$17=0,"",INDEX(Factori!$D$5:$D$204,$AF$17))</f>
        <v>Prețul cuprului și al aparatajului a crescut cu 12% în 2026</v>
      </c>
      <c r="K17" s="50"/>
      <c r="L17" s="50"/>
      <c r="M17" s="50"/>
      <c r="N17" s="43">
        <f>IF($AF$17=0,"",INDEX(Factori!$H$5:$H$204,$AF$17))</f>
        <v>16</v>
      </c>
      <c r="Z17" s="29"/>
      <c r="AA17" s="29"/>
      <c r="AB17" s="29"/>
      <c r="AC17" s="29"/>
      <c r="AD17" s="29">
        <f>IF(IFERROR(_xlfn.AGGREGATE(14,6,(Factori!$H$5:$H$204+ROW(Factori!$H$5:$H$204)/1000000)/(Factori!$C$5:$C$204="Oportunitate"),2),0)=0,0,ROUND(MOD(IFERROR(_xlfn.AGGREGATE(14,6,(Factori!$H$5:$H$204+ROW(Factori!$H$5:$H$204)/1000000)/(Factori!$C$5:$C$204="Oportunitate"),2),0),1)*1000000,0)-4)</f>
        <v>9</v>
      </c>
      <c r="AE17" s="29"/>
      <c r="AF17" s="29">
        <f>IF(IFERROR(_xlfn.AGGREGATE(14,6,(Factori!$H$5:$H$204+ROW(Factori!$H$5:$H$204)/1000000)/(Factori!$C$5:$C$204="Amenințare"),2),0)=0,0,ROUND(MOD(IFERROR(_xlfn.AGGREGATE(14,6,(Factori!$H$5:$H$204+ROW(Factori!$H$5:$H$204)/1000000)/(Factori!$C$5:$C$204="Amenințare"),2),0),1)*1000000,0)-4)</f>
        <v>12</v>
      </c>
      <c r="AG17" s="29"/>
      <c r="AH17" s="29"/>
    </row>
    <row r="18" spans="2:34" ht="41.1" customHeight="1" x14ac:dyDescent="0.2">
      <c r="B18" s="38" t="str">
        <f>IF($AD$18=0,"",INDEX(Factori!$B$5:$B$204,$AD$18))</f>
        <v>O3</v>
      </c>
      <c r="C18" s="53" t="str">
        <f>IF($AD$18=0,"",INDEX(Factori!$D$5:$D$204,$AD$18))</f>
        <v>Firmele din zonă caută contracte de mentenanță anuală a instalațiilor</v>
      </c>
      <c r="D18" s="53"/>
      <c r="E18" s="53"/>
      <c r="F18" s="53"/>
      <c r="G18" s="39">
        <f>IF($AD$18=0,"",INDEX(Factori!$H$5:$H$204,$AD$18))</f>
        <v>9</v>
      </c>
      <c r="I18" s="42" t="str">
        <f>IF($AF$18=0,"",INDEX(Factori!$B$5:$B$204,$AF$18))</f>
        <v>T3</v>
      </c>
      <c r="J18" s="50" t="str">
        <f>IF($AF$18=0,"",INDEX(Factori!$D$5:$D$204,$AF$18))</f>
        <v>Trei firme noi în oraș, cu prețuri mici și reclame pe platforme online</v>
      </c>
      <c r="K18" s="50"/>
      <c r="L18" s="50"/>
      <c r="M18" s="50"/>
      <c r="N18" s="43">
        <f>IF($AF$18=0,"",INDEX(Factori!$H$5:$H$204,$AF$18))</f>
        <v>9</v>
      </c>
      <c r="Z18" s="29"/>
      <c r="AA18" s="29"/>
      <c r="AB18" s="29"/>
      <c r="AC18" s="29"/>
      <c r="AD18" s="29">
        <f>IF(IFERROR(_xlfn.AGGREGATE(14,6,(Factori!$H$5:$H$204+ROW(Factori!$H$5:$H$204)/1000000)/(Factori!$C$5:$C$204="Oportunitate"),3),0)=0,0,ROUND(MOD(IFERROR(_xlfn.AGGREGATE(14,6,(Factori!$H$5:$H$204+ROW(Factori!$H$5:$H$204)/1000000)/(Factori!$C$5:$C$204="Oportunitate"),3),0),1)*1000000,0)-4)</f>
        <v>10</v>
      </c>
      <c r="AE18" s="29"/>
      <c r="AF18" s="29">
        <f>IF(IFERROR(_xlfn.AGGREGATE(14,6,(Factori!$H$5:$H$204+ROW(Factori!$H$5:$H$204)/1000000)/(Factori!$C$5:$C$204="Amenințare"),3),0)=0,0,ROUND(MOD(IFERROR(_xlfn.AGGREGATE(14,6,(Factori!$H$5:$H$204+ROW(Factori!$H$5:$H$204)/1000000)/(Factori!$C$5:$C$204="Amenințare"),3),0),1)*1000000,0)-4)</f>
        <v>13</v>
      </c>
      <c r="AG18" s="29"/>
      <c r="AH18" s="29"/>
    </row>
    <row r="19" spans="2:34" ht="41.1" customHeight="1" x14ac:dyDescent="0.2">
      <c r="B19" s="38" t="str">
        <f>IF($AD$19=0,"",INDEX(Factori!$B$5:$B$204,$AD$19))</f>
        <v/>
      </c>
      <c r="C19" s="53" t="str">
        <f>IF($AD$19=0,"",INDEX(Factori!$D$5:$D$204,$AD$19))</f>
        <v/>
      </c>
      <c r="D19" s="53"/>
      <c r="E19" s="53"/>
      <c r="F19" s="53"/>
      <c r="G19" s="39" t="str">
        <f>IF($AD$19=0,"",INDEX(Factori!$H$5:$H$204,$AD$19))</f>
        <v/>
      </c>
      <c r="I19" s="42" t="str">
        <f>IF($AF$19=0,"",INDEX(Factori!$B$5:$B$204,$AF$19))</f>
        <v/>
      </c>
      <c r="J19" s="50" t="str">
        <f>IF($AF$19=0,"",INDEX(Factori!$D$5:$D$204,$AF$19))</f>
        <v/>
      </c>
      <c r="K19" s="50"/>
      <c r="L19" s="50"/>
      <c r="M19" s="50"/>
      <c r="N19" s="43" t="str">
        <f>IF($AF$19=0,"",INDEX(Factori!$H$5:$H$204,$AF$19))</f>
        <v/>
      </c>
      <c r="Z19" s="29"/>
      <c r="AA19" s="29"/>
      <c r="AB19" s="29"/>
      <c r="AC19" s="29"/>
      <c r="AD19" s="29">
        <f>IF(IFERROR(_xlfn.AGGREGATE(14,6,(Factori!$H$5:$H$204+ROW(Factori!$H$5:$H$204)/1000000)/(Factori!$C$5:$C$204="Oportunitate"),4),0)=0,0,ROUND(MOD(IFERROR(_xlfn.AGGREGATE(14,6,(Factori!$H$5:$H$204+ROW(Factori!$H$5:$H$204)/1000000)/(Factori!$C$5:$C$204="Oportunitate"),4),0),1)*1000000,0)-4)</f>
        <v>0</v>
      </c>
      <c r="AE19" s="29"/>
      <c r="AF19" s="29">
        <f>IF(IFERROR(_xlfn.AGGREGATE(14,6,(Factori!$H$5:$H$204+ROW(Factori!$H$5:$H$204)/1000000)/(Factori!$C$5:$C$204="Amenințare"),4),0)=0,0,ROUND(MOD(IFERROR(_xlfn.AGGREGATE(14,6,(Factori!$H$5:$H$204+ROW(Factori!$H$5:$H$204)/1000000)/(Factori!$C$5:$C$204="Amenințare"),4),0),1)*1000000,0)-4)</f>
        <v>0</v>
      </c>
      <c r="AG19" s="29"/>
      <c r="AH19" s="29"/>
    </row>
    <row r="20" spans="2:34" ht="41.1" customHeight="1" x14ac:dyDescent="0.2">
      <c r="B20" s="38" t="str">
        <f>IF($AD$20=0,"",INDEX(Factori!$B$5:$B$204,$AD$20))</f>
        <v/>
      </c>
      <c r="C20" s="53" t="str">
        <f>IF($AD$20=0,"",INDEX(Factori!$D$5:$D$204,$AD$20))</f>
        <v/>
      </c>
      <c r="D20" s="53"/>
      <c r="E20" s="53"/>
      <c r="F20" s="53"/>
      <c r="G20" s="39" t="str">
        <f>IF($AD$20=0,"",INDEX(Factori!$H$5:$H$204,$AD$20))</f>
        <v/>
      </c>
      <c r="I20" s="42" t="str">
        <f>IF($AF$20=0,"",INDEX(Factori!$B$5:$B$204,$AF$20))</f>
        <v/>
      </c>
      <c r="J20" s="50" t="str">
        <f>IF($AF$20=0,"",INDEX(Factori!$D$5:$D$204,$AF$20))</f>
        <v/>
      </c>
      <c r="K20" s="50"/>
      <c r="L20" s="50"/>
      <c r="M20" s="50"/>
      <c r="N20" s="43" t="str">
        <f>IF($AF$20=0,"",INDEX(Factori!$H$5:$H$204,$AF$20))</f>
        <v/>
      </c>
      <c r="Z20" s="29"/>
      <c r="AA20" s="29"/>
      <c r="AB20" s="29"/>
      <c r="AC20" s="29"/>
      <c r="AD20" s="29">
        <f>IF(IFERROR(_xlfn.AGGREGATE(14,6,(Factori!$H$5:$H$204+ROW(Factori!$H$5:$H$204)/1000000)/(Factori!$C$5:$C$204="Oportunitate"),5),0)=0,0,ROUND(MOD(IFERROR(_xlfn.AGGREGATE(14,6,(Factori!$H$5:$H$204+ROW(Factori!$H$5:$H$204)/1000000)/(Factori!$C$5:$C$204="Oportunitate"),5),0),1)*1000000,0)-4)</f>
        <v>0</v>
      </c>
      <c r="AE20" s="29"/>
      <c r="AF20" s="29">
        <f>IF(IFERROR(_xlfn.AGGREGATE(14,6,(Factori!$H$5:$H$204+ROW(Factori!$H$5:$H$204)/1000000)/(Factori!$C$5:$C$204="Amenințare"),5),0)=0,0,ROUND(MOD(IFERROR(_xlfn.AGGREGATE(14,6,(Factori!$H$5:$H$204+ROW(Factori!$H$5:$H$204)/1000000)/(Factori!$C$5:$C$204="Amenințare"),5),0),1)*1000000,0)-4)</f>
        <v>0</v>
      </c>
      <c r="AG20" s="29"/>
      <c r="AH20" s="29"/>
    </row>
    <row r="21" spans="2:34" ht="41.1" customHeight="1" x14ac:dyDescent="0.2">
      <c r="B21" s="38" t="str">
        <f>IF($AD$21=0,"",INDEX(Factori!$B$5:$B$204,$AD$21))</f>
        <v/>
      </c>
      <c r="C21" s="53" t="str">
        <f>IF($AD$21=0,"",INDEX(Factori!$D$5:$D$204,$AD$21))</f>
        <v/>
      </c>
      <c r="D21" s="53"/>
      <c r="E21" s="53"/>
      <c r="F21" s="53"/>
      <c r="G21" s="39" t="str">
        <f>IF($AD$21=0,"",INDEX(Factori!$H$5:$H$204,$AD$21))</f>
        <v/>
      </c>
      <c r="I21" s="42" t="str">
        <f>IF($AF$21=0,"",INDEX(Factori!$B$5:$B$204,$AF$21))</f>
        <v/>
      </c>
      <c r="J21" s="50" t="str">
        <f>IF($AF$21=0,"",INDEX(Factori!$D$5:$D$204,$AF$21))</f>
        <v/>
      </c>
      <c r="K21" s="50"/>
      <c r="L21" s="50"/>
      <c r="M21" s="50"/>
      <c r="N21" s="43" t="str">
        <f>IF($AF$21=0,"",INDEX(Factori!$H$5:$H$204,$AF$21))</f>
        <v/>
      </c>
      <c r="Z21" s="29"/>
      <c r="AA21" s="29"/>
      <c r="AB21" s="29"/>
      <c r="AC21" s="29"/>
      <c r="AD21" s="29">
        <f>IF(IFERROR(_xlfn.AGGREGATE(14,6,(Factori!$H$5:$H$204+ROW(Factori!$H$5:$H$204)/1000000)/(Factori!$C$5:$C$204="Oportunitate"),6),0)=0,0,ROUND(MOD(IFERROR(_xlfn.AGGREGATE(14,6,(Factori!$H$5:$H$204+ROW(Factori!$H$5:$H$204)/1000000)/(Factori!$C$5:$C$204="Oportunitate"),6),0),1)*1000000,0)-4)</f>
        <v>0</v>
      </c>
      <c r="AE21" s="29"/>
      <c r="AF21" s="29">
        <f>IF(IFERROR(_xlfn.AGGREGATE(14,6,(Factori!$H$5:$H$204+ROW(Factori!$H$5:$H$204)/1000000)/(Factori!$C$5:$C$204="Amenințare"),6),0)=0,0,ROUND(MOD(IFERROR(_xlfn.AGGREGATE(14,6,(Factori!$H$5:$H$204+ROW(Factori!$H$5:$H$204)/1000000)/(Factori!$C$5:$C$204="Amenințare"),6),0),1)*1000000,0)-4)</f>
        <v>0</v>
      </c>
      <c r="AG21" s="29"/>
      <c r="AH21" s="29"/>
    </row>
    <row r="22" spans="2:34" ht="41.1" customHeight="1" x14ac:dyDescent="0.2">
      <c r="B22" s="40" t="str">
        <f>IF($AD$22=0,"",INDEX(Factori!$B$5:$B$204,$AD$22))</f>
        <v/>
      </c>
      <c r="C22" s="54" t="str">
        <f>IF($AD$22=0,"",INDEX(Factori!$D$5:$D$204,$AD$22))</f>
        <v/>
      </c>
      <c r="D22" s="54"/>
      <c r="E22" s="54"/>
      <c r="F22" s="54"/>
      <c r="G22" s="41" t="str">
        <f>IF($AD$22=0,"",INDEX(Factori!$H$5:$H$204,$AD$22))</f>
        <v/>
      </c>
      <c r="I22" s="44" t="str">
        <f>IF($AF$22=0,"",INDEX(Factori!$B$5:$B$204,$AF$22))</f>
        <v/>
      </c>
      <c r="J22" s="51" t="str">
        <f>IF($AF$22=0,"",INDEX(Factori!$D$5:$D$204,$AF$22))</f>
        <v/>
      </c>
      <c r="K22" s="51"/>
      <c r="L22" s="51"/>
      <c r="M22" s="51"/>
      <c r="N22" s="45" t="str">
        <f>IF($AF$22=0,"",INDEX(Factori!$H$5:$H$204,$AF$22))</f>
        <v/>
      </c>
      <c r="Z22" s="29"/>
      <c r="AA22" s="29"/>
      <c r="AB22" s="29"/>
      <c r="AC22" s="29"/>
      <c r="AD22" s="29">
        <f>IF(IFERROR(_xlfn.AGGREGATE(14,6,(Factori!$H$5:$H$204+ROW(Factori!$H$5:$H$204)/1000000)/(Factori!$C$5:$C$204="Oportunitate"),7),0)=0,0,ROUND(MOD(IFERROR(_xlfn.AGGREGATE(14,6,(Factori!$H$5:$H$204+ROW(Factori!$H$5:$H$204)/1000000)/(Factori!$C$5:$C$204="Oportunitate"),7),0),1)*1000000,0)-4)</f>
        <v>0</v>
      </c>
      <c r="AE22" s="29"/>
      <c r="AF22" s="29">
        <f>IF(IFERROR(_xlfn.AGGREGATE(14,6,(Factori!$H$5:$H$204+ROW(Factori!$H$5:$H$204)/1000000)/(Factori!$C$5:$C$204="Amenințare"),7),0)=0,0,ROUND(MOD(IFERROR(_xlfn.AGGREGATE(14,6,(Factori!$H$5:$H$204+ROW(Factori!$H$5:$H$204)/1000000)/(Factori!$C$5:$C$204="Amenințare"),7),0),1)*1000000,0)-4)</f>
        <v>0</v>
      </c>
      <c r="AG22" s="29"/>
      <c r="AH22" s="29"/>
    </row>
    <row r="23" spans="2:34" x14ac:dyDescent="0.2">
      <c r="Z23" s="29"/>
      <c r="AA23" s="29"/>
      <c r="AB23" s="29"/>
      <c r="AC23" s="29"/>
      <c r="AD23" s="29"/>
      <c r="AE23" s="29"/>
      <c r="AF23" s="29"/>
      <c r="AG23" s="29"/>
      <c r="AH23" s="29"/>
    </row>
    <row r="24" spans="2:34" x14ac:dyDescent="0.2">
      <c r="B24" s="46" t="s">
        <v>120</v>
      </c>
      <c r="Z24" s="29"/>
      <c r="AA24" s="29"/>
      <c r="AB24" s="29"/>
      <c r="AC24" s="29"/>
      <c r="AD24" s="29"/>
      <c r="AE24" s="29"/>
      <c r="AF24" s="29"/>
      <c r="AG24" s="29"/>
      <c r="AH24" s="29"/>
    </row>
    <row r="25" spans="2:34" x14ac:dyDescent="0.2">
      <c r="B25" s="7" t="s">
        <v>34</v>
      </c>
      <c r="C25" s="52" t="s">
        <v>121</v>
      </c>
      <c r="D25" s="52"/>
      <c r="E25" s="52"/>
      <c r="F25" s="52"/>
      <c r="G25" s="52"/>
      <c r="H25" s="52"/>
      <c r="I25" s="52" t="s">
        <v>90</v>
      </c>
      <c r="J25" s="52"/>
      <c r="K25" s="7" t="s">
        <v>91</v>
      </c>
      <c r="L25" s="52" t="s">
        <v>122</v>
      </c>
      <c r="M25" s="52"/>
      <c r="N25" s="7" t="s">
        <v>94</v>
      </c>
      <c r="Z25" s="29"/>
      <c r="AA25" s="29"/>
      <c r="AB25" s="29"/>
      <c r="AC25" s="29"/>
      <c r="AD25" s="29"/>
      <c r="AE25" s="29"/>
      <c r="AF25" s="29"/>
      <c r="AG25" s="29"/>
      <c r="AH25" s="29"/>
    </row>
    <row r="26" spans="2:34" ht="27.95" customHeight="1" x14ac:dyDescent="0.2">
      <c r="B26" s="47" t="str">
        <f>IF(INDEX('Strategii și acțiuni'!$E$5:$E$64,1)="","",LEFT(INDEX('Strategii și acțiuni'!$C$5:$C$64,1),2))</f>
        <v>SO</v>
      </c>
      <c r="C26" s="49" t="str">
        <f>IF(INDEX('Strategii și acțiuni'!$E$5:$E$64,1)="","",INDEX('Strategii și acțiuni'!$E$5:$E$64,1))</f>
        <v>Lansăm oferta de instalații fotovoltaice pentru case, cu echipa autorizată ANRE</v>
      </c>
      <c r="D26" s="49"/>
      <c r="E26" s="49"/>
      <c r="F26" s="49"/>
      <c r="G26" s="49"/>
      <c r="H26" s="49"/>
      <c r="I26" s="49" t="str">
        <f>IF(INDEX('Strategii și acțiuni'!$E$5:$E$64,1)="","",INDEX('Strategii și acțiuni'!$F$5:$F$64,1))</f>
        <v>Andrei Toma</v>
      </c>
      <c r="J26" s="49"/>
      <c r="K26" s="48">
        <f>IF(INDEX('Strategii și acțiuni'!$E$5:$E$64,1)="","",INDEX('Strategii și acțiuni'!$G$5:$G$64,1))</f>
        <v>46477</v>
      </c>
      <c r="L26" s="49" t="str">
        <f>IF(INDEX('Strategii și acțiuni'!$E$5:$E$64,1)="","",INDEX('Strategii și acțiuni'!$H$5:$H$64,1)&amp;"")</f>
        <v>Contracte fotovoltaice semnate</v>
      </c>
      <c r="M26" s="49"/>
      <c r="N26" s="47">
        <f>IF(OR(INDEX('Strategii și acțiuni'!$E$5:$E$64,1)="",INDEX('Strategii și acțiuni'!$J$5:$J$64,1)=""),"",INDEX('Strategii și acțiuni'!$J$5:$J$64,1))</f>
        <v>10</v>
      </c>
      <c r="Z26" s="29"/>
      <c r="AA26" s="29"/>
      <c r="AB26" s="29"/>
      <c r="AC26" s="29"/>
      <c r="AD26" s="29"/>
      <c r="AE26" s="29"/>
      <c r="AF26" s="29"/>
      <c r="AG26" s="29"/>
      <c r="AH26" s="29"/>
    </row>
    <row r="27" spans="2:34" ht="27.95" customHeight="1" x14ac:dyDescent="0.2">
      <c r="B27" s="47" t="str">
        <f>IF(INDEX('Strategii și acțiuni'!$E$5:$E$64,2)="","",LEFT(INDEX('Strategii și acțiuni'!$C$5:$C$64,2),2))</f>
        <v>WO</v>
      </c>
      <c r="C27" s="49" t="str">
        <f>IF(INDEX('Strategii și acțiuni'!$E$5:$E$64,2)="","",INDEX('Strategii și acțiuni'!$E$5:$E$64,2))</f>
        <v>Site nou cu portofoliu de lucrări, formular de cerere de ofertă și profil Google cu recenzii</v>
      </c>
      <c r="D27" s="49"/>
      <c r="E27" s="49"/>
      <c r="F27" s="49"/>
      <c r="G27" s="49"/>
      <c r="H27" s="49"/>
      <c r="I27" s="49" t="str">
        <f>IF(INDEX('Strategii și acțiuni'!$E$5:$E$64,2)="","",INDEX('Strategii și acțiuni'!$F$5:$F$64,2))</f>
        <v>Maria Stoica</v>
      </c>
      <c r="J27" s="49"/>
      <c r="K27" s="48">
        <f>IF(INDEX('Strategii și acțiuni'!$E$5:$E$64,2)="","",INDEX('Strategii și acțiuni'!$G$5:$G$64,2))</f>
        <v>46387</v>
      </c>
      <c r="L27" s="49" t="str">
        <f>IF(INDEX('Strategii și acțiuni'!$E$5:$E$64,2)="","",INDEX('Strategii și acțiuni'!$H$5:$H$64,2)&amp;"")</f>
        <v>Cereri de ofertă online pe lună</v>
      </c>
      <c r="M27" s="49"/>
      <c r="N27" s="47">
        <f>IF(OR(INDEX('Strategii și acțiuni'!$E$5:$E$64,2)="",INDEX('Strategii și acțiuni'!$J$5:$J$64,2)=""),"",INDEX('Strategii și acțiuni'!$J$5:$J$64,2))</f>
        <v>8</v>
      </c>
      <c r="Z27" s="29"/>
      <c r="AA27" s="29"/>
      <c r="AB27" s="29"/>
      <c r="AC27" s="29"/>
      <c r="AD27" s="29"/>
      <c r="AE27" s="29"/>
      <c r="AF27" s="29"/>
      <c r="AG27" s="29"/>
      <c r="AH27" s="29"/>
    </row>
    <row r="28" spans="2:34" ht="27.95" customHeight="1" x14ac:dyDescent="0.2">
      <c r="B28" s="47" t="str">
        <f>IF(INDEX('Strategii și acțiuni'!$E$5:$E$64,3)="","",LEFT(INDEX('Strategii și acțiuni'!$C$5:$C$64,3),2))</f>
        <v>ST</v>
      </c>
      <c r="C28" s="49" t="str">
        <f>IF(INDEX('Strategii și acțiuni'!$E$5:$E$64,3)="","",INDEX('Strategii și acțiuni'!$E$5:$E$64,3))</f>
        <v>Contract cu preț fix pe 6 luni cu doi furnizori de cablu și aparataj</v>
      </c>
      <c r="D28" s="49"/>
      <c r="E28" s="49"/>
      <c r="F28" s="49"/>
      <c r="G28" s="49"/>
      <c r="H28" s="49"/>
      <c r="I28" s="49" t="str">
        <f>IF(INDEX('Strategii și acțiuni'!$E$5:$E$64,3)="","",INDEX('Strategii și acțiuni'!$F$5:$F$64,3))</f>
        <v>Dan Ilie</v>
      </c>
      <c r="J28" s="49"/>
      <c r="K28" s="48">
        <f>IF(INDEX('Strategii și acțiuni'!$E$5:$E$64,3)="","",INDEX('Strategii și acțiuni'!$G$5:$G$64,3))</f>
        <v>46356</v>
      </c>
      <c r="L28" s="49" t="str">
        <f>IF(INDEX('Strategii și acțiuni'!$E$5:$E$64,3)="","",INDEX('Strategii și acțiuni'!$H$5:$H$64,3)&amp;"")</f>
        <v>Creșterea costului materialelor (%)</v>
      </c>
      <c r="M28" s="49"/>
      <c r="N28" s="47">
        <f>IF(OR(INDEX('Strategii și acțiuni'!$E$5:$E$64,3)="",INDEX('Strategii și acțiuni'!$J$5:$J$64,3)=""),"",INDEX('Strategii și acțiuni'!$J$5:$J$64,3))</f>
        <v>5</v>
      </c>
      <c r="Z28" s="29"/>
      <c r="AA28" s="29"/>
      <c r="AB28" s="29"/>
      <c r="AC28" s="29"/>
      <c r="AD28" s="29"/>
      <c r="AE28" s="29"/>
      <c r="AF28" s="29"/>
      <c r="AG28" s="29"/>
      <c r="AH28" s="29"/>
    </row>
    <row r="29" spans="2:34" ht="27.95" customHeight="1" x14ac:dyDescent="0.2">
      <c r="B29" s="47" t="str">
        <f>IF(INDEX('Strategii și acțiuni'!$E$5:$E$64,4)="","",LEFT(INDEX('Strategii și acțiuni'!$C$5:$C$64,4),2))</f>
        <v>WT</v>
      </c>
      <c r="C29" s="49" t="str">
        <f>IF(INDEX('Strategii și acțiuni'!$E$5:$E$64,4)="","",INDEX('Strategii și acțiuni'!$E$5:$E$64,4))</f>
        <v>Atragem 10 clienți noi de mentenanță anuală, ca să reducem dependența de clienții mari</v>
      </c>
      <c r="D29" s="49"/>
      <c r="E29" s="49"/>
      <c r="F29" s="49"/>
      <c r="G29" s="49"/>
      <c r="H29" s="49"/>
      <c r="I29" s="49" t="str">
        <f>IF(INDEX('Strategii și acțiuni'!$E$5:$E$64,4)="","",INDEX('Strategii și acțiuni'!$F$5:$F$64,4))</f>
        <v>Andrei Toma</v>
      </c>
      <c r="J29" s="49"/>
      <c r="K29" s="48">
        <f>IF(INDEX('Strategii și acțiuni'!$E$5:$E$64,4)="","",INDEX('Strategii și acțiuni'!$G$5:$G$64,4))</f>
        <v>46568</v>
      </c>
      <c r="L29" s="49" t="str">
        <f>IF(INDEX('Strategii și acțiuni'!$E$5:$E$64,4)="","",INDEX('Strategii și acțiuni'!$H$5:$H$64,4)&amp;"")</f>
        <v>Ponderea primilor 3 clienți în vânzări (%)</v>
      </c>
      <c r="M29" s="49"/>
      <c r="N29" s="47">
        <f>IF(OR(INDEX('Strategii și acțiuni'!$E$5:$E$64,4)="",INDEX('Strategii și acțiuni'!$J$5:$J$64,4)=""),"",INDEX('Strategii și acțiuni'!$J$5:$J$64,4))</f>
        <v>40</v>
      </c>
      <c r="Z29" s="29"/>
      <c r="AA29" s="29"/>
      <c r="AB29" s="29"/>
      <c r="AC29" s="29"/>
      <c r="AD29" s="29"/>
      <c r="AE29" s="29"/>
      <c r="AF29" s="29"/>
      <c r="AG29" s="29"/>
      <c r="AH29" s="29"/>
    </row>
    <row r="30" spans="2:34" ht="27.95" customHeight="1" x14ac:dyDescent="0.2">
      <c r="B30" s="47" t="str">
        <f>IF(INDEX('Strategii și acțiuni'!$E$5:$E$64,5)="","",LEFT(INDEX('Strategii și acțiuni'!$C$5:$C$64,5),2))</f>
        <v>WT</v>
      </c>
      <c r="C30" s="49" t="str">
        <f>IF(INDEX('Strategii și acțiuni'!$E$5:$E$64,5)="","",INDEX('Strategii și acțiuni'!$E$5:$E$64,5))</f>
        <v>Program de ucenicie pentru doi electricieni</v>
      </c>
      <c r="D30" s="49"/>
      <c r="E30" s="49"/>
      <c r="F30" s="49"/>
      <c r="G30" s="49"/>
      <c r="H30" s="49"/>
      <c r="I30" s="49" t="str">
        <f>IF(INDEX('Strategii și acțiuni'!$E$5:$E$64,5)="","",INDEX('Strategii și acțiuni'!$F$5:$F$64,5))</f>
        <v>Mihai Georgescu</v>
      </c>
      <c r="J30" s="49"/>
      <c r="K30" s="48">
        <f>IF(INDEX('Strategii și acțiuni'!$E$5:$E$64,5)="","",INDEX('Strategii și acțiuni'!$G$5:$G$64,5))</f>
        <v>46446</v>
      </c>
      <c r="L30" s="49" t="str">
        <f>IF(INDEX('Strategii și acțiuni'!$E$5:$E$64,5)="","",INDEX('Strategii și acțiuni'!$H$5:$H$64,5)&amp;"")</f>
        <v/>
      </c>
      <c r="M30" s="49"/>
      <c r="N30" s="47" t="str">
        <f>IF(OR(INDEX('Strategii și acțiuni'!$E$5:$E$64,5)="",INDEX('Strategii și acțiuni'!$J$5:$J$64,5)=""),"",INDEX('Strategii și acțiuni'!$J$5:$J$64,5))</f>
        <v/>
      </c>
      <c r="Z30" s="29"/>
      <c r="AA30" s="29"/>
      <c r="AB30" s="29"/>
      <c r="AC30" s="29"/>
      <c r="AD30" s="29"/>
      <c r="AE30" s="29"/>
      <c r="AF30" s="29"/>
      <c r="AG30" s="29"/>
      <c r="AH30" s="29"/>
    </row>
  </sheetData>
  <mergeCells count="52">
    <mergeCell ref="B4:G4"/>
    <mergeCell ref="B14:G14"/>
    <mergeCell ref="B5:G5"/>
    <mergeCell ref="C6:F6"/>
    <mergeCell ref="C7:F7"/>
    <mergeCell ref="C8:F8"/>
    <mergeCell ref="C9:F9"/>
    <mergeCell ref="C10:F10"/>
    <mergeCell ref="C11:F11"/>
    <mergeCell ref="C12:F12"/>
    <mergeCell ref="C18:F18"/>
    <mergeCell ref="I5:N5"/>
    <mergeCell ref="J6:M6"/>
    <mergeCell ref="J7:M7"/>
    <mergeCell ref="J8:M8"/>
    <mergeCell ref="J9:M9"/>
    <mergeCell ref="J10:M10"/>
    <mergeCell ref="J11:M11"/>
    <mergeCell ref="J12:M12"/>
    <mergeCell ref="B15:G15"/>
    <mergeCell ref="C16:F16"/>
    <mergeCell ref="C17:F17"/>
    <mergeCell ref="I15:N15"/>
    <mergeCell ref="J16:M16"/>
    <mergeCell ref="J17:M17"/>
    <mergeCell ref="J18:M18"/>
    <mergeCell ref="J19:M19"/>
    <mergeCell ref="C26:H26"/>
    <mergeCell ref="I26:J26"/>
    <mergeCell ref="L26:M26"/>
    <mergeCell ref="C19:F19"/>
    <mergeCell ref="C20:F20"/>
    <mergeCell ref="C21:F21"/>
    <mergeCell ref="C22:F22"/>
    <mergeCell ref="J20:M20"/>
    <mergeCell ref="J21:M21"/>
    <mergeCell ref="J22:M22"/>
    <mergeCell ref="C25:H25"/>
    <mergeCell ref="I25:J25"/>
    <mergeCell ref="L25:M25"/>
    <mergeCell ref="C27:H27"/>
    <mergeCell ref="I27:J27"/>
    <mergeCell ref="L27:M27"/>
    <mergeCell ref="C28:H28"/>
    <mergeCell ref="I28:J28"/>
    <mergeCell ref="L28:M28"/>
    <mergeCell ref="C29:H29"/>
    <mergeCell ref="I29:J29"/>
    <mergeCell ref="L29:M29"/>
    <mergeCell ref="C30:H30"/>
    <mergeCell ref="I30:J30"/>
    <mergeCell ref="L30:M30"/>
  </mergeCells>
  <printOptions horizontalCentered="1"/>
  <pageMargins left="0.7" right="0.7" top="0.75" bottom="0.75" header="0.3" footer="0.3"/>
  <pageSetup scale="77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0D63-075F-4D24-BEBF-7971AD715449}">
  <dimension ref="B1:ZZ1000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13.7109375" style="1" customWidth="1"/>
    <col min="4" max="4" width="46.7109375" style="1" customWidth="1"/>
    <col min="5" max="5" width="34.7109375" style="1" customWidth="1"/>
    <col min="6" max="6" width="9.7109375" style="1" customWidth="1"/>
    <col min="7" max="7" width="12.7109375" style="1" customWidth="1"/>
    <col min="8" max="8" width="7.7109375" style="1" customWidth="1"/>
    <col min="9" max="9" width="10.7109375" style="1" customWidth="1"/>
    <col min="10" max="10" width="32.7109375" style="1" customWidth="1"/>
    <col min="11" max="16384" width="11.42578125" style="1"/>
  </cols>
  <sheetData>
    <row r="1" spans="2:10" ht="21" x14ac:dyDescent="0.35">
      <c r="B1" s="2" t="s">
        <v>32</v>
      </c>
    </row>
    <row r="2" spans="2:10" x14ac:dyDescent="0.2">
      <c r="B2" s="3" t="s">
        <v>33</v>
      </c>
    </row>
    <row r="4" spans="2:10" ht="30" customHeight="1" x14ac:dyDescent="0.2">
      <c r="B4" s="7" t="s">
        <v>27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</row>
    <row r="5" spans="2:10" ht="25.5" x14ac:dyDescent="0.2">
      <c r="B5" s="9" t="str">
        <f>IF(C5="","",INDEX(Setări!$E$11:$E$14,MATCH(C5,ListaTip,0))&amp;COUNTIF($C$5:C5,C5))</f>
        <v>S1</v>
      </c>
      <c r="C5" s="10" t="s">
        <v>12</v>
      </c>
      <c r="D5" s="11" t="s">
        <v>42</v>
      </c>
      <c r="E5" s="11" t="s">
        <v>43</v>
      </c>
      <c r="F5" s="12">
        <v>5</v>
      </c>
      <c r="G5" s="12">
        <v>4</v>
      </c>
      <c r="H5" s="13">
        <f t="shared" ref="H5:H36" si="0">IF(OR(N(F5)=0,N(G5)=0),"",F5*G5)</f>
        <v>20</v>
      </c>
      <c r="I5" s="13" t="str">
        <f t="shared" ref="I5:I36" si="1">IF(H5="","",IF(H5&gt;=PragR,"Ridicată",IF(H5&gt;=PragM,"Medie","Scăzută")))</f>
        <v>Ridicată</v>
      </c>
      <c r="J5" s="14" t="str">
        <f t="shared" ref="J5:J36" si="2">IF(C5="","",TRIM(IF(D5="","Lipsește descrierea. ",IF(LEN(D5)&lt;30,"Prea general: spune concret ce, cât, unde. ",""))&amp;IF(E5="","Fără dovadă: e o părere, nu un fapt. ","")&amp;IF(OR(N(F5)=0,N(G5)=0),"Notează impactul și importanța. ","")))</f>
        <v/>
      </c>
    </row>
    <row r="6" spans="2:10" ht="25.5" x14ac:dyDescent="0.2">
      <c r="B6" s="9" t="str">
        <f>IF(C6="","",INDEX(Setări!$E$11:$E$14,MATCH(C6,ListaTip,0))&amp;COUNTIF($C$5:C6,C6))</f>
        <v>S2</v>
      </c>
      <c r="C6" s="10" t="s">
        <v>12</v>
      </c>
      <c r="D6" s="11" t="s">
        <v>44</v>
      </c>
      <c r="E6" s="11" t="s">
        <v>45</v>
      </c>
      <c r="F6" s="12">
        <v>4</v>
      </c>
      <c r="G6" s="12">
        <v>4</v>
      </c>
      <c r="H6" s="13">
        <f t="shared" si="0"/>
        <v>16</v>
      </c>
      <c r="I6" s="13" t="str">
        <f t="shared" si="1"/>
        <v>Ridicată</v>
      </c>
      <c r="J6" s="14" t="str">
        <f t="shared" si="2"/>
        <v/>
      </c>
    </row>
    <row r="7" spans="2:10" ht="25.5" x14ac:dyDescent="0.2">
      <c r="B7" s="9" t="str">
        <f>IF(C7="","",INDEX(Setări!$E$11:$E$14,MATCH(C7,ListaTip,0))&amp;COUNTIF($C$5:C7,C7))</f>
        <v>S3</v>
      </c>
      <c r="C7" s="10" t="s">
        <v>12</v>
      </c>
      <c r="D7" s="11" t="s">
        <v>46</v>
      </c>
      <c r="E7" s="11" t="s">
        <v>47</v>
      </c>
      <c r="F7" s="12">
        <v>4</v>
      </c>
      <c r="G7" s="12">
        <v>3</v>
      </c>
      <c r="H7" s="13">
        <f t="shared" si="0"/>
        <v>12</v>
      </c>
      <c r="I7" s="13" t="str">
        <f t="shared" si="1"/>
        <v>Medie</v>
      </c>
      <c r="J7" s="14" t="str">
        <f t="shared" si="2"/>
        <v/>
      </c>
    </row>
    <row r="8" spans="2:10" x14ac:dyDescent="0.2">
      <c r="B8" s="9" t="str">
        <f>IF(C8="","",INDEX(Setări!$E$11:$E$14,MATCH(C8,ListaTip,0))&amp;COUNTIF($C$5:C8,C8))</f>
        <v>W1</v>
      </c>
      <c r="C8" s="10" t="s">
        <v>13</v>
      </c>
      <c r="D8" s="11" t="s">
        <v>48</v>
      </c>
      <c r="E8" s="11" t="s">
        <v>49</v>
      </c>
      <c r="F8" s="12">
        <v>5</v>
      </c>
      <c r="G8" s="12">
        <v>4</v>
      </c>
      <c r="H8" s="13">
        <f t="shared" si="0"/>
        <v>20</v>
      </c>
      <c r="I8" s="13" t="str">
        <f t="shared" si="1"/>
        <v>Ridicată</v>
      </c>
      <c r="J8" s="14" t="str">
        <f t="shared" si="2"/>
        <v/>
      </c>
    </row>
    <row r="9" spans="2:10" x14ac:dyDescent="0.2">
      <c r="B9" s="9" t="str">
        <f>IF(C9="","",INDEX(Setări!$E$11:$E$14,MATCH(C9,ListaTip,0))&amp;COUNTIF($C$5:C9,C9))</f>
        <v>W2</v>
      </c>
      <c r="C9" s="10" t="s">
        <v>13</v>
      </c>
      <c r="D9" s="11" t="s">
        <v>50</v>
      </c>
      <c r="E9" s="11" t="s">
        <v>51</v>
      </c>
      <c r="F9" s="12">
        <v>3</v>
      </c>
      <c r="G9" s="12">
        <v>4</v>
      </c>
      <c r="H9" s="13">
        <f t="shared" si="0"/>
        <v>12</v>
      </c>
      <c r="I9" s="13" t="str">
        <f t="shared" si="1"/>
        <v>Medie</v>
      </c>
      <c r="J9" s="14" t="str">
        <f t="shared" si="2"/>
        <v/>
      </c>
    </row>
    <row r="10" spans="2:10" ht="25.5" x14ac:dyDescent="0.2">
      <c r="B10" s="9" t="str">
        <f>IF(C10="","",INDEX(Setări!$E$11:$E$14,MATCH(C10,ListaTip,0))&amp;COUNTIF($C$5:C10,C10))</f>
        <v>W3</v>
      </c>
      <c r="C10" s="10" t="s">
        <v>13</v>
      </c>
      <c r="D10" s="11" t="s">
        <v>52</v>
      </c>
      <c r="E10" s="11" t="s">
        <v>53</v>
      </c>
      <c r="F10" s="12">
        <v>3</v>
      </c>
      <c r="G10" s="12">
        <v>3</v>
      </c>
      <c r="H10" s="13">
        <f t="shared" si="0"/>
        <v>9</v>
      </c>
      <c r="I10" s="13" t="str">
        <f t="shared" si="1"/>
        <v>Medie</v>
      </c>
      <c r="J10" s="14" t="str">
        <f t="shared" si="2"/>
        <v/>
      </c>
    </row>
    <row r="11" spans="2:10" ht="38.25" x14ac:dyDescent="0.2">
      <c r="B11" s="9" t="str">
        <f>IF(C11="","",INDEX(Setări!$E$11:$E$14,MATCH(C11,ListaTip,0))&amp;COUNTIF($C$5:C11,C11))</f>
        <v>W4</v>
      </c>
      <c r="C11" s="10" t="s">
        <v>13</v>
      </c>
      <c r="D11" s="11" t="s">
        <v>54</v>
      </c>
      <c r="E11" s="11"/>
      <c r="F11" s="12">
        <v>2</v>
      </c>
      <c r="G11" s="12">
        <v>2</v>
      </c>
      <c r="H11" s="13">
        <f t="shared" si="0"/>
        <v>4</v>
      </c>
      <c r="I11" s="13" t="str">
        <f t="shared" si="1"/>
        <v>Scăzută</v>
      </c>
      <c r="J11" s="14" t="str">
        <f t="shared" si="2"/>
        <v>Prea general: spune concret ce, cât, unde. Fără dovadă: e o părere, nu un fapt.</v>
      </c>
    </row>
    <row r="12" spans="2:10" ht="25.5" x14ac:dyDescent="0.2">
      <c r="B12" s="9" t="str">
        <f>IF(C12="","",INDEX(Setări!$E$11:$E$14,MATCH(C12,ListaTip,0))&amp;COUNTIF($C$5:C12,C12))</f>
        <v>O1</v>
      </c>
      <c r="C12" s="10" t="s">
        <v>14</v>
      </c>
      <c r="D12" s="11" t="s">
        <v>55</v>
      </c>
      <c r="E12" s="11" t="s">
        <v>56</v>
      </c>
      <c r="F12" s="12">
        <v>5</v>
      </c>
      <c r="G12" s="12">
        <v>4</v>
      </c>
      <c r="H12" s="13">
        <f t="shared" si="0"/>
        <v>20</v>
      </c>
      <c r="I12" s="13" t="str">
        <f t="shared" si="1"/>
        <v>Ridicată</v>
      </c>
      <c r="J12" s="14" t="str">
        <f t="shared" si="2"/>
        <v/>
      </c>
    </row>
    <row r="13" spans="2:10" ht="25.5" x14ac:dyDescent="0.2">
      <c r="B13" s="9" t="str">
        <f>IF(C13="","",INDEX(Setări!$E$11:$E$14,MATCH(C13,ListaTip,0))&amp;COUNTIF($C$5:C13,C13))</f>
        <v>O2</v>
      </c>
      <c r="C13" s="10" t="s">
        <v>14</v>
      </c>
      <c r="D13" s="11" t="s">
        <v>57</v>
      </c>
      <c r="E13" s="11" t="s">
        <v>58</v>
      </c>
      <c r="F13" s="12">
        <v>4</v>
      </c>
      <c r="G13" s="12">
        <v>3</v>
      </c>
      <c r="H13" s="13">
        <f t="shared" si="0"/>
        <v>12</v>
      </c>
      <c r="I13" s="13" t="str">
        <f t="shared" si="1"/>
        <v>Medie</v>
      </c>
      <c r="J13" s="14" t="str">
        <f t="shared" si="2"/>
        <v/>
      </c>
    </row>
    <row r="14" spans="2:10" ht="25.5" x14ac:dyDescent="0.2">
      <c r="B14" s="9" t="str">
        <f>IF(C14="","",INDEX(Setări!$E$11:$E$14,MATCH(C14,ListaTip,0))&amp;COUNTIF($C$5:C14,C14))</f>
        <v>O3</v>
      </c>
      <c r="C14" s="10" t="s">
        <v>14</v>
      </c>
      <c r="D14" s="11" t="s">
        <v>59</v>
      </c>
      <c r="E14" s="11" t="s">
        <v>60</v>
      </c>
      <c r="F14" s="12">
        <v>3</v>
      </c>
      <c r="G14" s="12">
        <v>3</v>
      </c>
      <c r="H14" s="13">
        <f t="shared" si="0"/>
        <v>9</v>
      </c>
      <c r="I14" s="13" t="str">
        <f t="shared" si="1"/>
        <v>Medie</v>
      </c>
      <c r="J14" s="14" t="str">
        <f t="shared" si="2"/>
        <v/>
      </c>
    </row>
    <row r="15" spans="2:10" ht="25.5" x14ac:dyDescent="0.2">
      <c r="B15" s="9" t="str">
        <f>IF(C15="","",INDEX(Setări!$E$11:$E$14,MATCH(C15,ListaTip,0))&amp;COUNTIF($C$5:C15,C15))</f>
        <v>T1</v>
      </c>
      <c r="C15" s="10" t="s">
        <v>15</v>
      </c>
      <c r="D15" s="11" t="s">
        <v>61</v>
      </c>
      <c r="E15" s="11" t="s">
        <v>62</v>
      </c>
      <c r="F15" s="12">
        <v>5</v>
      </c>
      <c r="G15" s="12">
        <v>4</v>
      </c>
      <c r="H15" s="13">
        <f t="shared" si="0"/>
        <v>20</v>
      </c>
      <c r="I15" s="13" t="str">
        <f t="shared" si="1"/>
        <v>Ridicată</v>
      </c>
      <c r="J15" s="14" t="str">
        <f t="shared" si="2"/>
        <v/>
      </c>
    </row>
    <row r="16" spans="2:10" ht="25.5" x14ac:dyDescent="0.2">
      <c r="B16" s="9" t="str">
        <f>IF(C16="","",INDEX(Setări!$E$11:$E$14,MATCH(C16,ListaTip,0))&amp;COUNTIF($C$5:C16,C16))</f>
        <v>T2</v>
      </c>
      <c r="C16" s="10" t="s">
        <v>15</v>
      </c>
      <c r="D16" s="11" t="s">
        <v>63</v>
      </c>
      <c r="E16" s="11" t="s">
        <v>64</v>
      </c>
      <c r="F16" s="12">
        <v>4</v>
      </c>
      <c r="G16" s="12">
        <v>4</v>
      </c>
      <c r="H16" s="13">
        <f t="shared" si="0"/>
        <v>16</v>
      </c>
      <c r="I16" s="13" t="str">
        <f t="shared" si="1"/>
        <v>Ridicată</v>
      </c>
      <c r="J16" s="14" t="str">
        <f t="shared" si="2"/>
        <v/>
      </c>
    </row>
    <row r="17" spans="2:10" ht="25.5" x14ac:dyDescent="0.2">
      <c r="B17" s="9" t="str">
        <f>IF(C17="","",INDEX(Setări!$E$11:$E$14,MATCH(C17,ListaTip,0))&amp;COUNTIF($C$5:C17,C17))</f>
        <v>T3</v>
      </c>
      <c r="C17" s="10" t="s">
        <v>15</v>
      </c>
      <c r="D17" s="11" t="s">
        <v>65</v>
      </c>
      <c r="E17" s="11" t="s">
        <v>66</v>
      </c>
      <c r="F17" s="12">
        <v>3</v>
      </c>
      <c r="G17" s="12">
        <v>3</v>
      </c>
      <c r="H17" s="13">
        <f t="shared" si="0"/>
        <v>9</v>
      </c>
      <c r="I17" s="13" t="str">
        <f t="shared" si="1"/>
        <v>Medie</v>
      </c>
      <c r="J17" s="14" t="str">
        <f t="shared" si="2"/>
        <v/>
      </c>
    </row>
    <row r="18" spans="2:10" x14ac:dyDescent="0.2">
      <c r="B18" s="9" t="str">
        <f>IF(C18="","",INDEX(Setări!$E$11:$E$14,MATCH(C18,ListaTip,0))&amp;COUNTIF($C$5:C18,C18))</f>
        <v/>
      </c>
      <c r="C18" s="10"/>
      <c r="D18" s="11"/>
      <c r="E18" s="11"/>
      <c r="F18" s="12"/>
      <c r="G18" s="12"/>
      <c r="H18" s="13" t="str">
        <f t="shared" si="0"/>
        <v/>
      </c>
      <c r="I18" s="13" t="str">
        <f t="shared" si="1"/>
        <v/>
      </c>
      <c r="J18" s="14" t="str">
        <f t="shared" si="2"/>
        <v/>
      </c>
    </row>
    <row r="19" spans="2:10" x14ac:dyDescent="0.2">
      <c r="B19" s="9" t="str">
        <f>IF(C19="","",INDEX(Setări!$E$11:$E$14,MATCH(C19,ListaTip,0))&amp;COUNTIF($C$5:C19,C19))</f>
        <v/>
      </c>
      <c r="C19" s="10"/>
      <c r="D19" s="11"/>
      <c r="E19" s="11"/>
      <c r="F19" s="12"/>
      <c r="G19" s="12"/>
      <c r="H19" s="13" t="str">
        <f t="shared" si="0"/>
        <v/>
      </c>
      <c r="I19" s="13" t="str">
        <f t="shared" si="1"/>
        <v/>
      </c>
      <c r="J19" s="14" t="str">
        <f t="shared" si="2"/>
        <v/>
      </c>
    </row>
    <row r="20" spans="2:10" x14ac:dyDescent="0.2">
      <c r="B20" s="9" t="str">
        <f>IF(C20="","",INDEX(Setări!$E$11:$E$14,MATCH(C20,ListaTip,0))&amp;COUNTIF($C$5:C20,C20))</f>
        <v/>
      </c>
      <c r="C20" s="10"/>
      <c r="D20" s="11"/>
      <c r="E20" s="11"/>
      <c r="F20" s="12"/>
      <c r="G20" s="12"/>
      <c r="H20" s="13" t="str">
        <f t="shared" si="0"/>
        <v/>
      </c>
      <c r="I20" s="13" t="str">
        <f t="shared" si="1"/>
        <v/>
      </c>
      <c r="J20" s="14" t="str">
        <f t="shared" si="2"/>
        <v/>
      </c>
    </row>
    <row r="21" spans="2:10" x14ac:dyDescent="0.2">
      <c r="B21" s="9" t="str">
        <f>IF(C21="","",INDEX(Setări!$E$11:$E$14,MATCH(C21,ListaTip,0))&amp;COUNTIF($C$5:C21,C21))</f>
        <v/>
      </c>
      <c r="C21" s="10"/>
      <c r="D21" s="11"/>
      <c r="E21" s="11"/>
      <c r="F21" s="12"/>
      <c r="G21" s="12"/>
      <c r="H21" s="13" t="str">
        <f t="shared" si="0"/>
        <v/>
      </c>
      <c r="I21" s="13" t="str">
        <f t="shared" si="1"/>
        <v/>
      </c>
      <c r="J21" s="14" t="str">
        <f t="shared" si="2"/>
        <v/>
      </c>
    </row>
    <row r="22" spans="2:10" x14ac:dyDescent="0.2">
      <c r="B22" s="9" t="str">
        <f>IF(C22="","",INDEX(Setări!$E$11:$E$14,MATCH(C22,ListaTip,0))&amp;COUNTIF($C$5:C22,C22))</f>
        <v/>
      </c>
      <c r="C22" s="10"/>
      <c r="D22" s="11"/>
      <c r="E22" s="11"/>
      <c r="F22" s="12"/>
      <c r="G22" s="12"/>
      <c r="H22" s="13" t="str">
        <f t="shared" si="0"/>
        <v/>
      </c>
      <c r="I22" s="13" t="str">
        <f t="shared" si="1"/>
        <v/>
      </c>
      <c r="J22" s="14" t="str">
        <f t="shared" si="2"/>
        <v/>
      </c>
    </row>
    <row r="23" spans="2:10" x14ac:dyDescent="0.2">
      <c r="B23" s="9" t="str">
        <f>IF(C23="","",INDEX(Setări!$E$11:$E$14,MATCH(C23,ListaTip,0))&amp;COUNTIF($C$5:C23,C23))</f>
        <v/>
      </c>
      <c r="C23" s="10"/>
      <c r="D23" s="11"/>
      <c r="E23" s="11"/>
      <c r="F23" s="12"/>
      <c r="G23" s="12"/>
      <c r="H23" s="13" t="str">
        <f t="shared" si="0"/>
        <v/>
      </c>
      <c r="I23" s="13" t="str">
        <f t="shared" si="1"/>
        <v/>
      </c>
      <c r="J23" s="14" t="str">
        <f t="shared" si="2"/>
        <v/>
      </c>
    </row>
    <row r="24" spans="2:10" x14ac:dyDescent="0.2">
      <c r="B24" s="9" t="str">
        <f>IF(C24="","",INDEX(Setări!$E$11:$E$14,MATCH(C24,ListaTip,0))&amp;COUNTIF($C$5:C24,C24))</f>
        <v/>
      </c>
      <c r="C24" s="10"/>
      <c r="D24" s="11"/>
      <c r="E24" s="11"/>
      <c r="F24" s="12"/>
      <c r="G24" s="12"/>
      <c r="H24" s="13" t="str">
        <f t="shared" si="0"/>
        <v/>
      </c>
      <c r="I24" s="13" t="str">
        <f t="shared" si="1"/>
        <v/>
      </c>
      <c r="J24" s="14" t="str">
        <f t="shared" si="2"/>
        <v/>
      </c>
    </row>
    <row r="25" spans="2:10" x14ac:dyDescent="0.2">
      <c r="B25" s="9" t="str">
        <f>IF(C25="","",INDEX(Setări!$E$11:$E$14,MATCH(C25,ListaTip,0))&amp;COUNTIF($C$5:C25,C25))</f>
        <v/>
      </c>
      <c r="C25" s="10"/>
      <c r="D25" s="11"/>
      <c r="E25" s="11"/>
      <c r="F25" s="12"/>
      <c r="G25" s="12"/>
      <c r="H25" s="13" t="str">
        <f t="shared" si="0"/>
        <v/>
      </c>
      <c r="I25" s="13" t="str">
        <f t="shared" si="1"/>
        <v/>
      </c>
      <c r="J25" s="14" t="str">
        <f t="shared" si="2"/>
        <v/>
      </c>
    </row>
    <row r="26" spans="2:10" x14ac:dyDescent="0.2">
      <c r="B26" s="9" t="str">
        <f>IF(C26="","",INDEX(Setări!$E$11:$E$14,MATCH(C26,ListaTip,0))&amp;COUNTIF($C$5:C26,C26))</f>
        <v/>
      </c>
      <c r="C26" s="10"/>
      <c r="D26" s="11"/>
      <c r="E26" s="11"/>
      <c r="F26" s="12"/>
      <c r="G26" s="12"/>
      <c r="H26" s="13" t="str">
        <f t="shared" si="0"/>
        <v/>
      </c>
      <c r="I26" s="13" t="str">
        <f t="shared" si="1"/>
        <v/>
      </c>
      <c r="J26" s="14" t="str">
        <f t="shared" si="2"/>
        <v/>
      </c>
    </row>
    <row r="27" spans="2:10" x14ac:dyDescent="0.2">
      <c r="B27" s="9" t="str">
        <f>IF(C27="","",INDEX(Setări!$E$11:$E$14,MATCH(C27,ListaTip,0))&amp;COUNTIF($C$5:C27,C27))</f>
        <v/>
      </c>
      <c r="C27" s="10"/>
      <c r="D27" s="11"/>
      <c r="E27" s="11"/>
      <c r="F27" s="12"/>
      <c r="G27" s="12"/>
      <c r="H27" s="13" t="str">
        <f t="shared" si="0"/>
        <v/>
      </c>
      <c r="I27" s="13" t="str">
        <f t="shared" si="1"/>
        <v/>
      </c>
      <c r="J27" s="14" t="str">
        <f t="shared" si="2"/>
        <v/>
      </c>
    </row>
    <row r="28" spans="2:10" x14ac:dyDescent="0.2">
      <c r="B28" s="9" t="str">
        <f>IF(C28="","",INDEX(Setări!$E$11:$E$14,MATCH(C28,ListaTip,0))&amp;COUNTIF($C$5:C28,C28))</f>
        <v/>
      </c>
      <c r="C28" s="10"/>
      <c r="D28" s="11"/>
      <c r="E28" s="11"/>
      <c r="F28" s="12"/>
      <c r="G28" s="12"/>
      <c r="H28" s="13" t="str">
        <f t="shared" si="0"/>
        <v/>
      </c>
      <c r="I28" s="13" t="str">
        <f t="shared" si="1"/>
        <v/>
      </c>
      <c r="J28" s="14" t="str">
        <f t="shared" si="2"/>
        <v/>
      </c>
    </row>
    <row r="29" spans="2:10" x14ac:dyDescent="0.2">
      <c r="B29" s="9" t="str">
        <f>IF(C29="","",INDEX(Setări!$E$11:$E$14,MATCH(C29,ListaTip,0))&amp;COUNTIF($C$5:C29,C29))</f>
        <v/>
      </c>
      <c r="C29" s="10"/>
      <c r="D29" s="11"/>
      <c r="E29" s="11"/>
      <c r="F29" s="12"/>
      <c r="G29" s="12"/>
      <c r="H29" s="13" t="str">
        <f t="shared" si="0"/>
        <v/>
      </c>
      <c r="I29" s="13" t="str">
        <f t="shared" si="1"/>
        <v/>
      </c>
      <c r="J29" s="14" t="str">
        <f t="shared" si="2"/>
        <v/>
      </c>
    </row>
    <row r="30" spans="2:10" x14ac:dyDescent="0.2">
      <c r="B30" s="9" t="str">
        <f>IF(C30="","",INDEX(Setări!$E$11:$E$14,MATCH(C30,ListaTip,0))&amp;COUNTIF($C$5:C30,C30))</f>
        <v/>
      </c>
      <c r="C30" s="10"/>
      <c r="D30" s="11"/>
      <c r="E30" s="11"/>
      <c r="F30" s="12"/>
      <c r="G30" s="12"/>
      <c r="H30" s="13" t="str">
        <f t="shared" si="0"/>
        <v/>
      </c>
      <c r="I30" s="13" t="str">
        <f t="shared" si="1"/>
        <v/>
      </c>
      <c r="J30" s="14" t="str">
        <f t="shared" si="2"/>
        <v/>
      </c>
    </row>
    <row r="31" spans="2:10" x14ac:dyDescent="0.2">
      <c r="B31" s="9" t="str">
        <f>IF(C31="","",INDEX(Setări!$E$11:$E$14,MATCH(C31,ListaTip,0))&amp;COUNTIF($C$5:C31,C31))</f>
        <v/>
      </c>
      <c r="C31" s="10"/>
      <c r="D31" s="11"/>
      <c r="E31" s="11"/>
      <c r="F31" s="12"/>
      <c r="G31" s="12"/>
      <c r="H31" s="13" t="str">
        <f t="shared" si="0"/>
        <v/>
      </c>
      <c r="I31" s="13" t="str">
        <f t="shared" si="1"/>
        <v/>
      </c>
      <c r="J31" s="14" t="str">
        <f t="shared" si="2"/>
        <v/>
      </c>
    </row>
    <row r="32" spans="2:10" x14ac:dyDescent="0.2">
      <c r="B32" s="9" t="str">
        <f>IF(C32="","",INDEX(Setări!$E$11:$E$14,MATCH(C32,ListaTip,0))&amp;COUNTIF($C$5:C32,C32))</f>
        <v/>
      </c>
      <c r="C32" s="10"/>
      <c r="D32" s="11"/>
      <c r="E32" s="11"/>
      <c r="F32" s="12"/>
      <c r="G32" s="12"/>
      <c r="H32" s="13" t="str">
        <f t="shared" si="0"/>
        <v/>
      </c>
      <c r="I32" s="13" t="str">
        <f t="shared" si="1"/>
        <v/>
      </c>
      <c r="J32" s="14" t="str">
        <f t="shared" si="2"/>
        <v/>
      </c>
    </row>
    <row r="33" spans="2:10" x14ac:dyDescent="0.2">
      <c r="B33" s="9" t="str">
        <f>IF(C33="","",INDEX(Setări!$E$11:$E$14,MATCH(C33,ListaTip,0))&amp;COUNTIF($C$5:C33,C33))</f>
        <v/>
      </c>
      <c r="C33" s="10"/>
      <c r="D33" s="11"/>
      <c r="E33" s="11"/>
      <c r="F33" s="12"/>
      <c r="G33" s="12"/>
      <c r="H33" s="13" t="str">
        <f t="shared" si="0"/>
        <v/>
      </c>
      <c r="I33" s="13" t="str">
        <f t="shared" si="1"/>
        <v/>
      </c>
      <c r="J33" s="14" t="str">
        <f t="shared" si="2"/>
        <v/>
      </c>
    </row>
    <row r="34" spans="2:10" x14ac:dyDescent="0.2">
      <c r="B34" s="9" t="str">
        <f>IF(C34="","",INDEX(Setări!$E$11:$E$14,MATCH(C34,ListaTip,0))&amp;COUNTIF($C$5:C34,C34))</f>
        <v/>
      </c>
      <c r="C34" s="10"/>
      <c r="D34" s="11"/>
      <c r="E34" s="11"/>
      <c r="F34" s="12"/>
      <c r="G34" s="12"/>
      <c r="H34" s="13" t="str">
        <f t="shared" si="0"/>
        <v/>
      </c>
      <c r="I34" s="13" t="str">
        <f t="shared" si="1"/>
        <v/>
      </c>
      <c r="J34" s="14" t="str">
        <f t="shared" si="2"/>
        <v/>
      </c>
    </row>
    <row r="35" spans="2:10" x14ac:dyDescent="0.2">
      <c r="B35" s="9" t="str">
        <f>IF(C35="","",INDEX(Setări!$E$11:$E$14,MATCH(C35,ListaTip,0))&amp;COUNTIF($C$5:C35,C35))</f>
        <v/>
      </c>
      <c r="C35" s="10"/>
      <c r="D35" s="11"/>
      <c r="E35" s="11"/>
      <c r="F35" s="12"/>
      <c r="G35" s="12"/>
      <c r="H35" s="13" t="str">
        <f t="shared" si="0"/>
        <v/>
      </c>
      <c r="I35" s="13" t="str">
        <f t="shared" si="1"/>
        <v/>
      </c>
      <c r="J35" s="14" t="str">
        <f t="shared" si="2"/>
        <v/>
      </c>
    </row>
    <row r="36" spans="2:10" x14ac:dyDescent="0.2">
      <c r="B36" s="9" t="str">
        <f>IF(C36="","",INDEX(Setări!$E$11:$E$14,MATCH(C36,ListaTip,0))&amp;COUNTIF($C$5:C36,C36))</f>
        <v/>
      </c>
      <c r="C36" s="10"/>
      <c r="D36" s="11"/>
      <c r="E36" s="11"/>
      <c r="F36" s="12"/>
      <c r="G36" s="12"/>
      <c r="H36" s="13" t="str">
        <f t="shared" si="0"/>
        <v/>
      </c>
      <c r="I36" s="13" t="str">
        <f t="shared" si="1"/>
        <v/>
      </c>
      <c r="J36" s="14" t="str">
        <f t="shared" si="2"/>
        <v/>
      </c>
    </row>
    <row r="37" spans="2:10" x14ac:dyDescent="0.2">
      <c r="B37" s="9" t="str">
        <f>IF(C37="","",INDEX(Setări!$E$11:$E$14,MATCH(C37,ListaTip,0))&amp;COUNTIF($C$5:C37,C37))</f>
        <v/>
      </c>
      <c r="C37" s="10"/>
      <c r="D37" s="11"/>
      <c r="E37" s="11"/>
      <c r="F37" s="12"/>
      <c r="G37" s="12"/>
      <c r="H37" s="13" t="str">
        <f t="shared" ref="H37:H68" si="3">IF(OR(N(F37)=0,N(G37)=0),"",F37*G37)</f>
        <v/>
      </c>
      <c r="I37" s="13" t="str">
        <f t="shared" ref="I37:I68" si="4">IF(H37="","",IF(H37&gt;=PragR,"Ridicată",IF(H37&gt;=PragM,"Medie","Scăzută")))</f>
        <v/>
      </c>
      <c r="J37" s="14" t="str">
        <f t="shared" ref="J37:J68" si="5">IF(C37="","",TRIM(IF(D37="","Lipsește descrierea. ",IF(LEN(D37)&lt;30,"Prea general: spune concret ce, cât, unde. ",""))&amp;IF(E37="","Fără dovadă: e o părere, nu un fapt. ","")&amp;IF(OR(N(F37)=0,N(G37)=0),"Notează impactul și importanța. ","")))</f>
        <v/>
      </c>
    </row>
    <row r="38" spans="2:10" x14ac:dyDescent="0.2">
      <c r="B38" s="9" t="str">
        <f>IF(C38="","",INDEX(Setări!$E$11:$E$14,MATCH(C38,ListaTip,0))&amp;COUNTIF($C$5:C38,C38))</f>
        <v/>
      </c>
      <c r="C38" s="10"/>
      <c r="D38" s="11"/>
      <c r="E38" s="11"/>
      <c r="F38" s="12"/>
      <c r="G38" s="12"/>
      <c r="H38" s="13" t="str">
        <f t="shared" si="3"/>
        <v/>
      </c>
      <c r="I38" s="13" t="str">
        <f t="shared" si="4"/>
        <v/>
      </c>
      <c r="J38" s="14" t="str">
        <f t="shared" si="5"/>
        <v/>
      </c>
    </row>
    <row r="39" spans="2:10" x14ac:dyDescent="0.2">
      <c r="B39" s="9" t="str">
        <f>IF(C39="","",INDEX(Setări!$E$11:$E$14,MATCH(C39,ListaTip,0))&amp;COUNTIF($C$5:C39,C39))</f>
        <v/>
      </c>
      <c r="C39" s="10"/>
      <c r="D39" s="11"/>
      <c r="E39" s="11"/>
      <c r="F39" s="12"/>
      <c r="G39" s="12"/>
      <c r="H39" s="13" t="str">
        <f t="shared" si="3"/>
        <v/>
      </c>
      <c r="I39" s="13" t="str">
        <f t="shared" si="4"/>
        <v/>
      </c>
      <c r="J39" s="14" t="str">
        <f t="shared" si="5"/>
        <v/>
      </c>
    </row>
    <row r="40" spans="2:10" x14ac:dyDescent="0.2">
      <c r="B40" s="9" t="str">
        <f>IF(C40="","",INDEX(Setări!$E$11:$E$14,MATCH(C40,ListaTip,0))&amp;COUNTIF($C$5:C40,C40))</f>
        <v/>
      </c>
      <c r="C40" s="10"/>
      <c r="D40" s="11"/>
      <c r="E40" s="11"/>
      <c r="F40" s="12"/>
      <c r="G40" s="12"/>
      <c r="H40" s="13" t="str">
        <f t="shared" si="3"/>
        <v/>
      </c>
      <c r="I40" s="13" t="str">
        <f t="shared" si="4"/>
        <v/>
      </c>
      <c r="J40" s="14" t="str">
        <f t="shared" si="5"/>
        <v/>
      </c>
    </row>
    <row r="41" spans="2:10" x14ac:dyDescent="0.2">
      <c r="B41" s="9" t="str">
        <f>IF(C41="","",INDEX(Setări!$E$11:$E$14,MATCH(C41,ListaTip,0))&amp;COUNTIF($C$5:C41,C41))</f>
        <v/>
      </c>
      <c r="C41" s="10"/>
      <c r="D41" s="11"/>
      <c r="E41" s="11"/>
      <c r="F41" s="12"/>
      <c r="G41" s="12"/>
      <c r="H41" s="13" t="str">
        <f t="shared" si="3"/>
        <v/>
      </c>
      <c r="I41" s="13" t="str">
        <f t="shared" si="4"/>
        <v/>
      </c>
      <c r="J41" s="14" t="str">
        <f t="shared" si="5"/>
        <v/>
      </c>
    </row>
    <row r="42" spans="2:10" x14ac:dyDescent="0.2">
      <c r="B42" s="9" t="str">
        <f>IF(C42="","",INDEX(Setări!$E$11:$E$14,MATCH(C42,ListaTip,0))&amp;COUNTIF($C$5:C42,C42))</f>
        <v/>
      </c>
      <c r="C42" s="10"/>
      <c r="D42" s="11"/>
      <c r="E42" s="11"/>
      <c r="F42" s="12"/>
      <c r="G42" s="12"/>
      <c r="H42" s="13" t="str">
        <f t="shared" si="3"/>
        <v/>
      </c>
      <c r="I42" s="13" t="str">
        <f t="shared" si="4"/>
        <v/>
      </c>
      <c r="J42" s="14" t="str">
        <f t="shared" si="5"/>
        <v/>
      </c>
    </row>
    <row r="43" spans="2:10" x14ac:dyDescent="0.2">
      <c r="B43" s="9" t="str">
        <f>IF(C43="","",INDEX(Setări!$E$11:$E$14,MATCH(C43,ListaTip,0))&amp;COUNTIF($C$5:C43,C43))</f>
        <v/>
      </c>
      <c r="C43" s="10"/>
      <c r="D43" s="11"/>
      <c r="E43" s="11"/>
      <c r="F43" s="12"/>
      <c r="G43" s="12"/>
      <c r="H43" s="13" t="str">
        <f t="shared" si="3"/>
        <v/>
      </c>
      <c r="I43" s="13" t="str">
        <f t="shared" si="4"/>
        <v/>
      </c>
      <c r="J43" s="14" t="str">
        <f t="shared" si="5"/>
        <v/>
      </c>
    </row>
    <row r="44" spans="2:10" x14ac:dyDescent="0.2">
      <c r="B44" s="9" t="str">
        <f>IF(C44="","",INDEX(Setări!$E$11:$E$14,MATCH(C44,ListaTip,0))&amp;COUNTIF($C$5:C44,C44))</f>
        <v/>
      </c>
      <c r="C44" s="10"/>
      <c r="D44" s="11"/>
      <c r="E44" s="11"/>
      <c r="F44" s="12"/>
      <c r="G44" s="12"/>
      <c r="H44" s="13" t="str">
        <f t="shared" si="3"/>
        <v/>
      </c>
      <c r="I44" s="13" t="str">
        <f t="shared" si="4"/>
        <v/>
      </c>
      <c r="J44" s="14" t="str">
        <f t="shared" si="5"/>
        <v/>
      </c>
    </row>
    <row r="45" spans="2:10" x14ac:dyDescent="0.2">
      <c r="B45" s="9" t="str">
        <f>IF(C45="","",INDEX(Setări!$E$11:$E$14,MATCH(C45,ListaTip,0))&amp;COUNTIF($C$5:C45,C45))</f>
        <v/>
      </c>
      <c r="C45" s="10"/>
      <c r="D45" s="11"/>
      <c r="E45" s="11"/>
      <c r="F45" s="12"/>
      <c r="G45" s="12"/>
      <c r="H45" s="13" t="str">
        <f t="shared" si="3"/>
        <v/>
      </c>
      <c r="I45" s="13" t="str">
        <f t="shared" si="4"/>
        <v/>
      </c>
      <c r="J45" s="14" t="str">
        <f t="shared" si="5"/>
        <v/>
      </c>
    </row>
    <row r="46" spans="2:10" x14ac:dyDescent="0.2">
      <c r="B46" s="9" t="str">
        <f>IF(C46="","",INDEX(Setări!$E$11:$E$14,MATCH(C46,ListaTip,0))&amp;COUNTIF($C$5:C46,C46))</f>
        <v/>
      </c>
      <c r="C46" s="10"/>
      <c r="D46" s="11"/>
      <c r="E46" s="11"/>
      <c r="F46" s="12"/>
      <c r="G46" s="12"/>
      <c r="H46" s="13" t="str">
        <f t="shared" si="3"/>
        <v/>
      </c>
      <c r="I46" s="13" t="str">
        <f t="shared" si="4"/>
        <v/>
      </c>
      <c r="J46" s="14" t="str">
        <f t="shared" si="5"/>
        <v/>
      </c>
    </row>
    <row r="47" spans="2:10" x14ac:dyDescent="0.2">
      <c r="B47" s="9" t="str">
        <f>IF(C47="","",INDEX(Setări!$E$11:$E$14,MATCH(C47,ListaTip,0))&amp;COUNTIF($C$5:C47,C47))</f>
        <v/>
      </c>
      <c r="C47" s="10"/>
      <c r="D47" s="11"/>
      <c r="E47" s="11"/>
      <c r="F47" s="12"/>
      <c r="G47" s="12"/>
      <c r="H47" s="13" t="str">
        <f t="shared" si="3"/>
        <v/>
      </c>
      <c r="I47" s="13" t="str">
        <f t="shared" si="4"/>
        <v/>
      </c>
      <c r="J47" s="14" t="str">
        <f t="shared" si="5"/>
        <v/>
      </c>
    </row>
    <row r="48" spans="2:10" x14ac:dyDescent="0.2">
      <c r="B48" s="9" t="str">
        <f>IF(C48="","",INDEX(Setări!$E$11:$E$14,MATCH(C48,ListaTip,0))&amp;COUNTIF($C$5:C48,C48))</f>
        <v/>
      </c>
      <c r="C48" s="10"/>
      <c r="D48" s="11"/>
      <c r="E48" s="11"/>
      <c r="F48" s="12"/>
      <c r="G48" s="12"/>
      <c r="H48" s="13" t="str">
        <f t="shared" si="3"/>
        <v/>
      </c>
      <c r="I48" s="13" t="str">
        <f t="shared" si="4"/>
        <v/>
      </c>
      <c r="J48" s="14" t="str">
        <f t="shared" si="5"/>
        <v/>
      </c>
    </row>
    <row r="49" spans="2:10" x14ac:dyDescent="0.2">
      <c r="B49" s="9" t="str">
        <f>IF(C49="","",INDEX(Setări!$E$11:$E$14,MATCH(C49,ListaTip,0))&amp;COUNTIF($C$5:C49,C49))</f>
        <v/>
      </c>
      <c r="C49" s="10"/>
      <c r="D49" s="11"/>
      <c r="E49" s="11"/>
      <c r="F49" s="12"/>
      <c r="G49" s="12"/>
      <c r="H49" s="13" t="str">
        <f t="shared" si="3"/>
        <v/>
      </c>
      <c r="I49" s="13" t="str">
        <f t="shared" si="4"/>
        <v/>
      </c>
      <c r="J49" s="14" t="str">
        <f t="shared" si="5"/>
        <v/>
      </c>
    </row>
    <row r="50" spans="2:10" x14ac:dyDescent="0.2">
      <c r="B50" s="9" t="str">
        <f>IF(C50="","",INDEX(Setări!$E$11:$E$14,MATCH(C50,ListaTip,0))&amp;COUNTIF($C$5:C50,C50))</f>
        <v/>
      </c>
      <c r="C50" s="10"/>
      <c r="D50" s="11"/>
      <c r="E50" s="11"/>
      <c r="F50" s="12"/>
      <c r="G50" s="12"/>
      <c r="H50" s="13" t="str">
        <f t="shared" si="3"/>
        <v/>
      </c>
      <c r="I50" s="13" t="str">
        <f t="shared" si="4"/>
        <v/>
      </c>
      <c r="J50" s="14" t="str">
        <f t="shared" si="5"/>
        <v/>
      </c>
    </row>
    <row r="51" spans="2:10" x14ac:dyDescent="0.2">
      <c r="B51" s="9" t="str">
        <f>IF(C51="","",INDEX(Setări!$E$11:$E$14,MATCH(C51,ListaTip,0))&amp;COUNTIF($C$5:C51,C51))</f>
        <v/>
      </c>
      <c r="C51" s="10"/>
      <c r="D51" s="11"/>
      <c r="E51" s="11"/>
      <c r="F51" s="12"/>
      <c r="G51" s="12"/>
      <c r="H51" s="13" t="str">
        <f t="shared" si="3"/>
        <v/>
      </c>
      <c r="I51" s="13" t="str">
        <f t="shared" si="4"/>
        <v/>
      </c>
      <c r="J51" s="14" t="str">
        <f t="shared" si="5"/>
        <v/>
      </c>
    </row>
    <row r="52" spans="2:10" x14ac:dyDescent="0.2">
      <c r="B52" s="9" t="str">
        <f>IF(C52="","",INDEX(Setări!$E$11:$E$14,MATCH(C52,ListaTip,0))&amp;COUNTIF($C$5:C52,C52))</f>
        <v/>
      </c>
      <c r="C52" s="10"/>
      <c r="D52" s="11"/>
      <c r="E52" s="11"/>
      <c r="F52" s="12"/>
      <c r="G52" s="12"/>
      <c r="H52" s="13" t="str">
        <f t="shared" si="3"/>
        <v/>
      </c>
      <c r="I52" s="13" t="str">
        <f t="shared" si="4"/>
        <v/>
      </c>
      <c r="J52" s="14" t="str">
        <f t="shared" si="5"/>
        <v/>
      </c>
    </row>
    <row r="53" spans="2:10" x14ac:dyDescent="0.2">
      <c r="B53" s="9" t="str">
        <f>IF(C53="","",INDEX(Setări!$E$11:$E$14,MATCH(C53,ListaTip,0))&amp;COUNTIF($C$5:C53,C53))</f>
        <v/>
      </c>
      <c r="C53" s="10"/>
      <c r="D53" s="11"/>
      <c r="E53" s="11"/>
      <c r="F53" s="12"/>
      <c r="G53" s="12"/>
      <c r="H53" s="13" t="str">
        <f t="shared" si="3"/>
        <v/>
      </c>
      <c r="I53" s="13" t="str">
        <f t="shared" si="4"/>
        <v/>
      </c>
      <c r="J53" s="14" t="str">
        <f t="shared" si="5"/>
        <v/>
      </c>
    </row>
    <row r="54" spans="2:10" x14ac:dyDescent="0.2">
      <c r="B54" s="9" t="str">
        <f>IF(C54="","",INDEX(Setări!$E$11:$E$14,MATCH(C54,ListaTip,0))&amp;COUNTIF($C$5:C54,C54))</f>
        <v/>
      </c>
      <c r="C54" s="10"/>
      <c r="D54" s="11"/>
      <c r="E54" s="11"/>
      <c r="F54" s="12"/>
      <c r="G54" s="12"/>
      <c r="H54" s="13" t="str">
        <f t="shared" si="3"/>
        <v/>
      </c>
      <c r="I54" s="13" t="str">
        <f t="shared" si="4"/>
        <v/>
      </c>
      <c r="J54" s="14" t="str">
        <f t="shared" si="5"/>
        <v/>
      </c>
    </row>
    <row r="55" spans="2:10" x14ac:dyDescent="0.2">
      <c r="B55" s="9" t="str">
        <f>IF(C55="","",INDEX(Setări!$E$11:$E$14,MATCH(C55,ListaTip,0))&amp;COUNTIF($C$5:C55,C55))</f>
        <v/>
      </c>
      <c r="C55" s="10"/>
      <c r="D55" s="11"/>
      <c r="E55" s="11"/>
      <c r="F55" s="12"/>
      <c r="G55" s="12"/>
      <c r="H55" s="13" t="str">
        <f t="shared" si="3"/>
        <v/>
      </c>
      <c r="I55" s="13" t="str">
        <f t="shared" si="4"/>
        <v/>
      </c>
      <c r="J55" s="14" t="str">
        <f t="shared" si="5"/>
        <v/>
      </c>
    </row>
    <row r="56" spans="2:10" x14ac:dyDescent="0.2">
      <c r="B56" s="9" t="str">
        <f>IF(C56="","",INDEX(Setări!$E$11:$E$14,MATCH(C56,ListaTip,0))&amp;COUNTIF($C$5:C56,C56))</f>
        <v/>
      </c>
      <c r="C56" s="10"/>
      <c r="D56" s="11"/>
      <c r="E56" s="11"/>
      <c r="F56" s="12"/>
      <c r="G56" s="12"/>
      <c r="H56" s="13" t="str">
        <f t="shared" si="3"/>
        <v/>
      </c>
      <c r="I56" s="13" t="str">
        <f t="shared" si="4"/>
        <v/>
      </c>
      <c r="J56" s="14" t="str">
        <f t="shared" si="5"/>
        <v/>
      </c>
    </row>
    <row r="57" spans="2:10" x14ac:dyDescent="0.2">
      <c r="B57" s="9" t="str">
        <f>IF(C57="","",INDEX(Setări!$E$11:$E$14,MATCH(C57,ListaTip,0))&amp;COUNTIF($C$5:C57,C57))</f>
        <v/>
      </c>
      <c r="C57" s="10"/>
      <c r="D57" s="11"/>
      <c r="E57" s="11"/>
      <c r="F57" s="12"/>
      <c r="G57" s="12"/>
      <c r="H57" s="13" t="str">
        <f t="shared" si="3"/>
        <v/>
      </c>
      <c r="I57" s="13" t="str">
        <f t="shared" si="4"/>
        <v/>
      </c>
      <c r="J57" s="14" t="str">
        <f t="shared" si="5"/>
        <v/>
      </c>
    </row>
    <row r="58" spans="2:10" x14ac:dyDescent="0.2">
      <c r="B58" s="9" t="str">
        <f>IF(C58="","",INDEX(Setări!$E$11:$E$14,MATCH(C58,ListaTip,0))&amp;COUNTIF($C$5:C58,C58))</f>
        <v/>
      </c>
      <c r="C58" s="10"/>
      <c r="D58" s="11"/>
      <c r="E58" s="11"/>
      <c r="F58" s="12"/>
      <c r="G58" s="12"/>
      <c r="H58" s="13" t="str">
        <f t="shared" si="3"/>
        <v/>
      </c>
      <c r="I58" s="13" t="str">
        <f t="shared" si="4"/>
        <v/>
      </c>
      <c r="J58" s="14" t="str">
        <f t="shared" si="5"/>
        <v/>
      </c>
    </row>
    <row r="59" spans="2:10" x14ac:dyDescent="0.2">
      <c r="B59" s="9" t="str">
        <f>IF(C59="","",INDEX(Setări!$E$11:$E$14,MATCH(C59,ListaTip,0))&amp;COUNTIF($C$5:C59,C59))</f>
        <v/>
      </c>
      <c r="C59" s="10"/>
      <c r="D59" s="11"/>
      <c r="E59" s="11"/>
      <c r="F59" s="12"/>
      <c r="G59" s="12"/>
      <c r="H59" s="13" t="str">
        <f t="shared" si="3"/>
        <v/>
      </c>
      <c r="I59" s="13" t="str">
        <f t="shared" si="4"/>
        <v/>
      </c>
      <c r="J59" s="14" t="str">
        <f t="shared" si="5"/>
        <v/>
      </c>
    </row>
    <row r="60" spans="2:10" x14ac:dyDescent="0.2">
      <c r="B60" s="9" t="str">
        <f>IF(C60="","",INDEX(Setări!$E$11:$E$14,MATCH(C60,ListaTip,0))&amp;COUNTIF($C$5:C60,C60))</f>
        <v/>
      </c>
      <c r="C60" s="10"/>
      <c r="D60" s="11"/>
      <c r="E60" s="11"/>
      <c r="F60" s="12"/>
      <c r="G60" s="12"/>
      <c r="H60" s="13" t="str">
        <f t="shared" si="3"/>
        <v/>
      </c>
      <c r="I60" s="13" t="str">
        <f t="shared" si="4"/>
        <v/>
      </c>
      <c r="J60" s="14" t="str">
        <f t="shared" si="5"/>
        <v/>
      </c>
    </row>
    <row r="61" spans="2:10" x14ac:dyDescent="0.2">
      <c r="B61" s="9" t="str">
        <f>IF(C61="","",INDEX(Setări!$E$11:$E$14,MATCH(C61,ListaTip,0))&amp;COUNTIF($C$5:C61,C61))</f>
        <v/>
      </c>
      <c r="C61" s="10"/>
      <c r="D61" s="11"/>
      <c r="E61" s="11"/>
      <c r="F61" s="12"/>
      <c r="G61" s="12"/>
      <c r="H61" s="13" t="str">
        <f t="shared" si="3"/>
        <v/>
      </c>
      <c r="I61" s="13" t="str">
        <f t="shared" si="4"/>
        <v/>
      </c>
      <c r="J61" s="14" t="str">
        <f t="shared" si="5"/>
        <v/>
      </c>
    </row>
    <row r="62" spans="2:10" x14ac:dyDescent="0.2">
      <c r="B62" s="9" t="str">
        <f>IF(C62="","",INDEX(Setări!$E$11:$E$14,MATCH(C62,ListaTip,0))&amp;COUNTIF($C$5:C62,C62))</f>
        <v/>
      </c>
      <c r="C62" s="10"/>
      <c r="D62" s="11"/>
      <c r="E62" s="11"/>
      <c r="F62" s="12"/>
      <c r="G62" s="12"/>
      <c r="H62" s="13" t="str">
        <f t="shared" si="3"/>
        <v/>
      </c>
      <c r="I62" s="13" t="str">
        <f t="shared" si="4"/>
        <v/>
      </c>
      <c r="J62" s="14" t="str">
        <f t="shared" si="5"/>
        <v/>
      </c>
    </row>
    <row r="63" spans="2:10" x14ac:dyDescent="0.2">
      <c r="B63" s="9" t="str">
        <f>IF(C63="","",INDEX(Setări!$E$11:$E$14,MATCH(C63,ListaTip,0))&amp;COUNTIF($C$5:C63,C63))</f>
        <v/>
      </c>
      <c r="C63" s="10"/>
      <c r="D63" s="11"/>
      <c r="E63" s="11"/>
      <c r="F63" s="12"/>
      <c r="G63" s="12"/>
      <c r="H63" s="13" t="str">
        <f t="shared" si="3"/>
        <v/>
      </c>
      <c r="I63" s="13" t="str">
        <f t="shared" si="4"/>
        <v/>
      </c>
      <c r="J63" s="14" t="str">
        <f t="shared" si="5"/>
        <v/>
      </c>
    </row>
    <row r="64" spans="2:10" x14ac:dyDescent="0.2">
      <c r="B64" s="9" t="str">
        <f>IF(C64="","",INDEX(Setări!$E$11:$E$14,MATCH(C64,ListaTip,0))&amp;COUNTIF($C$5:C64,C64))</f>
        <v/>
      </c>
      <c r="C64" s="10"/>
      <c r="D64" s="11"/>
      <c r="E64" s="11"/>
      <c r="F64" s="12"/>
      <c r="G64" s="12"/>
      <c r="H64" s="13" t="str">
        <f t="shared" si="3"/>
        <v/>
      </c>
      <c r="I64" s="13" t="str">
        <f t="shared" si="4"/>
        <v/>
      </c>
      <c r="J64" s="14" t="str">
        <f t="shared" si="5"/>
        <v/>
      </c>
    </row>
    <row r="65" spans="2:10" x14ac:dyDescent="0.2">
      <c r="B65" s="9" t="str">
        <f>IF(C65="","",INDEX(Setări!$E$11:$E$14,MATCH(C65,ListaTip,0))&amp;COUNTIF($C$5:C65,C65))</f>
        <v/>
      </c>
      <c r="C65" s="10"/>
      <c r="D65" s="11"/>
      <c r="E65" s="11"/>
      <c r="F65" s="12"/>
      <c r="G65" s="12"/>
      <c r="H65" s="13" t="str">
        <f t="shared" si="3"/>
        <v/>
      </c>
      <c r="I65" s="13" t="str">
        <f t="shared" si="4"/>
        <v/>
      </c>
      <c r="J65" s="14" t="str">
        <f t="shared" si="5"/>
        <v/>
      </c>
    </row>
    <row r="66" spans="2:10" x14ac:dyDescent="0.2">
      <c r="B66" s="9" t="str">
        <f>IF(C66="","",INDEX(Setări!$E$11:$E$14,MATCH(C66,ListaTip,0))&amp;COUNTIF($C$5:C66,C66))</f>
        <v/>
      </c>
      <c r="C66" s="10"/>
      <c r="D66" s="11"/>
      <c r="E66" s="11"/>
      <c r="F66" s="12"/>
      <c r="G66" s="12"/>
      <c r="H66" s="13" t="str">
        <f t="shared" si="3"/>
        <v/>
      </c>
      <c r="I66" s="13" t="str">
        <f t="shared" si="4"/>
        <v/>
      </c>
      <c r="J66" s="14" t="str">
        <f t="shared" si="5"/>
        <v/>
      </c>
    </row>
    <row r="67" spans="2:10" x14ac:dyDescent="0.2">
      <c r="B67" s="9" t="str">
        <f>IF(C67="","",INDEX(Setări!$E$11:$E$14,MATCH(C67,ListaTip,0))&amp;COUNTIF($C$5:C67,C67))</f>
        <v/>
      </c>
      <c r="C67" s="10"/>
      <c r="D67" s="11"/>
      <c r="E67" s="11"/>
      <c r="F67" s="12"/>
      <c r="G67" s="12"/>
      <c r="H67" s="13" t="str">
        <f t="shared" si="3"/>
        <v/>
      </c>
      <c r="I67" s="13" t="str">
        <f t="shared" si="4"/>
        <v/>
      </c>
      <c r="J67" s="14" t="str">
        <f t="shared" si="5"/>
        <v/>
      </c>
    </row>
    <row r="68" spans="2:10" x14ac:dyDescent="0.2">
      <c r="B68" s="9" t="str">
        <f>IF(C68="","",INDEX(Setări!$E$11:$E$14,MATCH(C68,ListaTip,0))&amp;COUNTIF($C$5:C68,C68))</f>
        <v/>
      </c>
      <c r="C68" s="10"/>
      <c r="D68" s="11"/>
      <c r="E68" s="11"/>
      <c r="F68" s="12"/>
      <c r="G68" s="12"/>
      <c r="H68" s="13" t="str">
        <f t="shared" si="3"/>
        <v/>
      </c>
      <c r="I68" s="13" t="str">
        <f t="shared" si="4"/>
        <v/>
      </c>
      <c r="J68" s="14" t="str">
        <f t="shared" si="5"/>
        <v/>
      </c>
    </row>
    <row r="69" spans="2:10" x14ac:dyDescent="0.2">
      <c r="B69" s="9" t="str">
        <f>IF(C69="","",INDEX(Setări!$E$11:$E$14,MATCH(C69,ListaTip,0))&amp;COUNTIF($C$5:C69,C69))</f>
        <v/>
      </c>
      <c r="C69" s="10"/>
      <c r="D69" s="11"/>
      <c r="E69" s="11"/>
      <c r="F69" s="12"/>
      <c r="G69" s="12"/>
      <c r="H69" s="13" t="str">
        <f t="shared" ref="H69:H100" si="6">IF(OR(N(F69)=0,N(G69)=0),"",F69*G69)</f>
        <v/>
      </c>
      <c r="I69" s="13" t="str">
        <f t="shared" ref="I69:I100" si="7">IF(H69="","",IF(H69&gt;=PragR,"Ridicată",IF(H69&gt;=PragM,"Medie","Scăzută")))</f>
        <v/>
      </c>
      <c r="J69" s="14" t="str">
        <f t="shared" ref="J69:J100" si="8">IF(C69="","",TRIM(IF(D69="","Lipsește descrierea. ",IF(LEN(D69)&lt;30,"Prea general: spune concret ce, cât, unde. ",""))&amp;IF(E69="","Fără dovadă: e o părere, nu un fapt. ","")&amp;IF(OR(N(F69)=0,N(G69)=0),"Notează impactul și importanța. ","")))</f>
        <v/>
      </c>
    </row>
    <row r="70" spans="2:10" x14ac:dyDescent="0.2">
      <c r="B70" s="9" t="str">
        <f>IF(C70="","",INDEX(Setări!$E$11:$E$14,MATCH(C70,ListaTip,0))&amp;COUNTIF($C$5:C70,C70))</f>
        <v/>
      </c>
      <c r="C70" s="10"/>
      <c r="D70" s="11"/>
      <c r="E70" s="11"/>
      <c r="F70" s="12"/>
      <c r="G70" s="12"/>
      <c r="H70" s="13" t="str">
        <f t="shared" si="6"/>
        <v/>
      </c>
      <c r="I70" s="13" t="str">
        <f t="shared" si="7"/>
        <v/>
      </c>
      <c r="J70" s="14" t="str">
        <f t="shared" si="8"/>
        <v/>
      </c>
    </row>
    <row r="71" spans="2:10" x14ac:dyDescent="0.2">
      <c r="B71" s="9" t="str">
        <f>IF(C71="","",INDEX(Setări!$E$11:$E$14,MATCH(C71,ListaTip,0))&amp;COUNTIF($C$5:C71,C71))</f>
        <v/>
      </c>
      <c r="C71" s="10"/>
      <c r="D71" s="11"/>
      <c r="E71" s="11"/>
      <c r="F71" s="12"/>
      <c r="G71" s="12"/>
      <c r="H71" s="13" t="str">
        <f t="shared" si="6"/>
        <v/>
      </c>
      <c r="I71" s="13" t="str">
        <f t="shared" si="7"/>
        <v/>
      </c>
      <c r="J71" s="14" t="str">
        <f t="shared" si="8"/>
        <v/>
      </c>
    </row>
    <row r="72" spans="2:10" x14ac:dyDescent="0.2">
      <c r="B72" s="9" t="str">
        <f>IF(C72="","",INDEX(Setări!$E$11:$E$14,MATCH(C72,ListaTip,0))&amp;COUNTIF($C$5:C72,C72))</f>
        <v/>
      </c>
      <c r="C72" s="10"/>
      <c r="D72" s="11"/>
      <c r="E72" s="11"/>
      <c r="F72" s="12"/>
      <c r="G72" s="12"/>
      <c r="H72" s="13" t="str">
        <f t="shared" si="6"/>
        <v/>
      </c>
      <c r="I72" s="13" t="str">
        <f t="shared" si="7"/>
        <v/>
      </c>
      <c r="J72" s="14" t="str">
        <f t="shared" si="8"/>
        <v/>
      </c>
    </row>
    <row r="73" spans="2:10" x14ac:dyDescent="0.2">
      <c r="B73" s="9" t="str">
        <f>IF(C73="","",INDEX(Setări!$E$11:$E$14,MATCH(C73,ListaTip,0))&amp;COUNTIF($C$5:C73,C73))</f>
        <v/>
      </c>
      <c r="C73" s="10"/>
      <c r="D73" s="11"/>
      <c r="E73" s="11"/>
      <c r="F73" s="12"/>
      <c r="G73" s="12"/>
      <c r="H73" s="13" t="str">
        <f t="shared" si="6"/>
        <v/>
      </c>
      <c r="I73" s="13" t="str">
        <f t="shared" si="7"/>
        <v/>
      </c>
      <c r="J73" s="14" t="str">
        <f t="shared" si="8"/>
        <v/>
      </c>
    </row>
    <row r="74" spans="2:10" x14ac:dyDescent="0.2">
      <c r="B74" s="9" t="str">
        <f>IF(C74="","",INDEX(Setări!$E$11:$E$14,MATCH(C74,ListaTip,0))&amp;COUNTIF($C$5:C74,C74))</f>
        <v/>
      </c>
      <c r="C74" s="10"/>
      <c r="D74" s="11"/>
      <c r="E74" s="11"/>
      <c r="F74" s="12"/>
      <c r="G74" s="12"/>
      <c r="H74" s="13" t="str">
        <f t="shared" si="6"/>
        <v/>
      </c>
      <c r="I74" s="13" t="str">
        <f t="shared" si="7"/>
        <v/>
      </c>
      <c r="J74" s="14" t="str">
        <f t="shared" si="8"/>
        <v/>
      </c>
    </row>
    <row r="75" spans="2:10" x14ac:dyDescent="0.2">
      <c r="B75" s="9" t="str">
        <f>IF(C75="","",INDEX(Setări!$E$11:$E$14,MATCH(C75,ListaTip,0))&amp;COUNTIF($C$5:C75,C75))</f>
        <v/>
      </c>
      <c r="C75" s="10"/>
      <c r="D75" s="11"/>
      <c r="E75" s="11"/>
      <c r="F75" s="12"/>
      <c r="G75" s="12"/>
      <c r="H75" s="13" t="str">
        <f t="shared" si="6"/>
        <v/>
      </c>
      <c r="I75" s="13" t="str">
        <f t="shared" si="7"/>
        <v/>
      </c>
      <c r="J75" s="14" t="str">
        <f t="shared" si="8"/>
        <v/>
      </c>
    </row>
    <row r="76" spans="2:10" x14ac:dyDescent="0.2">
      <c r="B76" s="9" t="str">
        <f>IF(C76="","",INDEX(Setări!$E$11:$E$14,MATCH(C76,ListaTip,0))&amp;COUNTIF($C$5:C76,C76))</f>
        <v/>
      </c>
      <c r="C76" s="10"/>
      <c r="D76" s="11"/>
      <c r="E76" s="11"/>
      <c r="F76" s="12"/>
      <c r="G76" s="12"/>
      <c r="H76" s="13" t="str">
        <f t="shared" si="6"/>
        <v/>
      </c>
      <c r="I76" s="13" t="str">
        <f t="shared" si="7"/>
        <v/>
      </c>
      <c r="J76" s="14" t="str">
        <f t="shared" si="8"/>
        <v/>
      </c>
    </row>
    <row r="77" spans="2:10" x14ac:dyDescent="0.2">
      <c r="B77" s="9" t="str">
        <f>IF(C77="","",INDEX(Setări!$E$11:$E$14,MATCH(C77,ListaTip,0))&amp;COUNTIF($C$5:C77,C77))</f>
        <v/>
      </c>
      <c r="C77" s="10"/>
      <c r="D77" s="11"/>
      <c r="E77" s="11"/>
      <c r="F77" s="12"/>
      <c r="G77" s="12"/>
      <c r="H77" s="13" t="str">
        <f t="shared" si="6"/>
        <v/>
      </c>
      <c r="I77" s="13" t="str">
        <f t="shared" si="7"/>
        <v/>
      </c>
      <c r="J77" s="14" t="str">
        <f t="shared" si="8"/>
        <v/>
      </c>
    </row>
    <row r="78" spans="2:10" x14ac:dyDescent="0.2">
      <c r="B78" s="9" t="str">
        <f>IF(C78="","",INDEX(Setări!$E$11:$E$14,MATCH(C78,ListaTip,0))&amp;COUNTIF($C$5:C78,C78))</f>
        <v/>
      </c>
      <c r="C78" s="10"/>
      <c r="D78" s="11"/>
      <c r="E78" s="11"/>
      <c r="F78" s="12"/>
      <c r="G78" s="12"/>
      <c r="H78" s="13" t="str">
        <f t="shared" si="6"/>
        <v/>
      </c>
      <c r="I78" s="13" t="str">
        <f t="shared" si="7"/>
        <v/>
      </c>
      <c r="J78" s="14" t="str">
        <f t="shared" si="8"/>
        <v/>
      </c>
    </row>
    <row r="79" spans="2:10" x14ac:dyDescent="0.2">
      <c r="B79" s="9" t="str">
        <f>IF(C79="","",INDEX(Setări!$E$11:$E$14,MATCH(C79,ListaTip,0))&amp;COUNTIF($C$5:C79,C79))</f>
        <v/>
      </c>
      <c r="C79" s="10"/>
      <c r="D79" s="11"/>
      <c r="E79" s="11"/>
      <c r="F79" s="12"/>
      <c r="G79" s="12"/>
      <c r="H79" s="13" t="str">
        <f t="shared" si="6"/>
        <v/>
      </c>
      <c r="I79" s="13" t="str">
        <f t="shared" si="7"/>
        <v/>
      </c>
      <c r="J79" s="14" t="str">
        <f t="shared" si="8"/>
        <v/>
      </c>
    </row>
    <row r="80" spans="2:10" x14ac:dyDescent="0.2">
      <c r="B80" s="9" t="str">
        <f>IF(C80="","",INDEX(Setări!$E$11:$E$14,MATCH(C80,ListaTip,0))&amp;COUNTIF($C$5:C80,C80))</f>
        <v/>
      </c>
      <c r="C80" s="10"/>
      <c r="D80" s="11"/>
      <c r="E80" s="11"/>
      <c r="F80" s="12"/>
      <c r="G80" s="12"/>
      <c r="H80" s="13" t="str">
        <f t="shared" si="6"/>
        <v/>
      </c>
      <c r="I80" s="13" t="str">
        <f t="shared" si="7"/>
        <v/>
      </c>
      <c r="J80" s="14" t="str">
        <f t="shared" si="8"/>
        <v/>
      </c>
    </row>
    <row r="81" spans="2:10" x14ac:dyDescent="0.2">
      <c r="B81" s="9" t="str">
        <f>IF(C81="","",INDEX(Setări!$E$11:$E$14,MATCH(C81,ListaTip,0))&amp;COUNTIF($C$5:C81,C81))</f>
        <v/>
      </c>
      <c r="C81" s="10"/>
      <c r="D81" s="11"/>
      <c r="E81" s="11"/>
      <c r="F81" s="12"/>
      <c r="G81" s="12"/>
      <c r="H81" s="13" t="str">
        <f t="shared" si="6"/>
        <v/>
      </c>
      <c r="I81" s="13" t="str">
        <f t="shared" si="7"/>
        <v/>
      </c>
      <c r="J81" s="14" t="str">
        <f t="shared" si="8"/>
        <v/>
      </c>
    </row>
    <row r="82" spans="2:10" x14ac:dyDescent="0.2">
      <c r="B82" s="9" t="str">
        <f>IF(C82="","",INDEX(Setări!$E$11:$E$14,MATCH(C82,ListaTip,0))&amp;COUNTIF($C$5:C82,C82))</f>
        <v/>
      </c>
      <c r="C82" s="10"/>
      <c r="D82" s="11"/>
      <c r="E82" s="11"/>
      <c r="F82" s="12"/>
      <c r="G82" s="12"/>
      <c r="H82" s="13" t="str">
        <f t="shared" si="6"/>
        <v/>
      </c>
      <c r="I82" s="13" t="str">
        <f t="shared" si="7"/>
        <v/>
      </c>
      <c r="J82" s="14" t="str">
        <f t="shared" si="8"/>
        <v/>
      </c>
    </row>
    <row r="83" spans="2:10" x14ac:dyDescent="0.2">
      <c r="B83" s="9" t="str">
        <f>IF(C83="","",INDEX(Setări!$E$11:$E$14,MATCH(C83,ListaTip,0))&amp;COUNTIF($C$5:C83,C83))</f>
        <v/>
      </c>
      <c r="C83" s="10"/>
      <c r="D83" s="11"/>
      <c r="E83" s="11"/>
      <c r="F83" s="12"/>
      <c r="G83" s="12"/>
      <c r="H83" s="13" t="str">
        <f t="shared" si="6"/>
        <v/>
      </c>
      <c r="I83" s="13" t="str">
        <f t="shared" si="7"/>
        <v/>
      </c>
      <c r="J83" s="14" t="str">
        <f t="shared" si="8"/>
        <v/>
      </c>
    </row>
    <row r="84" spans="2:10" x14ac:dyDescent="0.2">
      <c r="B84" s="9" t="str">
        <f>IF(C84="","",INDEX(Setări!$E$11:$E$14,MATCH(C84,ListaTip,0))&amp;COUNTIF($C$5:C84,C84))</f>
        <v/>
      </c>
      <c r="C84" s="10"/>
      <c r="D84" s="11"/>
      <c r="E84" s="11"/>
      <c r="F84" s="12"/>
      <c r="G84" s="12"/>
      <c r="H84" s="13" t="str">
        <f t="shared" si="6"/>
        <v/>
      </c>
      <c r="I84" s="13" t="str">
        <f t="shared" si="7"/>
        <v/>
      </c>
      <c r="J84" s="14" t="str">
        <f t="shared" si="8"/>
        <v/>
      </c>
    </row>
    <row r="85" spans="2:10" x14ac:dyDescent="0.2">
      <c r="B85" s="9" t="str">
        <f>IF(C85="","",INDEX(Setări!$E$11:$E$14,MATCH(C85,ListaTip,0))&amp;COUNTIF($C$5:C85,C85))</f>
        <v/>
      </c>
      <c r="C85" s="10"/>
      <c r="D85" s="11"/>
      <c r="E85" s="11"/>
      <c r="F85" s="12"/>
      <c r="G85" s="12"/>
      <c r="H85" s="13" t="str">
        <f t="shared" si="6"/>
        <v/>
      </c>
      <c r="I85" s="13" t="str">
        <f t="shared" si="7"/>
        <v/>
      </c>
      <c r="J85" s="14" t="str">
        <f t="shared" si="8"/>
        <v/>
      </c>
    </row>
    <row r="86" spans="2:10" x14ac:dyDescent="0.2">
      <c r="B86" s="9" t="str">
        <f>IF(C86="","",INDEX(Setări!$E$11:$E$14,MATCH(C86,ListaTip,0))&amp;COUNTIF($C$5:C86,C86))</f>
        <v/>
      </c>
      <c r="C86" s="10"/>
      <c r="D86" s="11"/>
      <c r="E86" s="11"/>
      <c r="F86" s="12"/>
      <c r="G86" s="12"/>
      <c r="H86" s="13" t="str">
        <f t="shared" si="6"/>
        <v/>
      </c>
      <c r="I86" s="13" t="str">
        <f t="shared" si="7"/>
        <v/>
      </c>
      <c r="J86" s="14" t="str">
        <f t="shared" si="8"/>
        <v/>
      </c>
    </row>
    <row r="87" spans="2:10" x14ac:dyDescent="0.2">
      <c r="B87" s="9" t="str">
        <f>IF(C87="","",INDEX(Setări!$E$11:$E$14,MATCH(C87,ListaTip,0))&amp;COUNTIF($C$5:C87,C87))</f>
        <v/>
      </c>
      <c r="C87" s="10"/>
      <c r="D87" s="11"/>
      <c r="E87" s="11"/>
      <c r="F87" s="12"/>
      <c r="G87" s="12"/>
      <c r="H87" s="13" t="str">
        <f t="shared" si="6"/>
        <v/>
      </c>
      <c r="I87" s="13" t="str">
        <f t="shared" si="7"/>
        <v/>
      </c>
      <c r="J87" s="14" t="str">
        <f t="shared" si="8"/>
        <v/>
      </c>
    </row>
    <row r="88" spans="2:10" x14ac:dyDescent="0.2">
      <c r="B88" s="9" t="str">
        <f>IF(C88="","",INDEX(Setări!$E$11:$E$14,MATCH(C88,ListaTip,0))&amp;COUNTIF($C$5:C88,C88))</f>
        <v/>
      </c>
      <c r="C88" s="10"/>
      <c r="D88" s="11"/>
      <c r="E88" s="11"/>
      <c r="F88" s="12"/>
      <c r="G88" s="12"/>
      <c r="H88" s="13" t="str">
        <f t="shared" si="6"/>
        <v/>
      </c>
      <c r="I88" s="13" t="str">
        <f t="shared" si="7"/>
        <v/>
      </c>
      <c r="J88" s="14" t="str">
        <f t="shared" si="8"/>
        <v/>
      </c>
    </row>
    <row r="89" spans="2:10" x14ac:dyDescent="0.2">
      <c r="B89" s="9" t="str">
        <f>IF(C89="","",INDEX(Setări!$E$11:$E$14,MATCH(C89,ListaTip,0))&amp;COUNTIF($C$5:C89,C89))</f>
        <v/>
      </c>
      <c r="C89" s="10"/>
      <c r="D89" s="11"/>
      <c r="E89" s="11"/>
      <c r="F89" s="12"/>
      <c r="G89" s="12"/>
      <c r="H89" s="13" t="str">
        <f t="shared" si="6"/>
        <v/>
      </c>
      <c r="I89" s="13" t="str">
        <f t="shared" si="7"/>
        <v/>
      </c>
      <c r="J89" s="14" t="str">
        <f t="shared" si="8"/>
        <v/>
      </c>
    </row>
    <row r="90" spans="2:10" x14ac:dyDescent="0.2">
      <c r="B90" s="9" t="str">
        <f>IF(C90="","",INDEX(Setări!$E$11:$E$14,MATCH(C90,ListaTip,0))&amp;COUNTIF($C$5:C90,C90))</f>
        <v/>
      </c>
      <c r="C90" s="10"/>
      <c r="D90" s="11"/>
      <c r="E90" s="11"/>
      <c r="F90" s="12"/>
      <c r="G90" s="12"/>
      <c r="H90" s="13" t="str">
        <f t="shared" si="6"/>
        <v/>
      </c>
      <c r="I90" s="13" t="str">
        <f t="shared" si="7"/>
        <v/>
      </c>
      <c r="J90" s="14" t="str">
        <f t="shared" si="8"/>
        <v/>
      </c>
    </row>
    <row r="91" spans="2:10" x14ac:dyDescent="0.2">
      <c r="B91" s="9" t="str">
        <f>IF(C91="","",INDEX(Setări!$E$11:$E$14,MATCH(C91,ListaTip,0))&amp;COUNTIF($C$5:C91,C91))</f>
        <v/>
      </c>
      <c r="C91" s="10"/>
      <c r="D91" s="11"/>
      <c r="E91" s="11"/>
      <c r="F91" s="12"/>
      <c r="G91" s="12"/>
      <c r="H91" s="13" t="str">
        <f t="shared" si="6"/>
        <v/>
      </c>
      <c r="I91" s="13" t="str">
        <f t="shared" si="7"/>
        <v/>
      </c>
      <c r="J91" s="14" t="str">
        <f t="shared" si="8"/>
        <v/>
      </c>
    </row>
    <row r="92" spans="2:10" x14ac:dyDescent="0.2">
      <c r="B92" s="9" t="str">
        <f>IF(C92="","",INDEX(Setări!$E$11:$E$14,MATCH(C92,ListaTip,0))&amp;COUNTIF($C$5:C92,C92))</f>
        <v/>
      </c>
      <c r="C92" s="10"/>
      <c r="D92" s="11"/>
      <c r="E92" s="11"/>
      <c r="F92" s="12"/>
      <c r="G92" s="12"/>
      <c r="H92" s="13" t="str">
        <f t="shared" si="6"/>
        <v/>
      </c>
      <c r="I92" s="13" t="str">
        <f t="shared" si="7"/>
        <v/>
      </c>
      <c r="J92" s="14" t="str">
        <f t="shared" si="8"/>
        <v/>
      </c>
    </row>
    <row r="93" spans="2:10" x14ac:dyDescent="0.2">
      <c r="B93" s="9" t="str">
        <f>IF(C93="","",INDEX(Setări!$E$11:$E$14,MATCH(C93,ListaTip,0))&amp;COUNTIF($C$5:C93,C93))</f>
        <v/>
      </c>
      <c r="C93" s="10"/>
      <c r="D93" s="11"/>
      <c r="E93" s="11"/>
      <c r="F93" s="12"/>
      <c r="G93" s="12"/>
      <c r="H93" s="13" t="str">
        <f t="shared" si="6"/>
        <v/>
      </c>
      <c r="I93" s="13" t="str">
        <f t="shared" si="7"/>
        <v/>
      </c>
      <c r="J93" s="14" t="str">
        <f t="shared" si="8"/>
        <v/>
      </c>
    </row>
    <row r="94" spans="2:10" x14ac:dyDescent="0.2">
      <c r="B94" s="9" t="str">
        <f>IF(C94="","",INDEX(Setări!$E$11:$E$14,MATCH(C94,ListaTip,0))&amp;COUNTIF($C$5:C94,C94))</f>
        <v/>
      </c>
      <c r="C94" s="10"/>
      <c r="D94" s="11"/>
      <c r="E94" s="11"/>
      <c r="F94" s="12"/>
      <c r="G94" s="12"/>
      <c r="H94" s="13" t="str">
        <f t="shared" si="6"/>
        <v/>
      </c>
      <c r="I94" s="13" t="str">
        <f t="shared" si="7"/>
        <v/>
      </c>
      <c r="J94" s="14" t="str">
        <f t="shared" si="8"/>
        <v/>
      </c>
    </row>
    <row r="95" spans="2:10" x14ac:dyDescent="0.2">
      <c r="B95" s="9" t="str">
        <f>IF(C95="","",INDEX(Setări!$E$11:$E$14,MATCH(C95,ListaTip,0))&amp;COUNTIF($C$5:C95,C95))</f>
        <v/>
      </c>
      <c r="C95" s="10"/>
      <c r="D95" s="11"/>
      <c r="E95" s="11"/>
      <c r="F95" s="12"/>
      <c r="G95" s="12"/>
      <c r="H95" s="13" t="str">
        <f t="shared" si="6"/>
        <v/>
      </c>
      <c r="I95" s="13" t="str">
        <f t="shared" si="7"/>
        <v/>
      </c>
      <c r="J95" s="14" t="str">
        <f t="shared" si="8"/>
        <v/>
      </c>
    </row>
    <row r="96" spans="2:10" x14ac:dyDescent="0.2">
      <c r="B96" s="9" t="str">
        <f>IF(C96="","",INDEX(Setări!$E$11:$E$14,MATCH(C96,ListaTip,0))&amp;COUNTIF($C$5:C96,C96))</f>
        <v/>
      </c>
      <c r="C96" s="10"/>
      <c r="D96" s="11"/>
      <c r="E96" s="11"/>
      <c r="F96" s="12"/>
      <c r="G96" s="12"/>
      <c r="H96" s="13" t="str">
        <f t="shared" si="6"/>
        <v/>
      </c>
      <c r="I96" s="13" t="str">
        <f t="shared" si="7"/>
        <v/>
      </c>
      <c r="J96" s="14" t="str">
        <f t="shared" si="8"/>
        <v/>
      </c>
    </row>
    <row r="97" spans="2:10" x14ac:dyDescent="0.2">
      <c r="B97" s="9" t="str">
        <f>IF(C97="","",INDEX(Setări!$E$11:$E$14,MATCH(C97,ListaTip,0))&amp;COUNTIF($C$5:C97,C97))</f>
        <v/>
      </c>
      <c r="C97" s="10"/>
      <c r="D97" s="11"/>
      <c r="E97" s="11"/>
      <c r="F97" s="12"/>
      <c r="G97" s="12"/>
      <c r="H97" s="13" t="str">
        <f t="shared" si="6"/>
        <v/>
      </c>
      <c r="I97" s="13" t="str">
        <f t="shared" si="7"/>
        <v/>
      </c>
      <c r="J97" s="14" t="str">
        <f t="shared" si="8"/>
        <v/>
      </c>
    </row>
    <row r="98" spans="2:10" x14ac:dyDescent="0.2">
      <c r="B98" s="9" t="str">
        <f>IF(C98="","",INDEX(Setări!$E$11:$E$14,MATCH(C98,ListaTip,0))&amp;COUNTIF($C$5:C98,C98))</f>
        <v/>
      </c>
      <c r="C98" s="10"/>
      <c r="D98" s="11"/>
      <c r="E98" s="11"/>
      <c r="F98" s="12"/>
      <c r="G98" s="12"/>
      <c r="H98" s="13" t="str">
        <f t="shared" si="6"/>
        <v/>
      </c>
      <c r="I98" s="13" t="str">
        <f t="shared" si="7"/>
        <v/>
      </c>
      <c r="J98" s="14" t="str">
        <f t="shared" si="8"/>
        <v/>
      </c>
    </row>
    <row r="99" spans="2:10" x14ac:dyDescent="0.2">
      <c r="B99" s="9" t="str">
        <f>IF(C99="","",INDEX(Setări!$E$11:$E$14,MATCH(C99,ListaTip,0))&amp;COUNTIF($C$5:C99,C99))</f>
        <v/>
      </c>
      <c r="C99" s="10"/>
      <c r="D99" s="11"/>
      <c r="E99" s="11"/>
      <c r="F99" s="12"/>
      <c r="G99" s="12"/>
      <c r="H99" s="13" t="str">
        <f t="shared" si="6"/>
        <v/>
      </c>
      <c r="I99" s="13" t="str">
        <f t="shared" si="7"/>
        <v/>
      </c>
      <c r="J99" s="14" t="str">
        <f t="shared" si="8"/>
        <v/>
      </c>
    </row>
    <row r="100" spans="2:10" x14ac:dyDescent="0.2">
      <c r="B100" s="9" t="str">
        <f>IF(C100="","",INDEX(Setări!$E$11:$E$14,MATCH(C100,ListaTip,0))&amp;COUNTIF($C$5:C100,C100))</f>
        <v/>
      </c>
      <c r="C100" s="10"/>
      <c r="D100" s="11"/>
      <c r="E100" s="11"/>
      <c r="F100" s="12"/>
      <c r="G100" s="12"/>
      <c r="H100" s="13" t="str">
        <f t="shared" si="6"/>
        <v/>
      </c>
      <c r="I100" s="13" t="str">
        <f t="shared" si="7"/>
        <v/>
      </c>
      <c r="J100" s="14" t="str">
        <f t="shared" si="8"/>
        <v/>
      </c>
    </row>
    <row r="101" spans="2:10" x14ac:dyDescent="0.2">
      <c r="B101" s="9" t="str">
        <f>IF(C101="","",INDEX(Setări!$E$11:$E$14,MATCH(C101,ListaTip,0))&amp;COUNTIF($C$5:C101,C101))</f>
        <v/>
      </c>
      <c r="C101" s="10"/>
      <c r="D101" s="11"/>
      <c r="E101" s="11"/>
      <c r="F101" s="12"/>
      <c r="G101" s="12"/>
      <c r="H101" s="13" t="str">
        <f t="shared" ref="H101:H132" si="9">IF(OR(N(F101)=0,N(G101)=0),"",F101*G101)</f>
        <v/>
      </c>
      <c r="I101" s="13" t="str">
        <f t="shared" ref="I101:I132" si="10">IF(H101="","",IF(H101&gt;=PragR,"Ridicată",IF(H101&gt;=PragM,"Medie","Scăzută")))</f>
        <v/>
      </c>
      <c r="J101" s="14" t="str">
        <f t="shared" ref="J101:J132" si="11">IF(C101="","",TRIM(IF(D101="","Lipsește descrierea. ",IF(LEN(D101)&lt;30,"Prea general: spune concret ce, cât, unde. ",""))&amp;IF(E101="","Fără dovadă: e o părere, nu un fapt. ","")&amp;IF(OR(N(F101)=0,N(G101)=0),"Notează impactul și importanța. ","")))</f>
        <v/>
      </c>
    </row>
    <row r="102" spans="2:10" x14ac:dyDescent="0.2">
      <c r="B102" s="9" t="str">
        <f>IF(C102="","",INDEX(Setări!$E$11:$E$14,MATCH(C102,ListaTip,0))&amp;COUNTIF($C$5:C102,C102))</f>
        <v/>
      </c>
      <c r="C102" s="10"/>
      <c r="D102" s="11"/>
      <c r="E102" s="11"/>
      <c r="F102" s="12"/>
      <c r="G102" s="12"/>
      <c r="H102" s="13" t="str">
        <f t="shared" si="9"/>
        <v/>
      </c>
      <c r="I102" s="13" t="str">
        <f t="shared" si="10"/>
        <v/>
      </c>
      <c r="J102" s="14" t="str">
        <f t="shared" si="11"/>
        <v/>
      </c>
    </row>
    <row r="103" spans="2:10" x14ac:dyDescent="0.2">
      <c r="B103" s="9" t="str">
        <f>IF(C103="","",INDEX(Setări!$E$11:$E$14,MATCH(C103,ListaTip,0))&amp;COUNTIF($C$5:C103,C103))</f>
        <v/>
      </c>
      <c r="C103" s="10"/>
      <c r="D103" s="11"/>
      <c r="E103" s="11"/>
      <c r="F103" s="12"/>
      <c r="G103" s="12"/>
      <c r="H103" s="13" t="str">
        <f t="shared" si="9"/>
        <v/>
      </c>
      <c r="I103" s="13" t="str">
        <f t="shared" si="10"/>
        <v/>
      </c>
      <c r="J103" s="14" t="str">
        <f t="shared" si="11"/>
        <v/>
      </c>
    </row>
    <row r="104" spans="2:10" x14ac:dyDescent="0.2">
      <c r="B104" s="9" t="str">
        <f>IF(C104="","",INDEX(Setări!$E$11:$E$14,MATCH(C104,ListaTip,0))&amp;COUNTIF($C$5:C104,C104))</f>
        <v/>
      </c>
      <c r="C104" s="10"/>
      <c r="D104" s="11"/>
      <c r="E104" s="11"/>
      <c r="F104" s="12"/>
      <c r="G104" s="12"/>
      <c r="H104" s="13" t="str">
        <f t="shared" si="9"/>
        <v/>
      </c>
      <c r="I104" s="13" t="str">
        <f t="shared" si="10"/>
        <v/>
      </c>
      <c r="J104" s="14" t="str">
        <f t="shared" si="11"/>
        <v/>
      </c>
    </row>
    <row r="105" spans="2:10" x14ac:dyDescent="0.2">
      <c r="B105" s="9" t="str">
        <f>IF(C105="","",INDEX(Setări!$E$11:$E$14,MATCH(C105,ListaTip,0))&amp;COUNTIF($C$5:C105,C105))</f>
        <v/>
      </c>
      <c r="C105" s="10"/>
      <c r="D105" s="11"/>
      <c r="E105" s="11"/>
      <c r="F105" s="12"/>
      <c r="G105" s="12"/>
      <c r="H105" s="13" t="str">
        <f t="shared" si="9"/>
        <v/>
      </c>
      <c r="I105" s="13" t="str">
        <f t="shared" si="10"/>
        <v/>
      </c>
      <c r="J105" s="14" t="str">
        <f t="shared" si="11"/>
        <v/>
      </c>
    </row>
    <row r="106" spans="2:10" x14ac:dyDescent="0.2">
      <c r="B106" s="9" t="str">
        <f>IF(C106="","",INDEX(Setări!$E$11:$E$14,MATCH(C106,ListaTip,0))&amp;COUNTIF($C$5:C106,C106))</f>
        <v/>
      </c>
      <c r="C106" s="10"/>
      <c r="D106" s="11"/>
      <c r="E106" s="11"/>
      <c r="F106" s="12"/>
      <c r="G106" s="12"/>
      <c r="H106" s="13" t="str">
        <f t="shared" si="9"/>
        <v/>
      </c>
      <c r="I106" s="13" t="str">
        <f t="shared" si="10"/>
        <v/>
      </c>
      <c r="J106" s="14" t="str">
        <f t="shared" si="11"/>
        <v/>
      </c>
    </row>
    <row r="107" spans="2:10" x14ac:dyDescent="0.2">
      <c r="B107" s="9" t="str">
        <f>IF(C107="","",INDEX(Setări!$E$11:$E$14,MATCH(C107,ListaTip,0))&amp;COUNTIF($C$5:C107,C107))</f>
        <v/>
      </c>
      <c r="C107" s="10"/>
      <c r="D107" s="11"/>
      <c r="E107" s="11"/>
      <c r="F107" s="12"/>
      <c r="G107" s="12"/>
      <c r="H107" s="13" t="str">
        <f t="shared" si="9"/>
        <v/>
      </c>
      <c r="I107" s="13" t="str">
        <f t="shared" si="10"/>
        <v/>
      </c>
      <c r="J107" s="14" t="str">
        <f t="shared" si="11"/>
        <v/>
      </c>
    </row>
    <row r="108" spans="2:10" x14ac:dyDescent="0.2">
      <c r="B108" s="9" t="str">
        <f>IF(C108="","",INDEX(Setări!$E$11:$E$14,MATCH(C108,ListaTip,0))&amp;COUNTIF($C$5:C108,C108))</f>
        <v/>
      </c>
      <c r="C108" s="10"/>
      <c r="D108" s="11"/>
      <c r="E108" s="11"/>
      <c r="F108" s="12"/>
      <c r="G108" s="12"/>
      <c r="H108" s="13" t="str">
        <f t="shared" si="9"/>
        <v/>
      </c>
      <c r="I108" s="13" t="str">
        <f t="shared" si="10"/>
        <v/>
      </c>
      <c r="J108" s="14" t="str">
        <f t="shared" si="11"/>
        <v/>
      </c>
    </row>
    <row r="109" spans="2:10" x14ac:dyDescent="0.2">
      <c r="B109" s="9" t="str">
        <f>IF(C109="","",INDEX(Setări!$E$11:$E$14,MATCH(C109,ListaTip,0))&amp;COUNTIF($C$5:C109,C109))</f>
        <v/>
      </c>
      <c r="C109" s="10"/>
      <c r="D109" s="11"/>
      <c r="E109" s="11"/>
      <c r="F109" s="12"/>
      <c r="G109" s="12"/>
      <c r="H109" s="13" t="str">
        <f t="shared" si="9"/>
        <v/>
      </c>
      <c r="I109" s="13" t="str">
        <f t="shared" si="10"/>
        <v/>
      </c>
      <c r="J109" s="14" t="str">
        <f t="shared" si="11"/>
        <v/>
      </c>
    </row>
    <row r="110" spans="2:10" x14ac:dyDescent="0.2">
      <c r="B110" s="9" t="str">
        <f>IF(C110="","",INDEX(Setări!$E$11:$E$14,MATCH(C110,ListaTip,0))&amp;COUNTIF($C$5:C110,C110))</f>
        <v/>
      </c>
      <c r="C110" s="10"/>
      <c r="D110" s="11"/>
      <c r="E110" s="11"/>
      <c r="F110" s="12"/>
      <c r="G110" s="12"/>
      <c r="H110" s="13" t="str">
        <f t="shared" si="9"/>
        <v/>
      </c>
      <c r="I110" s="13" t="str">
        <f t="shared" si="10"/>
        <v/>
      </c>
      <c r="J110" s="14" t="str">
        <f t="shared" si="11"/>
        <v/>
      </c>
    </row>
    <row r="111" spans="2:10" x14ac:dyDescent="0.2">
      <c r="B111" s="9" t="str">
        <f>IF(C111="","",INDEX(Setări!$E$11:$E$14,MATCH(C111,ListaTip,0))&amp;COUNTIF($C$5:C111,C111))</f>
        <v/>
      </c>
      <c r="C111" s="10"/>
      <c r="D111" s="11"/>
      <c r="E111" s="11"/>
      <c r="F111" s="12"/>
      <c r="G111" s="12"/>
      <c r="H111" s="13" t="str">
        <f t="shared" si="9"/>
        <v/>
      </c>
      <c r="I111" s="13" t="str">
        <f t="shared" si="10"/>
        <v/>
      </c>
      <c r="J111" s="14" t="str">
        <f t="shared" si="11"/>
        <v/>
      </c>
    </row>
    <row r="112" spans="2:10" x14ac:dyDescent="0.2">
      <c r="B112" s="9" t="str">
        <f>IF(C112="","",INDEX(Setări!$E$11:$E$14,MATCH(C112,ListaTip,0))&amp;COUNTIF($C$5:C112,C112))</f>
        <v/>
      </c>
      <c r="C112" s="10"/>
      <c r="D112" s="11"/>
      <c r="E112" s="11"/>
      <c r="F112" s="12"/>
      <c r="G112" s="12"/>
      <c r="H112" s="13" t="str">
        <f t="shared" si="9"/>
        <v/>
      </c>
      <c r="I112" s="13" t="str">
        <f t="shared" si="10"/>
        <v/>
      </c>
      <c r="J112" s="14" t="str">
        <f t="shared" si="11"/>
        <v/>
      </c>
    </row>
    <row r="113" spans="2:10" x14ac:dyDescent="0.2">
      <c r="B113" s="9" t="str">
        <f>IF(C113="","",INDEX(Setări!$E$11:$E$14,MATCH(C113,ListaTip,0))&amp;COUNTIF($C$5:C113,C113))</f>
        <v/>
      </c>
      <c r="C113" s="10"/>
      <c r="D113" s="11"/>
      <c r="E113" s="11"/>
      <c r="F113" s="12"/>
      <c r="G113" s="12"/>
      <c r="H113" s="13" t="str">
        <f t="shared" si="9"/>
        <v/>
      </c>
      <c r="I113" s="13" t="str">
        <f t="shared" si="10"/>
        <v/>
      </c>
      <c r="J113" s="14" t="str">
        <f t="shared" si="11"/>
        <v/>
      </c>
    </row>
    <row r="114" spans="2:10" x14ac:dyDescent="0.2">
      <c r="B114" s="9" t="str">
        <f>IF(C114="","",INDEX(Setări!$E$11:$E$14,MATCH(C114,ListaTip,0))&amp;COUNTIF($C$5:C114,C114))</f>
        <v/>
      </c>
      <c r="C114" s="10"/>
      <c r="D114" s="11"/>
      <c r="E114" s="11"/>
      <c r="F114" s="12"/>
      <c r="G114" s="12"/>
      <c r="H114" s="13" t="str">
        <f t="shared" si="9"/>
        <v/>
      </c>
      <c r="I114" s="13" t="str">
        <f t="shared" si="10"/>
        <v/>
      </c>
      <c r="J114" s="14" t="str">
        <f t="shared" si="11"/>
        <v/>
      </c>
    </row>
    <row r="115" spans="2:10" x14ac:dyDescent="0.2">
      <c r="B115" s="9" t="str">
        <f>IF(C115="","",INDEX(Setări!$E$11:$E$14,MATCH(C115,ListaTip,0))&amp;COUNTIF($C$5:C115,C115))</f>
        <v/>
      </c>
      <c r="C115" s="10"/>
      <c r="D115" s="11"/>
      <c r="E115" s="11"/>
      <c r="F115" s="12"/>
      <c r="G115" s="12"/>
      <c r="H115" s="13" t="str">
        <f t="shared" si="9"/>
        <v/>
      </c>
      <c r="I115" s="13" t="str">
        <f t="shared" si="10"/>
        <v/>
      </c>
      <c r="J115" s="14" t="str">
        <f t="shared" si="11"/>
        <v/>
      </c>
    </row>
    <row r="116" spans="2:10" x14ac:dyDescent="0.2">
      <c r="B116" s="9" t="str">
        <f>IF(C116="","",INDEX(Setări!$E$11:$E$14,MATCH(C116,ListaTip,0))&amp;COUNTIF($C$5:C116,C116))</f>
        <v/>
      </c>
      <c r="C116" s="10"/>
      <c r="D116" s="11"/>
      <c r="E116" s="11"/>
      <c r="F116" s="12"/>
      <c r="G116" s="12"/>
      <c r="H116" s="13" t="str">
        <f t="shared" si="9"/>
        <v/>
      </c>
      <c r="I116" s="13" t="str">
        <f t="shared" si="10"/>
        <v/>
      </c>
      <c r="J116" s="14" t="str">
        <f t="shared" si="11"/>
        <v/>
      </c>
    </row>
    <row r="117" spans="2:10" x14ac:dyDescent="0.2">
      <c r="B117" s="9" t="str">
        <f>IF(C117="","",INDEX(Setări!$E$11:$E$14,MATCH(C117,ListaTip,0))&amp;COUNTIF($C$5:C117,C117))</f>
        <v/>
      </c>
      <c r="C117" s="10"/>
      <c r="D117" s="11"/>
      <c r="E117" s="11"/>
      <c r="F117" s="12"/>
      <c r="G117" s="12"/>
      <c r="H117" s="13" t="str">
        <f t="shared" si="9"/>
        <v/>
      </c>
      <c r="I117" s="13" t="str">
        <f t="shared" si="10"/>
        <v/>
      </c>
      <c r="J117" s="14" t="str">
        <f t="shared" si="11"/>
        <v/>
      </c>
    </row>
    <row r="118" spans="2:10" x14ac:dyDescent="0.2">
      <c r="B118" s="9" t="str">
        <f>IF(C118="","",INDEX(Setări!$E$11:$E$14,MATCH(C118,ListaTip,0))&amp;COUNTIF($C$5:C118,C118))</f>
        <v/>
      </c>
      <c r="C118" s="10"/>
      <c r="D118" s="11"/>
      <c r="E118" s="11"/>
      <c r="F118" s="12"/>
      <c r="G118" s="12"/>
      <c r="H118" s="13" t="str">
        <f t="shared" si="9"/>
        <v/>
      </c>
      <c r="I118" s="13" t="str">
        <f t="shared" si="10"/>
        <v/>
      </c>
      <c r="J118" s="14" t="str">
        <f t="shared" si="11"/>
        <v/>
      </c>
    </row>
    <row r="119" spans="2:10" x14ac:dyDescent="0.2">
      <c r="B119" s="9" t="str">
        <f>IF(C119="","",INDEX(Setări!$E$11:$E$14,MATCH(C119,ListaTip,0))&amp;COUNTIF($C$5:C119,C119))</f>
        <v/>
      </c>
      <c r="C119" s="10"/>
      <c r="D119" s="11"/>
      <c r="E119" s="11"/>
      <c r="F119" s="12"/>
      <c r="G119" s="12"/>
      <c r="H119" s="13" t="str">
        <f t="shared" si="9"/>
        <v/>
      </c>
      <c r="I119" s="13" t="str">
        <f t="shared" si="10"/>
        <v/>
      </c>
      <c r="J119" s="14" t="str">
        <f t="shared" si="11"/>
        <v/>
      </c>
    </row>
    <row r="120" spans="2:10" x14ac:dyDescent="0.2">
      <c r="B120" s="9" t="str">
        <f>IF(C120="","",INDEX(Setări!$E$11:$E$14,MATCH(C120,ListaTip,0))&amp;COUNTIF($C$5:C120,C120))</f>
        <v/>
      </c>
      <c r="C120" s="10"/>
      <c r="D120" s="11"/>
      <c r="E120" s="11"/>
      <c r="F120" s="12"/>
      <c r="G120" s="12"/>
      <c r="H120" s="13" t="str">
        <f t="shared" si="9"/>
        <v/>
      </c>
      <c r="I120" s="13" t="str">
        <f t="shared" si="10"/>
        <v/>
      </c>
      <c r="J120" s="14" t="str">
        <f t="shared" si="11"/>
        <v/>
      </c>
    </row>
    <row r="121" spans="2:10" x14ac:dyDescent="0.2">
      <c r="B121" s="9" t="str">
        <f>IF(C121="","",INDEX(Setări!$E$11:$E$14,MATCH(C121,ListaTip,0))&amp;COUNTIF($C$5:C121,C121))</f>
        <v/>
      </c>
      <c r="C121" s="10"/>
      <c r="D121" s="11"/>
      <c r="E121" s="11"/>
      <c r="F121" s="12"/>
      <c r="G121" s="12"/>
      <c r="H121" s="13" t="str">
        <f t="shared" si="9"/>
        <v/>
      </c>
      <c r="I121" s="13" t="str">
        <f t="shared" si="10"/>
        <v/>
      </c>
      <c r="J121" s="14" t="str">
        <f t="shared" si="11"/>
        <v/>
      </c>
    </row>
    <row r="122" spans="2:10" x14ac:dyDescent="0.2">
      <c r="B122" s="9" t="str">
        <f>IF(C122="","",INDEX(Setări!$E$11:$E$14,MATCH(C122,ListaTip,0))&amp;COUNTIF($C$5:C122,C122))</f>
        <v/>
      </c>
      <c r="C122" s="10"/>
      <c r="D122" s="11"/>
      <c r="E122" s="11"/>
      <c r="F122" s="12"/>
      <c r="G122" s="12"/>
      <c r="H122" s="13" t="str">
        <f t="shared" si="9"/>
        <v/>
      </c>
      <c r="I122" s="13" t="str">
        <f t="shared" si="10"/>
        <v/>
      </c>
      <c r="J122" s="14" t="str">
        <f t="shared" si="11"/>
        <v/>
      </c>
    </row>
    <row r="123" spans="2:10" x14ac:dyDescent="0.2">
      <c r="B123" s="9" t="str">
        <f>IF(C123="","",INDEX(Setări!$E$11:$E$14,MATCH(C123,ListaTip,0))&amp;COUNTIF($C$5:C123,C123))</f>
        <v/>
      </c>
      <c r="C123" s="10"/>
      <c r="D123" s="11"/>
      <c r="E123" s="11"/>
      <c r="F123" s="12"/>
      <c r="G123" s="12"/>
      <c r="H123" s="13" t="str">
        <f t="shared" si="9"/>
        <v/>
      </c>
      <c r="I123" s="13" t="str">
        <f t="shared" si="10"/>
        <v/>
      </c>
      <c r="J123" s="14" t="str">
        <f t="shared" si="11"/>
        <v/>
      </c>
    </row>
    <row r="124" spans="2:10" x14ac:dyDescent="0.2">
      <c r="B124" s="9" t="str">
        <f>IF(C124="","",INDEX(Setări!$E$11:$E$14,MATCH(C124,ListaTip,0))&amp;COUNTIF($C$5:C124,C124))</f>
        <v/>
      </c>
      <c r="C124" s="10"/>
      <c r="D124" s="11"/>
      <c r="E124" s="11"/>
      <c r="F124" s="12"/>
      <c r="G124" s="12"/>
      <c r="H124" s="13" t="str">
        <f t="shared" si="9"/>
        <v/>
      </c>
      <c r="I124" s="13" t="str">
        <f t="shared" si="10"/>
        <v/>
      </c>
      <c r="J124" s="14" t="str">
        <f t="shared" si="11"/>
        <v/>
      </c>
    </row>
    <row r="125" spans="2:10" x14ac:dyDescent="0.2">
      <c r="B125" s="9" t="str">
        <f>IF(C125="","",INDEX(Setări!$E$11:$E$14,MATCH(C125,ListaTip,0))&amp;COUNTIF($C$5:C125,C125))</f>
        <v/>
      </c>
      <c r="C125" s="10"/>
      <c r="D125" s="11"/>
      <c r="E125" s="11"/>
      <c r="F125" s="12"/>
      <c r="G125" s="12"/>
      <c r="H125" s="13" t="str">
        <f t="shared" si="9"/>
        <v/>
      </c>
      <c r="I125" s="13" t="str">
        <f t="shared" si="10"/>
        <v/>
      </c>
      <c r="J125" s="14" t="str">
        <f t="shared" si="11"/>
        <v/>
      </c>
    </row>
    <row r="126" spans="2:10" x14ac:dyDescent="0.2">
      <c r="B126" s="9" t="str">
        <f>IF(C126="","",INDEX(Setări!$E$11:$E$14,MATCH(C126,ListaTip,0))&amp;COUNTIF($C$5:C126,C126))</f>
        <v/>
      </c>
      <c r="C126" s="10"/>
      <c r="D126" s="11"/>
      <c r="E126" s="11"/>
      <c r="F126" s="12"/>
      <c r="G126" s="12"/>
      <c r="H126" s="13" t="str">
        <f t="shared" si="9"/>
        <v/>
      </c>
      <c r="I126" s="13" t="str">
        <f t="shared" si="10"/>
        <v/>
      </c>
      <c r="J126" s="14" t="str">
        <f t="shared" si="11"/>
        <v/>
      </c>
    </row>
    <row r="127" spans="2:10" x14ac:dyDescent="0.2">
      <c r="B127" s="9" t="str">
        <f>IF(C127="","",INDEX(Setări!$E$11:$E$14,MATCH(C127,ListaTip,0))&amp;COUNTIF($C$5:C127,C127))</f>
        <v/>
      </c>
      <c r="C127" s="10"/>
      <c r="D127" s="11"/>
      <c r="E127" s="11"/>
      <c r="F127" s="12"/>
      <c r="G127" s="12"/>
      <c r="H127" s="13" t="str">
        <f t="shared" si="9"/>
        <v/>
      </c>
      <c r="I127" s="13" t="str">
        <f t="shared" si="10"/>
        <v/>
      </c>
      <c r="J127" s="14" t="str">
        <f t="shared" si="11"/>
        <v/>
      </c>
    </row>
    <row r="128" spans="2:10" x14ac:dyDescent="0.2">
      <c r="B128" s="9" t="str">
        <f>IF(C128="","",INDEX(Setări!$E$11:$E$14,MATCH(C128,ListaTip,0))&amp;COUNTIF($C$5:C128,C128))</f>
        <v/>
      </c>
      <c r="C128" s="10"/>
      <c r="D128" s="11"/>
      <c r="E128" s="11"/>
      <c r="F128" s="12"/>
      <c r="G128" s="12"/>
      <c r="H128" s="13" t="str">
        <f t="shared" si="9"/>
        <v/>
      </c>
      <c r="I128" s="13" t="str">
        <f t="shared" si="10"/>
        <v/>
      </c>
      <c r="J128" s="14" t="str">
        <f t="shared" si="11"/>
        <v/>
      </c>
    </row>
    <row r="129" spans="2:10" x14ac:dyDescent="0.2">
      <c r="B129" s="9" t="str">
        <f>IF(C129="","",INDEX(Setări!$E$11:$E$14,MATCH(C129,ListaTip,0))&amp;COUNTIF($C$5:C129,C129))</f>
        <v/>
      </c>
      <c r="C129" s="10"/>
      <c r="D129" s="11"/>
      <c r="E129" s="11"/>
      <c r="F129" s="12"/>
      <c r="G129" s="12"/>
      <c r="H129" s="13" t="str">
        <f t="shared" si="9"/>
        <v/>
      </c>
      <c r="I129" s="13" t="str">
        <f t="shared" si="10"/>
        <v/>
      </c>
      <c r="J129" s="14" t="str">
        <f t="shared" si="11"/>
        <v/>
      </c>
    </row>
    <row r="130" spans="2:10" x14ac:dyDescent="0.2">
      <c r="B130" s="9" t="str">
        <f>IF(C130="","",INDEX(Setări!$E$11:$E$14,MATCH(C130,ListaTip,0))&amp;COUNTIF($C$5:C130,C130))</f>
        <v/>
      </c>
      <c r="C130" s="10"/>
      <c r="D130" s="11"/>
      <c r="E130" s="11"/>
      <c r="F130" s="12"/>
      <c r="G130" s="12"/>
      <c r="H130" s="13" t="str">
        <f t="shared" si="9"/>
        <v/>
      </c>
      <c r="I130" s="13" t="str">
        <f t="shared" si="10"/>
        <v/>
      </c>
      <c r="J130" s="14" t="str">
        <f t="shared" si="11"/>
        <v/>
      </c>
    </row>
    <row r="131" spans="2:10" x14ac:dyDescent="0.2">
      <c r="B131" s="9" t="str">
        <f>IF(C131="","",INDEX(Setări!$E$11:$E$14,MATCH(C131,ListaTip,0))&amp;COUNTIF($C$5:C131,C131))</f>
        <v/>
      </c>
      <c r="C131" s="10"/>
      <c r="D131" s="11"/>
      <c r="E131" s="11"/>
      <c r="F131" s="12"/>
      <c r="G131" s="12"/>
      <c r="H131" s="13" t="str">
        <f t="shared" si="9"/>
        <v/>
      </c>
      <c r="I131" s="13" t="str">
        <f t="shared" si="10"/>
        <v/>
      </c>
      <c r="J131" s="14" t="str">
        <f t="shared" si="11"/>
        <v/>
      </c>
    </row>
    <row r="132" spans="2:10" x14ac:dyDescent="0.2">
      <c r="B132" s="9" t="str">
        <f>IF(C132="","",INDEX(Setări!$E$11:$E$14,MATCH(C132,ListaTip,0))&amp;COUNTIF($C$5:C132,C132))</f>
        <v/>
      </c>
      <c r="C132" s="10"/>
      <c r="D132" s="11"/>
      <c r="E132" s="11"/>
      <c r="F132" s="12"/>
      <c r="G132" s="12"/>
      <c r="H132" s="13" t="str">
        <f t="shared" si="9"/>
        <v/>
      </c>
      <c r="I132" s="13" t="str">
        <f t="shared" si="10"/>
        <v/>
      </c>
      <c r="J132" s="14" t="str">
        <f t="shared" si="11"/>
        <v/>
      </c>
    </row>
    <row r="133" spans="2:10" x14ac:dyDescent="0.2">
      <c r="B133" s="9" t="str">
        <f>IF(C133="","",INDEX(Setări!$E$11:$E$14,MATCH(C133,ListaTip,0))&amp;COUNTIF($C$5:C133,C133))</f>
        <v/>
      </c>
      <c r="C133" s="10"/>
      <c r="D133" s="11"/>
      <c r="E133" s="11"/>
      <c r="F133" s="12"/>
      <c r="G133" s="12"/>
      <c r="H133" s="13" t="str">
        <f t="shared" ref="H133:H164" si="12">IF(OR(N(F133)=0,N(G133)=0),"",F133*G133)</f>
        <v/>
      </c>
      <c r="I133" s="13" t="str">
        <f t="shared" ref="I133:I164" si="13">IF(H133="","",IF(H133&gt;=PragR,"Ridicată",IF(H133&gt;=PragM,"Medie","Scăzută")))</f>
        <v/>
      </c>
      <c r="J133" s="14" t="str">
        <f t="shared" ref="J133:J164" si="14">IF(C133="","",TRIM(IF(D133="","Lipsește descrierea. ",IF(LEN(D133)&lt;30,"Prea general: spune concret ce, cât, unde. ",""))&amp;IF(E133="","Fără dovadă: e o părere, nu un fapt. ","")&amp;IF(OR(N(F133)=0,N(G133)=0),"Notează impactul și importanța. ","")))</f>
        <v/>
      </c>
    </row>
    <row r="134" spans="2:10" x14ac:dyDescent="0.2">
      <c r="B134" s="9" t="str">
        <f>IF(C134="","",INDEX(Setări!$E$11:$E$14,MATCH(C134,ListaTip,0))&amp;COUNTIF($C$5:C134,C134))</f>
        <v/>
      </c>
      <c r="C134" s="10"/>
      <c r="D134" s="11"/>
      <c r="E134" s="11"/>
      <c r="F134" s="12"/>
      <c r="G134" s="12"/>
      <c r="H134" s="13" t="str">
        <f t="shared" si="12"/>
        <v/>
      </c>
      <c r="I134" s="13" t="str">
        <f t="shared" si="13"/>
        <v/>
      </c>
      <c r="J134" s="14" t="str">
        <f t="shared" si="14"/>
        <v/>
      </c>
    </row>
    <row r="135" spans="2:10" x14ac:dyDescent="0.2">
      <c r="B135" s="9" t="str">
        <f>IF(C135="","",INDEX(Setări!$E$11:$E$14,MATCH(C135,ListaTip,0))&amp;COUNTIF($C$5:C135,C135))</f>
        <v/>
      </c>
      <c r="C135" s="10"/>
      <c r="D135" s="11"/>
      <c r="E135" s="11"/>
      <c r="F135" s="12"/>
      <c r="G135" s="12"/>
      <c r="H135" s="13" t="str">
        <f t="shared" si="12"/>
        <v/>
      </c>
      <c r="I135" s="13" t="str">
        <f t="shared" si="13"/>
        <v/>
      </c>
      <c r="J135" s="14" t="str">
        <f t="shared" si="14"/>
        <v/>
      </c>
    </row>
    <row r="136" spans="2:10" x14ac:dyDescent="0.2">
      <c r="B136" s="9" t="str">
        <f>IF(C136="","",INDEX(Setări!$E$11:$E$14,MATCH(C136,ListaTip,0))&amp;COUNTIF($C$5:C136,C136))</f>
        <v/>
      </c>
      <c r="C136" s="10"/>
      <c r="D136" s="11"/>
      <c r="E136" s="11"/>
      <c r="F136" s="12"/>
      <c r="G136" s="12"/>
      <c r="H136" s="13" t="str">
        <f t="shared" si="12"/>
        <v/>
      </c>
      <c r="I136" s="13" t="str">
        <f t="shared" si="13"/>
        <v/>
      </c>
      <c r="J136" s="14" t="str">
        <f t="shared" si="14"/>
        <v/>
      </c>
    </row>
    <row r="137" spans="2:10" x14ac:dyDescent="0.2">
      <c r="B137" s="9" t="str">
        <f>IF(C137="","",INDEX(Setări!$E$11:$E$14,MATCH(C137,ListaTip,0))&amp;COUNTIF($C$5:C137,C137))</f>
        <v/>
      </c>
      <c r="C137" s="10"/>
      <c r="D137" s="11"/>
      <c r="E137" s="11"/>
      <c r="F137" s="12"/>
      <c r="G137" s="12"/>
      <c r="H137" s="13" t="str">
        <f t="shared" si="12"/>
        <v/>
      </c>
      <c r="I137" s="13" t="str">
        <f t="shared" si="13"/>
        <v/>
      </c>
      <c r="J137" s="14" t="str">
        <f t="shared" si="14"/>
        <v/>
      </c>
    </row>
    <row r="138" spans="2:10" x14ac:dyDescent="0.2">
      <c r="B138" s="9" t="str">
        <f>IF(C138="","",INDEX(Setări!$E$11:$E$14,MATCH(C138,ListaTip,0))&amp;COUNTIF($C$5:C138,C138))</f>
        <v/>
      </c>
      <c r="C138" s="10"/>
      <c r="D138" s="11"/>
      <c r="E138" s="11"/>
      <c r="F138" s="12"/>
      <c r="G138" s="12"/>
      <c r="H138" s="13" t="str">
        <f t="shared" si="12"/>
        <v/>
      </c>
      <c r="I138" s="13" t="str">
        <f t="shared" si="13"/>
        <v/>
      </c>
      <c r="J138" s="14" t="str">
        <f t="shared" si="14"/>
        <v/>
      </c>
    </row>
    <row r="139" spans="2:10" x14ac:dyDescent="0.2">
      <c r="B139" s="9" t="str">
        <f>IF(C139="","",INDEX(Setări!$E$11:$E$14,MATCH(C139,ListaTip,0))&amp;COUNTIF($C$5:C139,C139))</f>
        <v/>
      </c>
      <c r="C139" s="10"/>
      <c r="D139" s="11"/>
      <c r="E139" s="11"/>
      <c r="F139" s="12"/>
      <c r="G139" s="12"/>
      <c r="H139" s="13" t="str">
        <f t="shared" si="12"/>
        <v/>
      </c>
      <c r="I139" s="13" t="str">
        <f t="shared" si="13"/>
        <v/>
      </c>
      <c r="J139" s="14" t="str">
        <f t="shared" si="14"/>
        <v/>
      </c>
    </row>
    <row r="140" spans="2:10" x14ac:dyDescent="0.2">
      <c r="B140" s="9" t="str">
        <f>IF(C140="","",INDEX(Setări!$E$11:$E$14,MATCH(C140,ListaTip,0))&amp;COUNTIF($C$5:C140,C140))</f>
        <v/>
      </c>
      <c r="C140" s="10"/>
      <c r="D140" s="11"/>
      <c r="E140" s="11"/>
      <c r="F140" s="12"/>
      <c r="G140" s="12"/>
      <c r="H140" s="13" t="str">
        <f t="shared" si="12"/>
        <v/>
      </c>
      <c r="I140" s="13" t="str">
        <f t="shared" si="13"/>
        <v/>
      </c>
      <c r="J140" s="14" t="str">
        <f t="shared" si="14"/>
        <v/>
      </c>
    </row>
    <row r="141" spans="2:10" x14ac:dyDescent="0.2">
      <c r="B141" s="9" t="str">
        <f>IF(C141="","",INDEX(Setări!$E$11:$E$14,MATCH(C141,ListaTip,0))&amp;COUNTIF($C$5:C141,C141))</f>
        <v/>
      </c>
      <c r="C141" s="10"/>
      <c r="D141" s="11"/>
      <c r="E141" s="11"/>
      <c r="F141" s="12"/>
      <c r="G141" s="12"/>
      <c r="H141" s="13" t="str">
        <f t="shared" si="12"/>
        <v/>
      </c>
      <c r="I141" s="13" t="str">
        <f t="shared" si="13"/>
        <v/>
      </c>
      <c r="J141" s="14" t="str">
        <f t="shared" si="14"/>
        <v/>
      </c>
    </row>
    <row r="142" spans="2:10" x14ac:dyDescent="0.2">
      <c r="B142" s="9" t="str">
        <f>IF(C142="","",INDEX(Setări!$E$11:$E$14,MATCH(C142,ListaTip,0))&amp;COUNTIF($C$5:C142,C142))</f>
        <v/>
      </c>
      <c r="C142" s="10"/>
      <c r="D142" s="11"/>
      <c r="E142" s="11"/>
      <c r="F142" s="12"/>
      <c r="G142" s="12"/>
      <c r="H142" s="13" t="str">
        <f t="shared" si="12"/>
        <v/>
      </c>
      <c r="I142" s="13" t="str">
        <f t="shared" si="13"/>
        <v/>
      </c>
      <c r="J142" s="14" t="str">
        <f t="shared" si="14"/>
        <v/>
      </c>
    </row>
    <row r="143" spans="2:10" x14ac:dyDescent="0.2">
      <c r="B143" s="9" t="str">
        <f>IF(C143="","",INDEX(Setări!$E$11:$E$14,MATCH(C143,ListaTip,0))&amp;COUNTIF($C$5:C143,C143))</f>
        <v/>
      </c>
      <c r="C143" s="10"/>
      <c r="D143" s="11"/>
      <c r="E143" s="11"/>
      <c r="F143" s="12"/>
      <c r="G143" s="12"/>
      <c r="H143" s="13" t="str">
        <f t="shared" si="12"/>
        <v/>
      </c>
      <c r="I143" s="13" t="str">
        <f t="shared" si="13"/>
        <v/>
      </c>
      <c r="J143" s="14" t="str">
        <f t="shared" si="14"/>
        <v/>
      </c>
    </row>
    <row r="144" spans="2:10" x14ac:dyDescent="0.2">
      <c r="B144" s="9" t="str">
        <f>IF(C144="","",INDEX(Setări!$E$11:$E$14,MATCH(C144,ListaTip,0))&amp;COUNTIF($C$5:C144,C144))</f>
        <v/>
      </c>
      <c r="C144" s="10"/>
      <c r="D144" s="11"/>
      <c r="E144" s="11"/>
      <c r="F144" s="12"/>
      <c r="G144" s="12"/>
      <c r="H144" s="13" t="str">
        <f t="shared" si="12"/>
        <v/>
      </c>
      <c r="I144" s="13" t="str">
        <f t="shared" si="13"/>
        <v/>
      </c>
      <c r="J144" s="14" t="str">
        <f t="shared" si="14"/>
        <v/>
      </c>
    </row>
    <row r="145" spans="2:10" x14ac:dyDescent="0.2">
      <c r="B145" s="9" t="str">
        <f>IF(C145="","",INDEX(Setări!$E$11:$E$14,MATCH(C145,ListaTip,0))&amp;COUNTIF($C$5:C145,C145))</f>
        <v/>
      </c>
      <c r="C145" s="10"/>
      <c r="D145" s="11"/>
      <c r="E145" s="11"/>
      <c r="F145" s="12"/>
      <c r="G145" s="12"/>
      <c r="H145" s="13" t="str">
        <f t="shared" si="12"/>
        <v/>
      </c>
      <c r="I145" s="13" t="str">
        <f t="shared" si="13"/>
        <v/>
      </c>
      <c r="J145" s="14" t="str">
        <f t="shared" si="14"/>
        <v/>
      </c>
    </row>
    <row r="146" spans="2:10" x14ac:dyDescent="0.2">
      <c r="B146" s="9" t="str">
        <f>IF(C146="","",INDEX(Setări!$E$11:$E$14,MATCH(C146,ListaTip,0))&amp;COUNTIF($C$5:C146,C146))</f>
        <v/>
      </c>
      <c r="C146" s="10"/>
      <c r="D146" s="11"/>
      <c r="E146" s="11"/>
      <c r="F146" s="12"/>
      <c r="G146" s="12"/>
      <c r="H146" s="13" t="str">
        <f t="shared" si="12"/>
        <v/>
      </c>
      <c r="I146" s="13" t="str">
        <f t="shared" si="13"/>
        <v/>
      </c>
      <c r="J146" s="14" t="str">
        <f t="shared" si="14"/>
        <v/>
      </c>
    </row>
    <row r="147" spans="2:10" x14ac:dyDescent="0.2">
      <c r="B147" s="9" t="str">
        <f>IF(C147="","",INDEX(Setări!$E$11:$E$14,MATCH(C147,ListaTip,0))&amp;COUNTIF($C$5:C147,C147))</f>
        <v/>
      </c>
      <c r="C147" s="10"/>
      <c r="D147" s="11"/>
      <c r="E147" s="11"/>
      <c r="F147" s="12"/>
      <c r="G147" s="12"/>
      <c r="H147" s="13" t="str">
        <f t="shared" si="12"/>
        <v/>
      </c>
      <c r="I147" s="13" t="str">
        <f t="shared" si="13"/>
        <v/>
      </c>
      <c r="J147" s="14" t="str">
        <f t="shared" si="14"/>
        <v/>
      </c>
    </row>
    <row r="148" spans="2:10" x14ac:dyDescent="0.2">
      <c r="B148" s="9" t="str">
        <f>IF(C148="","",INDEX(Setări!$E$11:$E$14,MATCH(C148,ListaTip,0))&amp;COUNTIF($C$5:C148,C148))</f>
        <v/>
      </c>
      <c r="C148" s="10"/>
      <c r="D148" s="11"/>
      <c r="E148" s="11"/>
      <c r="F148" s="12"/>
      <c r="G148" s="12"/>
      <c r="H148" s="13" t="str">
        <f t="shared" si="12"/>
        <v/>
      </c>
      <c r="I148" s="13" t="str">
        <f t="shared" si="13"/>
        <v/>
      </c>
      <c r="J148" s="14" t="str">
        <f t="shared" si="14"/>
        <v/>
      </c>
    </row>
    <row r="149" spans="2:10" x14ac:dyDescent="0.2">
      <c r="B149" s="9" t="str">
        <f>IF(C149="","",INDEX(Setări!$E$11:$E$14,MATCH(C149,ListaTip,0))&amp;COUNTIF($C$5:C149,C149))</f>
        <v/>
      </c>
      <c r="C149" s="10"/>
      <c r="D149" s="11"/>
      <c r="E149" s="11"/>
      <c r="F149" s="12"/>
      <c r="G149" s="12"/>
      <c r="H149" s="13" t="str">
        <f t="shared" si="12"/>
        <v/>
      </c>
      <c r="I149" s="13" t="str">
        <f t="shared" si="13"/>
        <v/>
      </c>
      <c r="J149" s="14" t="str">
        <f t="shared" si="14"/>
        <v/>
      </c>
    </row>
    <row r="150" spans="2:10" x14ac:dyDescent="0.2">
      <c r="B150" s="9" t="str">
        <f>IF(C150="","",INDEX(Setări!$E$11:$E$14,MATCH(C150,ListaTip,0))&amp;COUNTIF($C$5:C150,C150))</f>
        <v/>
      </c>
      <c r="C150" s="10"/>
      <c r="D150" s="11"/>
      <c r="E150" s="11"/>
      <c r="F150" s="12"/>
      <c r="G150" s="12"/>
      <c r="H150" s="13" t="str">
        <f t="shared" si="12"/>
        <v/>
      </c>
      <c r="I150" s="13" t="str">
        <f t="shared" si="13"/>
        <v/>
      </c>
      <c r="J150" s="14" t="str">
        <f t="shared" si="14"/>
        <v/>
      </c>
    </row>
    <row r="151" spans="2:10" x14ac:dyDescent="0.2">
      <c r="B151" s="9" t="str">
        <f>IF(C151="","",INDEX(Setări!$E$11:$E$14,MATCH(C151,ListaTip,0))&amp;COUNTIF($C$5:C151,C151))</f>
        <v/>
      </c>
      <c r="C151" s="10"/>
      <c r="D151" s="11"/>
      <c r="E151" s="11"/>
      <c r="F151" s="12"/>
      <c r="G151" s="12"/>
      <c r="H151" s="13" t="str">
        <f t="shared" si="12"/>
        <v/>
      </c>
      <c r="I151" s="13" t="str">
        <f t="shared" si="13"/>
        <v/>
      </c>
      <c r="J151" s="14" t="str">
        <f t="shared" si="14"/>
        <v/>
      </c>
    </row>
    <row r="152" spans="2:10" x14ac:dyDescent="0.2">
      <c r="B152" s="9" t="str">
        <f>IF(C152="","",INDEX(Setări!$E$11:$E$14,MATCH(C152,ListaTip,0))&amp;COUNTIF($C$5:C152,C152))</f>
        <v/>
      </c>
      <c r="C152" s="10"/>
      <c r="D152" s="11"/>
      <c r="E152" s="11"/>
      <c r="F152" s="12"/>
      <c r="G152" s="12"/>
      <c r="H152" s="13" t="str">
        <f t="shared" si="12"/>
        <v/>
      </c>
      <c r="I152" s="13" t="str">
        <f t="shared" si="13"/>
        <v/>
      </c>
      <c r="J152" s="14" t="str">
        <f t="shared" si="14"/>
        <v/>
      </c>
    </row>
    <row r="153" spans="2:10" x14ac:dyDescent="0.2">
      <c r="B153" s="9" t="str">
        <f>IF(C153="","",INDEX(Setări!$E$11:$E$14,MATCH(C153,ListaTip,0))&amp;COUNTIF($C$5:C153,C153))</f>
        <v/>
      </c>
      <c r="C153" s="10"/>
      <c r="D153" s="11"/>
      <c r="E153" s="11"/>
      <c r="F153" s="12"/>
      <c r="G153" s="12"/>
      <c r="H153" s="13" t="str">
        <f t="shared" si="12"/>
        <v/>
      </c>
      <c r="I153" s="13" t="str">
        <f t="shared" si="13"/>
        <v/>
      </c>
      <c r="J153" s="14" t="str">
        <f t="shared" si="14"/>
        <v/>
      </c>
    </row>
    <row r="154" spans="2:10" x14ac:dyDescent="0.2">
      <c r="B154" s="9" t="str">
        <f>IF(C154="","",INDEX(Setări!$E$11:$E$14,MATCH(C154,ListaTip,0))&amp;COUNTIF($C$5:C154,C154))</f>
        <v/>
      </c>
      <c r="C154" s="10"/>
      <c r="D154" s="11"/>
      <c r="E154" s="11"/>
      <c r="F154" s="12"/>
      <c r="G154" s="12"/>
      <c r="H154" s="13" t="str">
        <f t="shared" si="12"/>
        <v/>
      </c>
      <c r="I154" s="13" t="str">
        <f t="shared" si="13"/>
        <v/>
      </c>
      <c r="J154" s="14" t="str">
        <f t="shared" si="14"/>
        <v/>
      </c>
    </row>
    <row r="155" spans="2:10" x14ac:dyDescent="0.2">
      <c r="B155" s="9" t="str">
        <f>IF(C155="","",INDEX(Setări!$E$11:$E$14,MATCH(C155,ListaTip,0))&amp;COUNTIF($C$5:C155,C155))</f>
        <v/>
      </c>
      <c r="C155" s="10"/>
      <c r="D155" s="11"/>
      <c r="E155" s="11"/>
      <c r="F155" s="12"/>
      <c r="G155" s="12"/>
      <c r="H155" s="13" t="str">
        <f t="shared" si="12"/>
        <v/>
      </c>
      <c r="I155" s="13" t="str">
        <f t="shared" si="13"/>
        <v/>
      </c>
      <c r="J155" s="14" t="str">
        <f t="shared" si="14"/>
        <v/>
      </c>
    </row>
    <row r="156" spans="2:10" x14ac:dyDescent="0.2">
      <c r="B156" s="9" t="str">
        <f>IF(C156="","",INDEX(Setări!$E$11:$E$14,MATCH(C156,ListaTip,0))&amp;COUNTIF($C$5:C156,C156))</f>
        <v/>
      </c>
      <c r="C156" s="10"/>
      <c r="D156" s="11"/>
      <c r="E156" s="11"/>
      <c r="F156" s="12"/>
      <c r="G156" s="12"/>
      <c r="H156" s="13" t="str">
        <f t="shared" si="12"/>
        <v/>
      </c>
      <c r="I156" s="13" t="str">
        <f t="shared" si="13"/>
        <v/>
      </c>
      <c r="J156" s="14" t="str">
        <f t="shared" si="14"/>
        <v/>
      </c>
    </row>
    <row r="157" spans="2:10" x14ac:dyDescent="0.2">
      <c r="B157" s="9" t="str">
        <f>IF(C157="","",INDEX(Setări!$E$11:$E$14,MATCH(C157,ListaTip,0))&amp;COUNTIF($C$5:C157,C157))</f>
        <v/>
      </c>
      <c r="C157" s="10"/>
      <c r="D157" s="11"/>
      <c r="E157" s="11"/>
      <c r="F157" s="12"/>
      <c r="G157" s="12"/>
      <c r="H157" s="13" t="str">
        <f t="shared" si="12"/>
        <v/>
      </c>
      <c r="I157" s="13" t="str">
        <f t="shared" si="13"/>
        <v/>
      </c>
      <c r="J157" s="14" t="str">
        <f t="shared" si="14"/>
        <v/>
      </c>
    </row>
    <row r="158" spans="2:10" x14ac:dyDescent="0.2">
      <c r="B158" s="9" t="str">
        <f>IF(C158="","",INDEX(Setări!$E$11:$E$14,MATCH(C158,ListaTip,0))&amp;COUNTIF($C$5:C158,C158))</f>
        <v/>
      </c>
      <c r="C158" s="10"/>
      <c r="D158" s="11"/>
      <c r="E158" s="11"/>
      <c r="F158" s="12"/>
      <c r="G158" s="12"/>
      <c r="H158" s="13" t="str">
        <f t="shared" si="12"/>
        <v/>
      </c>
      <c r="I158" s="13" t="str">
        <f t="shared" si="13"/>
        <v/>
      </c>
      <c r="J158" s="14" t="str">
        <f t="shared" si="14"/>
        <v/>
      </c>
    </row>
    <row r="159" spans="2:10" x14ac:dyDescent="0.2">
      <c r="B159" s="9" t="str">
        <f>IF(C159="","",INDEX(Setări!$E$11:$E$14,MATCH(C159,ListaTip,0))&amp;COUNTIF($C$5:C159,C159))</f>
        <v/>
      </c>
      <c r="C159" s="10"/>
      <c r="D159" s="11"/>
      <c r="E159" s="11"/>
      <c r="F159" s="12"/>
      <c r="G159" s="12"/>
      <c r="H159" s="13" t="str">
        <f t="shared" si="12"/>
        <v/>
      </c>
      <c r="I159" s="13" t="str">
        <f t="shared" si="13"/>
        <v/>
      </c>
      <c r="J159" s="14" t="str">
        <f t="shared" si="14"/>
        <v/>
      </c>
    </row>
    <row r="160" spans="2:10" x14ac:dyDescent="0.2">
      <c r="B160" s="9" t="str">
        <f>IF(C160="","",INDEX(Setări!$E$11:$E$14,MATCH(C160,ListaTip,0))&amp;COUNTIF($C$5:C160,C160))</f>
        <v/>
      </c>
      <c r="C160" s="10"/>
      <c r="D160" s="11"/>
      <c r="E160" s="11"/>
      <c r="F160" s="12"/>
      <c r="G160" s="12"/>
      <c r="H160" s="13" t="str">
        <f t="shared" si="12"/>
        <v/>
      </c>
      <c r="I160" s="13" t="str">
        <f t="shared" si="13"/>
        <v/>
      </c>
      <c r="J160" s="14" t="str">
        <f t="shared" si="14"/>
        <v/>
      </c>
    </row>
    <row r="161" spans="2:10" x14ac:dyDescent="0.2">
      <c r="B161" s="9" t="str">
        <f>IF(C161="","",INDEX(Setări!$E$11:$E$14,MATCH(C161,ListaTip,0))&amp;COUNTIF($C$5:C161,C161))</f>
        <v/>
      </c>
      <c r="C161" s="10"/>
      <c r="D161" s="11"/>
      <c r="E161" s="11"/>
      <c r="F161" s="12"/>
      <c r="G161" s="12"/>
      <c r="H161" s="13" t="str">
        <f t="shared" si="12"/>
        <v/>
      </c>
      <c r="I161" s="13" t="str">
        <f t="shared" si="13"/>
        <v/>
      </c>
      <c r="J161" s="14" t="str">
        <f t="shared" si="14"/>
        <v/>
      </c>
    </row>
    <row r="162" spans="2:10" x14ac:dyDescent="0.2">
      <c r="B162" s="9" t="str">
        <f>IF(C162="","",INDEX(Setări!$E$11:$E$14,MATCH(C162,ListaTip,0))&amp;COUNTIF($C$5:C162,C162))</f>
        <v/>
      </c>
      <c r="C162" s="10"/>
      <c r="D162" s="11"/>
      <c r="E162" s="11"/>
      <c r="F162" s="12"/>
      <c r="G162" s="12"/>
      <c r="H162" s="13" t="str">
        <f t="shared" si="12"/>
        <v/>
      </c>
      <c r="I162" s="13" t="str">
        <f t="shared" si="13"/>
        <v/>
      </c>
      <c r="J162" s="14" t="str">
        <f t="shared" si="14"/>
        <v/>
      </c>
    </row>
    <row r="163" spans="2:10" x14ac:dyDescent="0.2">
      <c r="B163" s="9" t="str">
        <f>IF(C163="","",INDEX(Setări!$E$11:$E$14,MATCH(C163,ListaTip,0))&amp;COUNTIF($C$5:C163,C163))</f>
        <v/>
      </c>
      <c r="C163" s="10"/>
      <c r="D163" s="11"/>
      <c r="E163" s="11"/>
      <c r="F163" s="12"/>
      <c r="G163" s="12"/>
      <c r="H163" s="13" t="str">
        <f t="shared" si="12"/>
        <v/>
      </c>
      <c r="I163" s="13" t="str">
        <f t="shared" si="13"/>
        <v/>
      </c>
      <c r="J163" s="14" t="str">
        <f t="shared" si="14"/>
        <v/>
      </c>
    </row>
    <row r="164" spans="2:10" x14ac:dyDescent="0.2">
      <c r="B164" s="9" t="str">
        <f>IF(C164="","",INDEX(Setări!$E$11:$E$14,MATCH(C164,ListaTip,0))&amp;COUNTIF($C$5:C164,C164))</f>
        <v/>
      </c>
      <c r="C164" s="10"/>
      <c r="D164" s="11"/>
      <c r="E164" s="11"/>
      <c r="F164" s="12"/>
      <c r="G164" s="12"/>
      <c r="H164" s="13" t="str">
        <f t="shared" si="12"/>
        <v/>
      </c>
      <c r="I164" s="13" t="str">
        <f t="shared" si="13"/>
        <v/>
      </c>
      <c r="J164" s="14" t="str">
        <f t="shared" si="14"/>
        <v/>
      </c>
    </row>
    <row r="165" spans="2:10" x14ac:dyDescent="0.2">
      <c r="B165" s="9" t="str">
        <f>IF(C165="","",INDEX(Setări!$E$11:$E$14,MATCH(C165,ListaTip,0))&amp;COUNTIF($C$5:C165,C165))</f>
        <v/>
      </c>
      <c r="C165" s="10"/>
      <c r="D165" s="11"/>
      <c r="E165" s="11"/>
      <c r="F165" s="12"/>
      <c r="G165" s="12"/>
      <c r="H165" s="13" t="str">
        <f t="shared" ref="H165:H196" si="15">IF(OR(N(F165)=0,N(G165)=0),"",F165*G165)</f>
        <v/>
      </c>
      <c r="I165" s="13" t="str">
        <f t="shared" ref="I165:I196" si="16">IF(H165="","",IF(H165&gt;=PragR,"Ridicată",IF(H165&gt;=PragM,"Medie","Scăzută")))</f>
        <v/>
      </c>
      <c r="J165" s="14" t="str">
        <f t="shared" ref="J165:J196" si="17">IF(C165="","",TRIM(IF(D165="","Lipsește descrierea. ",IF(LEN(D165)&lt;30,"Prea general: spune concret ce, cât, unde. ",""))&amp;IF(E165="","Fără dovadă: e o părere, nu un fapt. ","")&amp;IF(OR(N(F165)=0,N(G165)=0),"Notează impactul și importanța. ","")))</f>
        <v/>
      </c>
    </row>
    <row r="166" spans="2:10" x14ac:dyDescent="0.2">
      <c r="B166" s="9" t="str">
        <f>IF(C166="","",INDEX(Setări!$E$11:$E$14,MATCH(C166,ListaTip,0))&amp;COUNTIF($C$5:C166,C166))</f>
        <v/>
      </c>
      <c r="C166" s="10"/>
      <c r="D166" s="11"/>
      <c r="E166" s="11"/>
      <c r="F166" s="12"/>
      <c r="G166" s="12"/>
      <c r="H166" s="13" t="str">
        <f t="shared" si="15"/>
        <v/>
      </c>
      <c r="I166" s="13" t="str">
        <f t="shared" si="16"/>
        <v/>
      </c>
      <c r="J166" s="14" t="str">
        <f t="shared" si="17"/>
        <v/>
      </c>
    </row>
    <row r="167" spans="2:10" x14ac:dyDescent="0.2">
      <c r="B167" s="9" t="str">
        <f>IF(C167="","",INDEX(Setări!$E$11:$E$14,MATCH(C167,ListaTip,0))&amp;COUNTIF($C$5:C167,C167))</f>
        <v/>
      </c>
      <c r="C167" s="10"/>
      <c r="D167" s="11"/>
      <c r="E167" s="11"/>
      <c r="F167" s="12"/>
      <c r="G167" s="12"/>
      <c r="H167" s="13" t="str">
        <f t="shared" si="15"/>
        <v/>
      </c>
      <c r="I167" s="13" t="str">
        <f t="shared" si="16"/>
        <v/>
      </c>
      <c r="J167" s="14" t="str">
        <f t="shared" si="17"/>
        <v/>
      </c>
    </row>
    <row r="168" spans="2:10" x14ac:dyDescent="0.2">
      <c r="B168" s="9" t="str">
        <f>IF(C168="","",INDEX(Setări!$E$11:$E$14,MATCH(C168,ListaTip,0))&amp;COUNTIF($C$5:C168,C168))</f>
        <v/>
      </c>
      <c r="C168" s="10"/>
      <c r="D168" s="11"/>
      <c r="E168" s="11"/>
      <c r="F168" s="12"/>
      <c r="G168" s="12"/>
      <c r="H168" s="13" t="str">
        <f t="shared" si="15"/>
        <v/>
      </c>
      <c r="I168" s="13" t="str">
        <f t="shared" si="16"/>
        <v/>
      </c>
      <c r="J168" s="14" t="str">
        <f t="shared" si="17"/>
        <v/>
      </c>
    </row>
    <row r="169" spans="2:10" x14ac:dyDescent="0.2">
      <c r="B169" s="9" t="str">
        <f>IF(C169="","",INDEX(Setări!$E$11:$E$14,MATCH(C169,ListaTip,0))&amp;COUNTIF($C$5:C169,C169))</f>
        <v/>
      </c>
      <c r="C169" s="10"/>
      <c r="D169" s="11"/>
      <c r="E169" s="11"/>
      <c r="F169" s="12"/>
      <c r="G169" s="12"/>
      <c r="H169" s="13" t="str">
        <f t="shared" si="15"/>
        <v/>
      </c>
      <c r="I169" s="13" t="str">
        <f t="shared" si="16"/>
        <v/>
      </c>
      <c r="J169" s="14" t="str">
        <f t="shared" si="17"/>
        <v/>
      </c>
    </row>
    <row r="170" spans="2:10" x14ac:dyDescent="0.2">
      <c r="B170" s="9" t="str">
        <f>IF(C170="","",INDEX(Setări!$E$11:$E$14,MATCH(C170,ListaTip,0))&amp;COUNTIF($C$5:C170,C170))</f>
        <v/>
      </c>
      <c r="C170" s="10"/>
      <c r="D170" s="11"/>
      <c r="E170" s="11"/>
      <c r="F170" s="12"/>
      <c r="G170" s="12"/>
      <c r="H170" s="13" t="str">
        <f t="shared" si="15"/>
        <v/>
      </c>
      <c r="I170" s="13" t="str">
        <f t="shared" si="16"/>
        <v/>
      </c>
      <c r="J170" s="14" t="str">
        <f t="shared" si="17"/>
        <v/>
      </c>
    </row>
    <row r="171" spans="2:10" x14ac:dyDescent="0.2">
      <c r="B171" s="9" t="str">
        <f>IF(C171="","",INDEX(Setări!$E$11:$E$14,MATCH(C171,ListaTip,0))&amp;COUNTIF($C$5:C171,C171))</f>
        <v/>
      </c>
      <c r="C171" s="10"/>
      <c r="D171" s="11"/>
      <c r="E171" s="11"/>
      <c r="F171" s="12"/>
      <c r="G171" s="12"/>
      <c r="H171" s="13" t="str">
        <f t="shared" si="15"/>
        <v/>
      </c>
      <c r="I171" s="13" t="str">
        <f t="shared" si="16"/>
        <v/>
      </c>
      <c r="J171" s="14" t="str">
        <f t="shared" si="17"/>
        <v/>
      </c>
    </row>
    <row r="172" spans="2:10" x14ac:dyDescent="0.2">
      <c r="B172" s="9" t="str">
        <f>IF(C172="","",INDEX(Setări!$E$11:$E$14,MATCH(C172,ListaTip,0))&amp;COUNTIF($C$5:C172,C172))</f>
        <v/>
      </c>
      <c r="C172" s="10"/>
      <c r="D172" s="11"/>
      <c r="E172" s="11"/>
      <c r="F172" s="12"/>
      <c r="G172" s="12"/>
      <c r="H172" s="13" t="str">
        <f t="shared" si="15"/>
        <v/>
      </c>
      <c r="I172" s="13" t="str">
        <f t="shared" si="16"/>
        <v/>
      </c>
      <c r="J172" s="14" t="str">
        <f t="shared" si="17"/>
        <v/>
      </c>
    </row>
    <row r="173" spans="2:10" x14ac:dyDescent="0.2">
      <c r="B173" s="9" t="str">
        <f>IF(C173="","",INDEX(Setări!$E$11:$E$14,MATCH(C173,ListaTip,0))&amp;COUNTIF($C$5:C173,C173))</f>
        <v/>
      </c>
      <c r="C173" s="10"/>
      <c r="D173" s="11"/>
      <c r="E173" s="11"/>
      <c r="F173" s="12"/>
      <c r="G173" s="12"/>
      <c r="H173" s="13" t="str">
        <f t="shared" si="15"/>
        <v/>
      </c>
      <c r="I173" s="13" t="str">
        <f t="shared" si="16"/>
        <v/>
      </c>
      <c r="J173" s="14" t="str">
        <f t="shared" si="17"/>
        <v/>
      </c>
    </row>
    <row r="174" spans="2:10" x14ac:dyDescent="0.2">
      <c r="B174" s="9" t="str">
        <f>IF(C174="","",INDEX(Setări!$E$11:$E$14,MATCH(C174,ListaTip,0))&amp;COUNTIF($C$5:C174,C174))</f>
        <v/>
      </c>
      <c r="C174" s="10"/>
      <c r="D174" s="11"/>
      <c r="E174" s="11"/>
      <c r="F174" s="12"/>
      <c r="G174" s="12"/>
      <c r="H174" s="13" t="str">
        <f t="shared" si="15"/>
        <v/>
      </c>
      <c r="I174" s="13" t="str">
        <f t="shared" si="16"/>
        <v/>
      </c>
      <c r="J174" s="14" t="str">
        <f t="shared" si="17"/>
        <v/>
      </c>
    </row>
    <row r="175" spans="2:10" x14ac:dyDescent="0.2">
      <c r="B175" s="9" t="str">
        <f>IF(C175="","",INDEX(Setări!$E$11:$E$14,MATCH(C175,ListaTip,0))&amp;COUNTIF($C$5:C175,C175))</f>
        <v/>
      </c>
      <c r="C175" s="10"/>
      <c r="D175" s="11"/>
      <c r="E175" s="11"/>
      <c r="F175" s="12"/>
      <c r="G175" s="12"/>
      <c r="H175" s="13" t="str">
        <f t="shared" si="15"/>
        <v/>
      </c>
      <c r="I175" s="13" t="str">
        <f t="shared" si="16"/>
        <v/>
      </c>
      <c r="J175" s="14" t="str">
        <f t="shared" si="17"/>
        <v/>
      </c>
    </row>
    <row r="176" spans="2:10" x14ac:dyDescent="0.2">
      <c r="B176" s="9" t="str">
        <f>IF(C176="","",INDEX(Setări!$E$11:$E$14,MATCH(C176,ListaTip,0))&amp;COUNTIF($C$5:C176,C176))</f>
        <v/>
      </c>
      <c r="C176" s="10"/>
      <c r="D176" s="11"/>
      <c r="E176" s="11"/>
      <c r="F176" s="12"/>
      <c r="G176" s="12"/>
      <c r="H176" s="13" t="str">
        <f t="shared" si="15"/>
        <v/>
      </c>
      <c r="I176" s="13" t="str">
        <f t="shared" si="16"/>
        <v/>
      </c>
      <c r="J176" s="14" t="str">
        <f t="shared" si="17"/>
        <v/>
      </c>
    </row>
    <row r="177" spans="2:10" x14ac:dyDescent="0.2">
      <c r="B177" s="9" t="str">
        <f>IF(C177="","",INDEX(Setări!$E$11:$E$14,MATCH(C177,ListaTip,0))&amp;COUNTIF($C$5:C177,C177))</f>
        <v/>
      </c>
      <c r="C177" s="10"/>
      <c r="D177" s="11"/>
      <c r="E177" s="11"/>
      <c r="F177" s="12"/>
      <c r="G177" s="12"/>
      <c r="H177" s="13" t="str">
        <f t="shared" si="15"/>
        <v/>
      </c>
      <c r="I177" s="13" t="str">
        <f t="shared" si="16"/>
        <v/>
      </c>
      <c r="J177" s="14" t="str">
        <f t="shared" si="17"/>
        <v/>
      </c>
    </row>
    <row r="178" spans="2:10" x14ac:dyDescent="0.2">
      <c r="B178" s="9" t="str">
        <f>IF(C178="","",INDEX(Setări!$E$11:$E$14,MATCH(C178,ListaTip,0))&amp;COUNTIF($C$5:C178,C178))</f>
        <v/>
      </c>
      <c r="C178" s="10"/>
      <c r="D178" s="11"/>
      <c r="E178" s="11"/>
      <c r="F178" s="12"/>
      <c r="G178" s="12"/>
      <c r="H178" s="13" t="str">
        <f t="shared" si="15"/>
        <v/>
      </c>
      <c r="I178" s="13" t="str">
        <f t="shared" si="16"/>
        <v/>
      </c>
      <c r="J178" s="14" t="str">
        <f t="shared" si="17"/>
        <v/>
      </c>
    </row>
    <row r="179" spans="2:10" x14ac:dyDescent="0.2">
      <c r="B179" s="9" t="str">
        <f>IF(C179="","",INDEX(Setări!$E$11:$E$14,MATCH(C179,ListaTip,0))&amp;COUNTIF($C$5:C179,C179))</f>
        <v/>
      </c>
      <c r="C179" s="10"/>
      <c r="D179" s="11"/>
      <c r="E179" s="11"/>
      <c r="F179" s="12"/>
      <c r="G179" s="12"/>
      <c r="H179" s="13" t="str">
        <f t="shared" si="15"/>
        <v/>
      </c>
      <c r="I179" s="13" t="str">
        <f t="shared" si="16"/>
        <v/>
      </c>
      <c r="J179" s="14" t="str">
        <f t="shared" si="17"/>
        <v/>
      </c>
    </row>
    <row r="180" spans="2:10" x14ac:dyDescent="0.2">
      <c r="B180" s="9" t="str">
        <f>IF(C180="","",INDEX(Setări!$E$11:$E$14,MATCH(C180,ListaTip,0))&amp;COUNTIF($C$5:C180,C180))</f>
        <v/>
      </c>
      <c r="C180" s="10"/>
      <c r="D180" s="11"/>
      <c r="E180" s="11"/>
      <c r="F180" s="12"/>
      <c r="G180" s="12"/>
      <c r="H180" s="13" t="str">
        <f t="shared" si="15"/>
        <v/>
      </c>
      <c r="I180" s="13" t="str">
        <f t="shared" si="16"/>
        <v/>
      </c>
      <c r="J180" s="14" t="str">
        <f t="shared" si="17"/>
        <v/>
      </c>
    </row>
    <row r="181" spans="2:10" x14ac:dyDescent="0.2">
      <c r="B181" s="9" t="str">
        <f>IF(C181="","",INDEX(Setări!$E$11:$E$14,MATCH(C181,ListaTip,0))&amp;COUNTIF($C$5:C181,C181))</f>
        <v/>
      </c>
      <c r="C181" s="10"/>
      <c r="D181" s="11"/>
      <c r="E181" s="11"/>
      <c r="F181" s="12"/>
      <c r="G181" s="12"/>
      <c r="H181" s="13" t="str">
        <f t="shared" si="15"/>
        <v/>
      </c>
      <c r="I181" s="13" t="str">
        <f t="shared" si="16"/>
        <v/>
      </c>
      <c r="J181" s="14" t="str">
        <f t="shared" si="17"/>
        <v/>
      </c>
    </row>
    <row r="182" spans="2:10" x14ac:dyDescent="0.2">
      <c r="B182" s="9" t="str">
        <f>IF(C182="","",INDEX(Setări!$E$11:$E$14,MATCH(C182,ListaTip,0))&amp;COUNTIF($C$5:C182,C182))</f>
        <v/>
      </c>
      <c r="C182" s="10"/>
      <c r="D182" s="11"/>
      <c r="E182" s="11"/>
      <c r="F182" s="12"/>
      <c r="G182" s="12"/>
      <c r="H182" s="13" t="str">
        <f t="shared" si="15"/>
        <v/>
      </c>
      <c r="I182" s="13" t="str">
        <f t="shared" si="16"/>
        <v/>
      </c>
      <c r="J182" s="14" t="str">
        <f t="shared" si="17"/>
        <v/>
      </c>
    </row>
    <row r="183" spans="2:10" x14ac:dyDescent="0.2">
      <c r="B183" s="9" t="str">
        <f>IF(C183="","",INDEX(Setări!$E$11:$E$14,MATCH(C183,ListaTip,0))&amp;COUNTIF($C$5:C183,C183))</f>
        <v/>
      </c>
      <c r="C183" s="10"/>
      <c r="D183" s="11"/>
      <c r="E183" s="11"/>
      <c r="F183" s="12"/>
      <c r="G183" s="12"/>
      <c r="H183" s="13" t="str">
        <f t="shared" si="15"/>
        <v/>
      </c>
      <c r="I183" s="13" t="str">
        <f t="shared" si="16"/>
        <v/>
      </c>
      <c r="J183" s="14" t="str">
        <f t="shared" si="17"/>
        <v/>
      </c>
    </row>
    <row r="184" spans="2:10" x14ac:dyDescent="0.2">
      <c r="B184" s="9" t="str">
        <f>IF(C184="","",INDEX(Setări!$E$11:$E$14,MATCH(C184,ListaTip,0))&amp;COUNTIF($C$5:C184,C184))</f>
        <v/>
      </c>
      <c r="C184" s="10"/>
      <c r="D184" s="11"/>
      <c r="E184" s="11"/>
      <c r="F184" s="12"/>
      <c r="G184" s="12"/>
      <c r="H184" s="13" t="str">
        <f t="shared" si="15"/>
        <v/>
      </c>
      <c r="I184" s="13" t="str">
        <f t="shared" si="16"/>
        <v/>
      </c>
      <c r="J184" s="14" t="str">
        <f t="shared" si="17"/>
        <v/>
      </c>
    </row>
    <row r="185" spans="2:10" x14ac:dyDescent="0.2">
      <c r="B185" s="9" t="str">
        <f>IF(C185="","",INDEX(Setări!$E$11:$E$14,MATCH(C185,ListaTip,0))&amp;COUNTIF($C$5:C185,C185))</f>
        <v/>
      </c>
      <c r="C185" s="10"/>
      <c r="D185" s="11"/>
      <c r="E185" s="11"/>
      <c r="F185" s="12"/>
      <c r="G185" s="12"/>
      <c r="H185" s="13" t="str">
        <f t="shared" si="15"/>
        <v/>
      </c>
      <c r="I185" s="13" t="str">
        <f t="shared" si="16"/>
        <v/>
      </c>
      <c r="J185" s="14" t="str">
        <f t="shared" si="17"/>
        <v/>
      </c>
    </row>
    <row r="186" spans="2:10" x14ac:dyDescent="0.2">
      <c r="B186" s="9" t="str">
        <f>IF(C186="","",INDEX(Setări!$E$11:$E$14,MATCH(C186,ListaTip,0))&amp;COUNTIF($C$5:C186,C186))</f>
        <v/>
      </c>
      <c r="C186" s="10"/>
      <c r="D186" s="11"/>
      <c r="E186" s="11"/>
      <c r="F186" s="12"/>
      <c r="G186" s="12"/>
      <c r="H186" s="13" t="str">
        <f t="shared" si="15"/>
        <v/>
      </c>
      <c r="I186" s="13" t="str">
        <f t="shared" si="16"/>
        <v/>
      </c>
      <c r="J186" s="14" t="str">
        <f t="shared" si="17"/>
        <v/>
      </c>
    </row>
    <row r="187" spans="2:10" x14ac:dyDescent="0.2">
      <c r="B187" s="9" t="str">
        <f>IF(C187="","",INDEX(Setări!$E$11:$E$14,MATCH(C187,ListaTip,0))&amp;COUNTIF($C$5:C187,C187))</f>
        <v/>
      </c>
      <c r="C187" s="10"/>
      <c r="D187" s="11"/>
      <c r="E187" s="11"/>
      <c r="F187" s="12"/>
      <c r="G187" s="12"/>
      <c r="H187" s="13" t="str">
        <f t="shared" si="15"/>
        <v/>
      </c>
      <c r="I187" s="13" t="str">
        <f t="shared" si="16"/>
        <v/>
      </c>
      <c r="J187" s="14" t="str">
        <f t="shared" si="17"/>
        <v/>
      </c>
    </row>
    <row r="188" spans="2:10" x14ac:dyDescent="0.2">
      <c r="B188" s="9" t="str">
        <f>IF(C188="","",INDEX(Setări!$E$11:$E$14,MATCH(C188,ListaTip,0))&amp;COUNTIF($C$5:C188,C188))</f>
        <v/>
      </c>
      <c r="C188" s="10"/>
      <c r="D188" s="11"/>
      <c r="E188" s="11"/>
      <c r="F188" s="12"/>
      <c r="G188" s="12"/>
      <c r="H188" s="13" t="str">
        <f t="shared" si="15"/>
        <v/>
      </c>
      <c r="I188" s="13" t="str">
        <f t="shared" si="16"/>
        <v/>
      </c>
      <c r="J188" s="14" t="str">
        <f t="shared" si="17"/>
        <v/>
      </c>
    </row>
    <row r="189" spans="2:10" x14ac:dyDescent="0.2">
      <c r="B189" s="9" t="str">
        <f>IF(C189="","",INDEX(Setări!$E$11:$E$14,MATCH(C189,ListaTip,0))&amp;COUNTIF($C$5:C189,C189))</f>
        <v/>
      </c>
      <c r="C189" s="10"/>
      <c r="D189" s="11"/>
      <c r="E189" s="11"/>
      <c r="F189" s="12"/>
      <c r="G189" s="12"/>
      <c r="H189" s="13" t="str">
        <f t="shared" si="15"/>
        <v/>
      </c>
      <c r="I189" s="13" t="str">
        <f t="shared" si="16"/>
        <v/>
      </c>
      <c r="J189" s="14" t="str">
        <f t="shared" si="17"/>
        <v/>
      </c>
    </row>
    <row r="190" spans="2:10" x14ac:dyDescent="0.2">
      <c r="B190" s="9" t="str">
        <f>IF(C190="","",INDEX(Setări!$E$11:$E$14,MATCH(C190,ListaTip,0))&amp;COUNTIF($C$5:C190,C190))</f>
        <v/>
      </c>
      <c r="C190" s="10"/>
      <c r="D190" s="11"/>
      <c r="E190" s="11"/>
      <c r="F190" s="12"/>
      <c r="G190" s="12"/>
      <c r="H190" s="13" t="str">
        <f t="shared" si="15"/>
        <v/>
      </c>
      <c r="I190" s="13" t="str">
        <f t="shared" si="16"/>
        <v/>
      </c>
      <c r="J190" s="14" t="str">
        <f t="shared" si="17"/>
        <v/>
      </c>
    </row>
    <row r="191" spans="2:10" x14ac:dyDescent="0.2">
      <c r="B191" s="9" t="str">
        <f>IF(C191="","",INDEX(Setări!$E$11:$E$14,MATCH(C191,ListaTip,0))&amp;COUNTIF($C$5:C191,C191))</f>
        <v/>
      </c>
      <c r="C191" s="10"/>
      <c r="D191" s="11"/>
      <c r="E191" s="11"/>
      <c r="F191" s="12"/>
      <c r="G191" s="12"/>
      <c r="H191" s="13" t="str">
        <f t="shared" si="15"/>
        <v/>
      </c>
      <c r="I191" s="13" t="str">
        <f t="shared" si="16"/>
        <v/>
      </c>
      <c r="J191" s="14" t="str">
        <f t="shared" si="17"/>
        <v/>
      </c>
    </row>
    <row r="192" spans="2:10" x14ac:dyDescent="0.2">
      <c r="B192" s="9" t="str">
        <f>IF(C192="","",INDEX(Setări!$E$11:$E$14,MATCH(C192,ListaTip,0))&amp;COUNTIF($C$5:C192,C192))</f>
        <v/>
      </c>
      <c r="C192" s="10"/>
      <c r="D192" s="11"/>
      <c r="E192" s="11"/>
      <c r="F192" s="12"/>
      <c r="G192" s="12"/>
      <c r="H192" s="13" t="str">
        <f t="shared" si="15"/>
        <v/>
      </c>
      <c r="I192" s="13" t="str">
        <f t="shared" si="16"/>
        <v/>
      </c>
      <c r="J192" s="14" t="str">
        <f t="shared" si="17"/>
        <v/>
      </c>
    </row>
    <row r="193" spans="2:10" x14ac:dyDescent="0.2">
      <c r="B193" s="9" t="str">
        <f>IF(C193="","",INDEX(Setări!$E$11:$E$14,MATCH(C193,ListaTip,0))&amp;COUNTIF($C$5:C193,C193))</f>
        <v/>
      </c>
      <c r="C193" s="10"/>
      <c r="D193" s="11"/>
      <c r="E193" s="11"/>
      <c r="F193" s="12"/>
      <c r="G193" s="12"/>
      <c r="H193" s="13" t="str">
        <f t="shared" si="15"/>
        <v/>
      </c>
      <c r="I193" s="13" t="str">
        <f t="shared" si="16"/>
        <v/>
      </c>
      <c r="J193" s="14" t="str">
        <f t="shared" si="17"/>
        <v/>
      </c>
    </row>
    <row r="194" spans="2:10" x14ac:dyDescent="0.2">
      <c r="B194" s="9" t="str">
        <f>IF(C194="","",INDEX(Setări!$E$11:$E$14,MATCH(C194,ListaTip,0))&amp;COUNTIF($C$5:C194,C194))</f>
        <v/>
      </c>
      <c r="C194" s="10"/>
      <c r="D194" s="11"/>
      <c r="E194" s="11"/>
      <c r="F194" s="12"/>
      <c r="G194" s="12"/>
      <c r="H194" s="13" t="str">
        <f t="shared" si="15"/>
        <v/>
      </c>
      <c r="I194" s="13" t="str">
        <f t="shared" si="16"/>
        <v/>
      </c>
      <c r="J194" s="14" t="str">
        <f t="shared" si="17"/>
        <v/>
      </c>
    </row>
    <row r="195" spans="2:10" x14ac:dyDescent="0.2">
      <c r="B195" s="9" t="str">
        <f>IF(C195="","",INDEX(Setări!$E$11:$E$14,MATCH(C195,ListaTip,0))&amp;COUNTIF($C$5:C195,C195))</f>
        <v/>
      </c>
      <c r="C195" s="10"/>
      <c r="D195" s="11"/>
      <c r="E195" s="11"/>
      <c r="F195" s="12"/>
      <c r="G195" s="12"/>
      <c r="H195" s="13" t="str">
        <f t="shared" si="15"/>
        <v/>
      </c>
      <c r="I195" s="13" t="str">
        <f t="shared" si="16"/>
        <v/>
      </c>
      <c r="J195" s="14" t="str">
        <f t="shared" si="17"/>
        <v/>
      </c>
    </row>
    <row r="196" spans="2:10" x14ac:dyDescent="0.2">
      <c r="B196" s="9" t="str">
        <f>IF(C196="","",INDEX(Setări!$E$11:$E$14,MATCH(C196,ListaTip,0))&amp;COUNTIF($C$5:C196,C196))</f>
        <v/>
      </c>
      <c r="C196" s="10"/>
      <c r="D196" s="11"/>
      <c r="E196" s="11"/>
      <c r="F196" s="12"/>
      <c r="G196" s="12"/>
      <c r="H196" s="13" t="str">
        <f t="shared" si="15"/>
        <v/>
      </c>
      <c r="I196" s="13" t="str">
        <f t="shared" si="16"/>
        <v/>
      </c>
      <c r="J196" s="14" t="str">
        <f t="shared" si="17"/>
        <v/>
      </c>
    </row>
    <row r="197" spans="2:10" x14ac:dyDescent="0.2">
      <c r="B197" s="9" t="str">
        <f>IF(C197="","",INDEX(Setări!$E$11:$E$14,MATCH(C197,ListaTip,0))&amp;COUNTIF($C$5:C197,C197))</f>
        <v/>
      </c>
      <c r="C197" s="10"/>
      <c r="D197" s="11"/>
      <c r="E197" s="11"/>
      <c r="F197" s="12"/>
      <c r="G197" s="12"/>
      <c r="H197" s="13" t="str">
        <f t="shared" ref="H197:H204" si="18">IF(OR(N(F197)=0,N(G197)=0),"",F197*G197)</f>
        <v/>
      </c>
      <c r="I197" s="13" t="str">
        <f t="shared" ref="I197:I228" si="19">IF(H197="","",IF(H197&gt;=PragR,"Ridicată",IF(H197&gt;=PragM,"Medie","Scăzută")))</f>
        <v/>
      </c>
      <c r="J197" s="14" t="str">
        <f t="shared" ref="J197:J204" si="20">IF(C197="","",TRIM(IF(D197="","Lipsește descrierea. ",IF(LEN(D197)&lt;30,"Prea general: spune concret ce, cât, unde. ",""))&amp;IF(E197="","Fără dovadă: e o părere, nu un fapt. ","")&amp;IF(OR(N(F197)=0,N(G197)=0),"Notează impactul și importanța. ","")))</f>
        <v/>
      </c>
    </row>
    <row r="198" spans="2:10" x14ac:dyDescent="0.2">
      <c r="B198" s="9" t="str">
        <f>IF(C198="","",INDEX(Setări!$E$11:$E$14,MATCH(C198,ListaTip,0))&amp;COUNTIF($C$5:C198,C198))</f>
        <v/>
      </c>
      <c r="C198" s="10"/>
      <c r="D198" s="11"/>
      <c r="E198" s="11"/>
      <c r="F198" s="12"/>
      <c r="G198" s="12"/>
      <c r="H198" s="13" t="str">
        <f t="shared" si="18"/>
        <v/>
      </c>
      <c r="I198" s="13" t="str">
        <f t="shared" si="19"/>
        <v/>
      </c>
      <c r="J198" s="14" t="str">
        <f t="shared" si="20"/>
        <v/>
      </c>
    </row>
    <row r="199" spans="2:10" x14ac:dyDescent="0.2">
      <c r="B199" s="9" t="str">
        <f>IF(C199="","",INDEX(Setări!$E$11:$E$14,MATCH(C199,ListaTip,0))&amp;COUNTIF($C$5:C199,C199))</f>
        <v/>
      </c>
      <c r="C199" s="10"/>
      <c r="D199" s="11"/>
      <c r="E199" s="11"/>
      <c r="F199" s="12"/>
      <c r="G199" s="12"/>
      <c r="H199" s="13" t="str">
        <f t="shared" si="18"/>
        <v/>
      </c>
      <c r="I199" s="13" t="str">
        <f t="shared" si="19"/>
        <v/>
      </c>
      <c r="J199" s="14" t="str">
        <f t="shared" si="20"/>
        <v/>
      </c>
    </row>
    <row r="200" spans="2:10" x14ac:dyDescent="0.2">
      <c r="B200" s="9" t="str">
        <f>IF(C200="","",INDEX(Setări!$E$11:$E$14,MATCH(C200,ListaTip,0))&amp;COUNTIF($C$5:C200,C200))</f>
        <v/>
      </c>
      <c r="C200" s="10"/>
      <c r="D200" s="11"/>
      <c r="E200" s="11"/>
      <c r="F200" s="12"/>
      <c r="G200" s="12"/>
      <c r="H200" s="13" t="str">
        <f t="shared" si="18"/>
        <v/>
      </c>
      <c r="I200" s="13" t="str">
        <f t="shared" si="19"/>
        <v/>
      </c>
      <c r="J200" s="14" t="str">
        <f t="shared" si="20"/>
        <v/>
      </c>
    </row>
    <row r="201" spans="2:10" x14ac:dyDescent="0.2">
      <c r="B201" s="9" t="str">
        <f>IF(C201="","",INDEX(Setări!$E$11:$E$14,MATCH(C201,ListaTip,0))&amp;COUNTIF($C$5:C201,C201))</f>
        <v/>
      </c>
      <c r="C201" s="10"/>
      <c r="D201" s="11"/>
      <c r="E201" s="11"/>
      <c r="F201" s="12"/>
      <c r="G201" s="12"/>
      <c r="H201" s="13" t="str">
        <f t="shared" si="18"/>
        <v/>
      </c>
      <c r="I201" s="13" t="str">
        <f t="shared" si="19"/>
        <v/>
      </c>
      <c r="J201" s="14" t="str">
        <f t="shared" si="20"/>
        <v/>
      </c>
    </row>
    <row r="202" spans="2:10" x14ac:dyDescent="0.2">
      <c r="B202" s="9" t="str">
        <f>IF(C202="","",INDEX(Setări!$E$11:$E$14,MATCH(C202,ListaTip,0))&amp;COUNTIF($C$5:C202,C202))</f>
        <v/>
      </c>
      <c r="C202" s="10"/>
      <c r="D202" s="11"/>
      <c r="E202" s="11"/>
      <c r="F202" s="12"/>
      <c r="G202" s="12"/>
      <c r="H202" s="13" t="str">
        <f t="shared" si="18"/>
        <v/>
      </c>
      <c r="I202" s="13" t="str">
        <f t="shared" si="19"/>
        <v/>
      </c>
      <c r="J202" s="14" t="str">
        <f t="shared" si="20"/>
        <v/>
      </c>
    </row>
    <row r="203" spans="2:10" x14ac:dyDescent="0.2">
      <c r="B203" s="9" t="str">
        <f>IF(C203="","",INDEX(Setări!$E$11:$E$14,MATCH(C203,ListaTip,0))&amp;COUNTIF($C$5:C203,C203))</f>
        <v/>
      </c>
      <c r="C203" s="10"/>
      <c r="D203" s="11"/>
      <c r="E203" s="11"/>
      <c r="F203" s="12"/>
      <c r="G203" s="12"/>
      <c r="H203" s="13" t="str">
        <f t="shared" si="18"/>
        <v/>
      </c>
      <c r="I203" s="13" t="str">
        <f t="shared" si="19"/>
        <v/>
      </c>
      <c r="J203" s="14" t="str">
        <f t="shared" si="20"/>
        <v/>
      </c>
    </row>
    <row r="204" spans="2:10" x14ac:dyDescent="0.2">
      <c r="B204" s="9" t="str">
        <f>IF(C204="","",INDEX(Setări!$E$11:$E$14,MATCH(C204,ListaTip,0))&amp;COUNTIF($C$5:C204,C204))</f>
        <v/>
      </c>
      <c r="C204" s="10"/>
      <c r="D204" s="11"/>
      <c r="E204" s="11"/>
      <c r="F204" s="12"/>
      <c r="G204" s="12"/>
      <c r="H204" s="13" t="str">
        <f t="shared" si="18"/>
        <v/>
      </c>
      <c r="I204" s="13" t="str">
        <f t="shared" si="19"/>
        <v/>
      </c>
      <c r="J204" s="14" t="str">
        <f t="shared" si="20"/>
        <v/>
      </c>
    </row>
    <row r="1000" spans="702:702" ht="15" x14ac:dyDescent="0.25">
      <c r="ZZ1000"/>
    </row>
  </sheetData>
  <conditionalFormatting sqref="B5:C204">
    <cfRule type="expression" dxfId="8" priority="1" stopIfTrue="1">
      <formula>$C5="Punct tare"</formula>
    </cfRule>
    <cfRule type="expression" dxfId="7" priority="2" stopIfTrue="1">
      <formula>$C5="Punct slab"</formula>
    </cfRule>
    <cfRule type="expression" dxfId="6" priority="3" stopIfTrue="1">
      <formula>$C5="Oportunitate"</formula>
    </cfRule>
    <cfRule type="expression" dxfId="5" priority="4" stopIfTrue="1">
      <formula>$C5="Amenințare"</formula>
    </cfRule>
  </conditionalFormatting>
  <conditionalFormatting sqref="D5:E204">
    <cfRule type="expression" dxfId="4" priority="6" stopIfTrue="1">
      <formula>$J5&lt;&gt;""</formula>
    </cfRule>
  </conditionalFormatting>
  <conditionalFormatting sqref="I5:I204">
    <cfRule type="cellIs" dxfId="3" priority="5" stopIfTrue="1" operator="equal">
      <formula>"Ridicată"</formula>
    </cfRule>
  </conditionalFormatting>
  <dataValidations count="2">
    <dataValidation type="list" allowBlank="1" showInputMessage="1" showErrorMessage="1" sqref="C5:C204" xr:uid="{FF3E5F7B-5FED-487A-8F89-9B246391FD11}">
      <formula1>ListaTip</formula1>
    </dataValidation>
    <dataValidation type="list" allowBlank="1" showInputMessage="1" showErrorMessage="1" sqref="F5:G204" xr:uid="{0A5F74F4-EC71-480D-B39A-CF59CAAD6534}">
      <formula1>ListaNota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0126-9746-40FB-9E68-C1CFBA90D736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8.7109375" style="1" customWidth="1"/>
    <col min="3" max="3" width="9.7109375" style="1" customWidth="1"/>
    <col min="4" max="7" width="14.7109375" style="1" customWidth="1"/>
    <col min="8" max="8" width="12.7109375" style="1" customWidth="1"/>
    <col min="9" max="9" width="36.7109375" style="1" customWidth="1"/>
    <col min="10" max="16384" width="11.42578125" style="1"/>
  </cols>
  <sheetData>
    <row r="1" spans="2:9" ht="21" x14ac:dyDescent="0.35">
      <c r="B1" s="2" t="s">
        <v>67</v>
      </c>
    </row>
    <row r="2" spans="2:9" x14ac:dyDescent="0.2">
      <c r="B2" s="3" t="s">
        <v>68</v>
      </c>
    </row>
    <row r="4" spans="2:9" ht="30" customHeight="1" x14ac:dyDescent="0.2">
      <c r="B4" s="7" t="s">
        <v>69</v>
      </c>
      <c r="C4" s="7" t="s">
        <v>70</v>
      </c>
      <c r="D4" s="7" t="str">
        <f>Firma</f>
        <v>Exemplu Instalații SRL</v>
      </c>
      <c r="E4" s="15" t="s">
        <v>71</v>
      </c>
      <c r="F4" s="15" t="s">
        <v>72</v>
      </c>
      <c r="G4" s="15" t="s">
        <v>73</v>
      </c>
      <c r="H4" s="7" t="s">
        <v>74</v>
      </c>
      <c r="I4" s="7" t="s">
        <v>75</v>
      </c>
    </row>
    <row r="5" spans="2:9" x14ac:dyDescent="0.2">
      <c r="B5" s="16" t="s">
        <v>76</v>
      </c>
      <c r="C5" s="17">
        <v>0.25</v>
      </c>
      <c r="D5" s="18">
        <v>3</v>
      </c>
      <c r="E5" s="18">
        <v>4</v>
      </c>
      <c r="F5" s="18">
        <v>5</v>
      </c>
      <c r="G5" s="18">
        <v>3</v>
      </c>
      <c r="H5" s="19">
        <f t="shared" ref="H5:H14" si="0">IF(B5="","",MAX(E5:G5))</f>
        <v>5</v>
      </c>
      <c r="I5" s="8" t="str">
        <f t="shared" ref="I5:I14" si="1">IF(OR(B5="",D5=""),"",IF(D5&gt;H5,"Avantaj → punct tare",IF(D5&lt;H5,"Dezavantaj → punct slab","La egalitate")))</f>
        <v>Dezavantaj → punct slab</v>
      </c>
    </row>
    <row r="6" spans="2:9" x14ac:dyDescent="0.2">
      <c r="B6" s="16" t="s">
        <v>77</v>
      </c>
      <c r="C6" s="17">
        <v>0.2</v>
      </c>
      <c r="D6" s="18">
        <v>5</v>
      </c>
      <c r="E6" s="18">
        <v>3</v>
      </c>
      <c r="F6" s="18">
        <v>2</v>
      </c>
      <c r="G6" s="18">
        <v>4</v>
      </c>
      <c r="H6" s="19">
        <f t="shared" si="0"/>
        <v>4</v>
      </c>
      <c r="I6" s="8" t="str">
        <f t="shared" si="1"/>
        <v>Avantaj → punct tare</v>
      </c>
    </row>
    <row r="7" spans="2:9" x14ac:dyDescent="0.2">
      <c r="B7" s="16" t="s">
        <v>78</v>
      </c>
      <c r="C7" s="17">
        <v>0.15</v>
      </c>
      <c r="D7" s="18">
        <v>5</v>
      </c>
      <c r="E7" s="18">
        <v>3</v>
      </c>
      <c r="F7" s="18">
        <v>3</v>
      </c>
      <c r="G7" s="18">
        <v>4</v>
      </c>
      <c r="H7" s="19">
        <f t="shared" si="0"/>
        <v>4</v>
      </c>
      <c r="I7" s="8" t="str">
        <f t="shared" si="1"/>
        <v>Avantaj → punct tare</v>
      </c>
    </row>
    <row r="8" spans="2:9" x14ac:dyDescent="0.2">
      <c r="B8" s="16" t="s">
        <v>79</v>
      </c>
      <c r="C8" s="17">
        <v>0.15</v>
      </c>
      <c r="D8" s="18">
        <v>4</v>
      </c>
      <c r="E8" s="18">
        <v>3</v>
      </c>
      <c r="F8" s="18">
        <v>2</v>
      </c>
      <c r="G8" s="18">
        <v>5</v>
      </c>
      <c r="H8" s="19">
        <f t="shared" si="0"/>
        <v>5</v>
      </c>
      <c r="I8" s="8" t="str">
        <f t="shared" si="1"/>
        <v>Dezavantaj → punct slab</v>
      </c>
    </row>
    <row r="9" spans="2:9" x14ac:dyDescent="0.2">
      <c r="B9" s="16" t="s">
        <v>80</v>
      </c>
      <c r="C9" s="17">
        <v>0.1</v>
      </c>
      <c r="D9" s="18">
        <v>1</v>
      </c>
      <c r="E9" s="18">
        <v>4</v>
      </c>
      <c r="F9" s="18">
        <v>5</v>
      </c>
      <c r="G9" s="18">
        <v>3</v>
      </c>
      <c r="H9" s="19">
        <f t="shared" si="0"/>
        <v>5</v>
      </c>
      <c r="I9" s="8" t="str">
        <f t="shared" si="1"/>
        <v>Dezavantaj → punct slab</v>
      </c>
    </row>
    <row r="10" spans="2:9" x14ac:dyDescent="0.2">
      <c r="B10" s="16" t="s">
        <v>81</v>
      </c>
      <c r="C10" s="17">
        <v>0.1</v>
      </c>
      <c r="D10" s="18">
        <v>4</v>
      </c>
      <c r="E10" s="18">
        <v>3</v>
      </c>
      <c r="F10" s="18">
        <v>2</v>
      </c>
      <c r="G10" s="18">
        <v>4</v>
      </c>
      <c r="H10" s="19">
        <f t="shared" si="0"/>
        <v>4</v>
      </c>
      <c r="I10" s="8" t="str">
        <f t="shared" si="1"/>
        <v>La egalitate</v>
      </c>
    </row>
    <row r="11" spans="2:9" x14ac:dyDescent="0.2">
      <c r="B11" s="16" t="s">
        <v>82</v>
      </c>
      <c r="C11" s="17">
        <v>0.05</v>
      </c>
      <c r="D11" s="18">
        <v>5</v>
      </c>
      <c r="E11" s="18">
        <v>3</v>
      </c>
      <c r="F11" s="18">
        <v>3</v>
      </c>
      <c r="G11" s="18">
        <v>4</v>
      </c>
      <c r="H11" s="19">
        <f t="shared" si="0"/>
        <v>4</v>
      </c>
      <c r="I11" s="8" t="str">
        <f t="shared" si="1"/>
        <v>Avantaj → punct tare</v>
      </c>
    </row>
    <row r="12" spans="2:9" x14ac:dyDescent="0.2">
      <c r="B12" s="16"/>
      <c r="C12" s="17"/>
      <c r="D12" s="18"/>
      <c r="E12" s="18"/>
      <c r="F12" s="18"/>
      <c r="G12" s="18"/>
      <c r="H12" s="19" t="str">
        <f t="shared" si="0"/>
        <v/>
      </c>
      <c r="I12" s="8" t="str">
        <f t="shared" si="1"/>
        <v/>
      </c>
    </row>
    <row r="13" spans="2:9" x14ac:dyDescent="0.2">
      <c r="B13" s="16"/>
      <c r="C13" s="17"/>
      <c r="D13" s="18"/>
      <c r="E13" s="18"/>
      <c r="F13" s="18"/>
      <c r="G13" s="18"/>
      <c r="H13" s="19" t="str">
        <f t="shared" si="0"/>
        <v/>
      </c>
      <c r="I13" s="8" t="str">
        <f t="shared" si="1"/>
        <v/>
      </c>
    </row>
    <row r="14" spans="2:9" x14ac:dyDescent="0.2">
      <c r="B14" s="16"/>
      <c r="C14" s="17"/>
      <c r="D14" s="18"/>
      <c r="E14" s="18"/>
      <c r="F14" s="18"/>
      <c r="G14" s="18"/>
      <c r="H14" s="19" t="str">
        <f t="shared" si="0"/>
        <v/>
      </c>
      <c r="I14" s="8" t="str">
        <f t="shared" si="1"/>
        <v/>
      </c>
    </row>
    <row r="15" spans="2:9" x14ac:dyDescent="0.2">
      <c r="B15" s="20" t="s">
        <v>83</v>
      </c>
      <c r="C15" s="21">
        <f>SUM(C5:C14)</f>
        <v>1</v>
      </c>
      <c r="D15" s="22">
        <f>SUMPRODUCT($C$5:$C$14,D5:D14)</f>
        <v>3.85</v>
      </c>
      <c r="E15" s="22">
        <f>SUMPRODUCT($C$5:$C$14,E5:E14)</f>
        <v>3.35</v>
      </c>
      <c r="F15" s="22">
        <f>SUMPRODUCT($C$5:$C$14,F5:F14)</f>
        <v>3.2499999999999996</v>
      </c>
      <c r="G15" s="22">
        <f>SUMPRODUCT($C$5:$C$14,G5:G14)</f>
        <v>3.8000000000000003</v>
      </c>
      <c r="H15" s="23"/>
      <c r="I15" s="20" t="str">
        <f>IF(ROUND(C15,4)&lt;&gt;1,"Ponderile trebuie să însumeze 100%.",IF(D15&gt;=MAX(E15:G15),"Ești pe primul loc la scorul ponderat.","Ești pe locul "&amp;(1+COUNTIF(E15:G15,"&gt;"&amp;D15))&amp;" din 4."))</f>
        <v>Ești pe primul loc la scorul ponderat.</v>
      </c>
    </row>
    <row r="1000" spans="702:702" ht="15" x14ac:dyDescent="0.25">
      <c r="ZZ1000"/>
    </row>
  </sheetData>
  <conditionalFormatting sqref="D5:G1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14">
    <cfRule type="expression" dxfId="2" priority="1" stopIfTrue="1">
      <formula>LEFT($I5,7)="Avantaj"</formula>
    </cfRule>
    <cfRule type="expression" dxfId="1" priority="2" stopIfTrue="1">
      <formula>LEFT($I5,10)="Dezavantaj"</formula>
    </cfRule>
  </conditionalFormatting>
  <dataValidations count="1">
    <dataValidation type="list" allowBlank="1" showInputMessage="1" showErrorMessage="1" sqref="D5:G14" xr:uid="{3652DC88-5A81-44A3-84B1-E4B8ACC583ED}">
      <formula1>ListaNota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B585-B681-4F1F-B71A-41263D36693F}">
  <dimension ref="B1:M6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22.7109375" style="1" customWidth="1"/>
    <col min="4" max="4" width="10.7109375" style="1" customWidth="1"/>
    <col min="5" max="5" width="36.7109375" style="1" customWidth="1"/>
    <col min="6" max="6" width="14.7109375" style="1" customWidth="1"/>
    <col min="7" max="7" width="11.7109375" style="1" customWidth="1"/>
    <col min="8" max="8" width="22.7109375" style="1" customWidth="1"/>
    <col min="9" max="9" width="9.7109375" style="1" customWidth="1"/>
    <col min="10" max="10" width="8.7109375" style="1" customWidth="1"/>
    <col min="11" max="11" width="9.7109375" style="1" customWidth="1"/>
    <col min="12" max="12" width="11.7109375" style="1" customWidth="1"/>
    <col min="13" max="13" width="28.7109375" style="1" customWidth="1"/>
    <col min="14" max="16384" width="11.42578125" style="1"/>
  </cols>
  <sheetData>
    <row r="1" spans="2:13" ht="21" x14ac:dyDescent="0.35">
      <c r="B1" s="2" t="s">
        <v>84</v>
      </c>
    </row>
    <row r="2" spans="2:13" x14ac:dyDescent="0.2">
      <c r="B2" s="3" t="s">
        <v>85</v>
      </c>
    </row>
    <row r="4" spans="2:13" ht="30" customHeight="1" x14ac:dyDescent="0.2">
      <c r="B4" s="7" t="s">
        <v>86</v>
      </c>
      <c r="C4" s="7" t="s">
        <v>87</v>
      </c>
      <c r="D4" s="7" t="s">
        <v>88</v>
      </c>
      <c r="E4" s="7" t="s">
        <v>89</v>
      </c>
      <c r="F4" s="7" t="s">
        <v>90</v>
      </c>
      <c r="G4" s="7" t="s">
        <v>91</v>
      </c>
      <c r="H4" s="7" t="s">
        <v>92</v>
      </c>
      <c r="I4" s="7" t="s">
        <v>93</v>
      </c>
      <c r="J4" s="7" t="s">
        <v>94</v>
      </c>
      <c r="K4" s="7" t="s">
        <v>95</v>
      </c>
      <c r="L4" s="7" t="s">
        <v>21</v>
      </c>
      <c r="M4" s="7" t="s">
        <v>41</v>
      </c>
    </row>
    <row r="5" spans="2:13" ht="25.5" x14ac:dyDescent="0.2">
      <c r="B5" s="24">
        <f>IF(E5="","",COUNTA($E$5:E5))</f>
        <v>1</v>
      </c>
      <c r="C5" s="11" t="s">
        <v>17</v>
      </c>
      <c r="D5" s="25" t="s">
        <v>96</v>
      </c>
      <c r="E5" s="11" t="s">
        <v>97</v>
      </c>
      <c r="F5" s="11" t="s">
        <v>98</v>
      </c>
      <c r="G5" s="26">
        <f>DATE(2027,3,31)</f>
        <v>46477</v>
      </c>
      <c r="H5" s="11" t="s">
        <v>99</v>
      </c>
      <c r="I5" s="12">
        <v>2</v>
      </c>
      <c r="J5" s="12">
        <v>10</v>
      </c>
      <c r="K5" s="27">
        <f t="shared" ref="K5:K36" si="0">IF(OR(NOT(ISNUMBER(I5)),NOT(ISNUMBER(J5))),"",J5-I5)</f>
        <v>8</v>
      </c>
      <c r="L5" s="12" t="s">
        <v>23</v>
      </c>
      <c r="M5" s="14" t="str">
        <f>IF(E5="","",TRIM(IF(H5="","Adaugă un indicator măsurabil. ",IF(OR(NOT(ISNUMBER(I5)),NOT(ISNUMBER(J5))),"Completează valoarea actuală și ținta. ",""))&amp;IF(F5="","Fără responsabil. ","")&amp;IF(NOT(ISNUMBER(G5)),"Fără termen. ",IF(AND(G5&lt;DataA,L5&lt;&gt;"Realizat",L5&lt;&gt;"Abandonat"),"Termen depășit. ",""))&amp;IF(D5="","Leagă acțiunea de factorii din analiză. ",IF(ISNUMBER(MATCH(TRIM(LEFT(SUBSTITUTE(D5,",",REPT(" ",50)),50)),Factori!$B$5:$B$204,0)),"","Codul "&amp;TRIM(LEFT(SUBSTITUTE(D5,",",REPT(" ",50)),50))&amp;" nu există în Factori. "))))</f>
        <v/>
      </c>
    </row>
    <row r="6" spans="2:13" ht="38.25" x14ac:dyDescent="0.2">
      <c r="B6" s="24">
        <f>IF(E6="","",COUNTA($E$5:E6))</f>
        <v>2</v>
      </c>
      <c r="C6" s="11" t="s">
        <v>18</v>
      </c>
      <c r="D6" s="25" t="s">
        <v>100</v>
      </c>
      <c r="E6" s="11" t="s">
        <v>101</v>
      </c>
      <c r="F6" s="11" t="s">
        <v>102</v>
      </c>
      <c r="G6" s="26">
        <f>DATE(2026,12,31)</f>
        <v>46387</v>
      </c>
      <c r="H6" s="11" t="s">
        <v>103</v>
      </c>
      <c r="I6" s="12">
        <v>0</v>
      </c>
      <c r="J6" s="12">
        <v>8</v>
      </c>
      <c r="K6" s="27">
        <f t="shared" si="0"/>
        <v>8</v>
      </c>
      <c r="L6" s="12" t="s">
        <v>22</v>
      </c>
      <c r="M6" s="14" t="str">
        <f>IF(E6="","",TRIM(IF(H6="","Adaugă un indicator măsurabil. ",IF(OR(NOT(ISNUMBER(I6)),NOT(ISNUMBER(J6))),"Completează valoarea actuală și ținta. ",""))&amp;IF(F6="","Fără responsabil. ","")&amp;IF(NOT(ISNUMBER(G6)),"Fără termen. ",IF(AND(G6&lt;DataA,L6&lt;&gt;"Realizat",L6&lt;&gt;"Abandonat"),"Termen depășit. ",""))&amp;IF(D6="","Leagă acțiunea de factorii din analiză. ",IF(ISNUMBER(MATCH(TRIM(LEFT(SUBSTITUTE(D6,",",REPT(" ",50)),50)),Factori!$B$5:$B$204,0)),"","Codul "&amp;TRIM(LEFT(SUBSTITUTE(D6,",",REPT(" ",50)),50))&amp;" nu există în Factori. "))))</f>
        <v/>
      </c>
    </row>
    <row r="7" spans="2:13" ht="25.5" x14ac:dyDescent="0.2">
      <c r="B7" s="24">
        <f>IF(E7="","",COUNTA($E$5:E7))</f>
        <v>3</v>
      </c>
      <c r="C7" s="11" t="s">
        <v>19</v>
      </c>
      <c r="D7" s="25" t="s">
        <v>104</v>
      </c>
      <c r="E7" s="11" t="s">
        <v>105</v>
      </c>
      <c r="F7" s="11" t="s">
        <v>106</v>
      </c>
      <c r="G7" s="26">
        <f>DATE(2026,11,30)</f>
        <v>46356</v>
      </c>
      <c r="H7" s="11" t="s">
        <v>107</v>
      </c>
      <c r="I7" s="12">
        <v>12</v>
      </c>
      <c r="J7" s="12">
        <v>5</v>
      </c>
      <c r="K7" s="27">
        <f t="shared" si="0"/>
        <v>-7</v>
      </c>
      <c r="L7" s="12" t="s">
        <v>23</v>
      </c>
      <c r="M7" s="14" t="str">
        <f>IF(E7="","",TRIM(IF(H7="","Adaugă un indicator măsurabil. ",IF(OR(NOT(ISNUMBER(I7)),NOT(ISNUMBER(J7))),"Completează valoarea actuală și ținta. ",""))&amp;IF(F7="","Fără responsabil. ","")&amp;IF(NOT(ISNUMBER(G7)),"Fără termen. ",IF(AND(G7&lt;DataA,L7&lt;&gt;"Realizat",L7&lt;&gt;"Abandonat"),"Termen depășit. ",""))&amp;IF(D7="","Leagă acțiunea de factorii din analiză. ",IF(ISNUMBER(MATCH(TRIM(LEFT(SUBSTITUTE(D7,",",REPT(" ",50)),50)),Factori!$B$5:$B$204,0)),"","Codul "&amp;TRIM(LEFT(SUBSTITUTE(D7,",",REPT(" ",50)),50))&amp;" nu există în Factori. "))))</f>
        <v/>
      </c>
    </row>
    <row r="8" spans="2:13" ht="38.25" x14ac:dyDescent="0.2">
      <c r="B8" s="24">
        <f>IF(E8="","",COUNTA($E$5:E8))</f>
        <v>4</v>
      </c>
      <c r="C8" s="11" t="s">
        <v>20</v>
      </c>
      <c r="D8" s="25" t="s">
        <v>108</v>
      </c>
      <c r="E8" s="11" t="s">
        <v>109</v>
      </c>
      <c r="F8" s="11" t="s">
        <v>98</v>
      </c>
      <c r="G8" s="26">
        <f>DATE(2027,6,30)</f>
        <v>46568</v>
      </c>
      <c r="H8" s="11" t="s">
        <v>110</v>
      </c>
      <c r="I8" s="12">
        <v>58</v>
      </c>
      <c r="J8" s="12">
        <v>40</v>
      </c>
      <c r="K8" s="27">
        <f t="shared" si="0"/>
        <v>-18</v>
      </c>
      <c r="L8" s="12" t="s">
        <v>22</v>
      </c>
      <c r="M8" s="14" t="str">
        <f>IF(E8="","",TRIM(IF(H8="","Adaugă un indicator măsurabil. ",IF(OR(NOT(ISNUMBER(I8)),NOT(ISNUMBER(J8))),"Completează valoarea actuală și ținta. ",""))&amp;IF(F8="","Fără responsabil. ","")&amp;IF(NOT(ISNUMBER(G8)),"Fără termen. ",IF(AND(G8&lt;DataA,L8&lt;&gt;"Realizat",L8&lt;&gt;"Abandonat"),"Termen depășit. ",""))&amp;IF(D8="","Leagă acțiunea de factorii din analiză. ",IF(ISNUMBER(MATCH(TRIM(LEFT(SUBSTITUTE(D8,",",REPT(" ",50)),50)),Factori!$B$5:$B$204,0)),"","Codul "&amp;TRIM(LEFT(SUBSTITUTE(D8,",",REPT(" ",50)),50))&amp;" nu există în Factori. "))))</f>
        <v/>
      </c>
    </row>
    <row r="9" spans="2:13" ht="25.5" x14ac:dyDescent="0.2">
      <c r="B9" s="24">
        <f>IF(E9="","",COUNTA($E$5:E9))</f>
        <v>5</v>
      </c>
      <c r="C9" s="11" t="s">
        <v>20</v>
      </c>
      <c r="D9" s="25" t="s">
        <v>111</v>
      </c>
      <c r="E9" s="11" t="s">
        <v>112</v>
      </c>
      <c r="F9" s="11" t="s">
        <v>113</v>
      </c>
      <c r="G9" s="26">
        <f>DATE(2027,2,28)</f>
        <v>46446</v>
      </c>
      <c r="H9" s="11"/>
      <c r="I9" s="12"/>
      <c r="J9" s="12"/>
      <c r="K9" s="27" t="str">
        <f t="shared" si="0"/>
        <v/>
      </c>
      <c r="L9" s="12" t="s">
        <v>22</v>
      </c>
      <c r="M9" s="14" t="str">
        <f>IF(E9="","",TRIM(IF(H9="","Adaugă un indicator măsurabil. ",IF(OR(NOT(ISNUMBER(I9)),NOT(ISNUMBER(J9))),"Completează valoarea actuală și ținta. ",""))&amp;IF(F9="","Fără responsabil. ","")&amp;IF(NOT(ISNUMBER(G9)),"Fără termen. ",IF(AND(G9&lt;DataA,L9&lt;&gt;"Realizat",L9&lt;&gt;"Abandonat"),"Termen depășit. ",""))&amp;IF(D9="","Leagă acțiunea de factorii din analiză. ",IF(ISNUMBER(MATCH(TRIM(LEFT(SUBSTITUTE(D9,",",REPT(" ",50)),50)),Factori!$B$5:$B$204,0)),"","Codul "&amp;TRIM(LEFT(SUBSTITUTE(D9,",",REPT(" ",50)),50))&amp;" nu există în Factori. "))))</f>
        <v>Adaugă un indicator măsurabil.</v>
      </c>
    </row>
    <row r="10" spans="2:13" x14ac:dyDescent="0.2">
      <c r="B10" s="24" t="str">
        <f>IF(E10="","",COUNTA($E$5:E10))</f>
        <v/>
      </c>
      <c r="C10" s="11"/>
      <c r="D10" s="25"/>
      <c r="E10" s="11"/>
      <c r="F10" s="11"/>
      <c r="G10" s="26"/>
      <c r="H10" s="11"/>
      <c r="I10" s="12"/>
      <c r="J10" s="12"/>
      <c r="K10" s="27" t="str">
        <f t="shared" si="0"/>
        <v/>
      </c>
      <c r="L10" s="12"/>
      <c r="M10" s="14" t="str">
        <f>IF(E10="","",TRIM(IF(H10="","Adaugă un indicator măsurabil. ",IF(OR(NOT(ISNUMBER(I10)),NOT(ISNUMBER(J10))),"Completează valoarea actuală și ținta. ",""))&amp;IF(F10="","Fără responsabil. ","")&amp;IF(NOT(ISNUMBER(G10)),"Fără termen. ",IF(AND(G10&lt;DataA,L10&lt;&gt;"Realizat",L10&lt;&gt;"Abandonat"),"Termen depășit. ",""))&amp;IF(D10="","Leagă acțiunea de factorii din analiză. ",IF(ISNUMBER(MATCH(TRIM(LEFT(SUBSTITUTE(D10,",",REPT(" ",50)),50)),Factori!$B$5:$B$204,0)),"","Codul "&amp;TRIM(LEFT(SUBSTITUTE(D10,",",REPT(" ",50)),50))&amp;" nu există în Factori. "))))</f>
        <v/>
      </c>
    </row>
    <row r="11" spans="2:13" x14ac:dyDescent="0.2">
      <c r="B11" s="24" t="str">
        <f>IF(E11="","",COUNTA($E$5:E11))</f>
        <v/>
      </c>
      <c r="C11" s="11"/>
      <c r="D11" s="25"/>
      <c r="E11" s="11"/>
      <c r="F11" s="11"/>
      <c r="G11" s="26"/>
      <c r="H11" s="11"/>
      <c r="I11" s="12"/>
      <c r="J11" s="12"/>
      <c r="K11" s="27" t="str">
        <f t="shared" si="0"/>
        <v/>
      </c>
      <c r="L11" s="12"/>
      <c r="M11" s="14" t="str">
        <f>IF(E11="","",TRIM(IF(H11="","Adaugă un indicator măsurabil. ",IF(OR(NOT(ISNUMBER(I11)),NOT(ISNUMBER(J11))),"Completează valoarea actuală și ținta. ",""))&amp;IF(F11="","Fără responsabil. ","")&amp;IF(NOT(ISNUMBER(G11)),"Fără termen. ",IF(AND(G11&lt;DataA,L11&lt;&gt;"Realizat",L11&lt;&gt;"Abandonat"),"Termen depășit. ",""))&amp;IF(D11="","Leagă acțiunea de factorii din analiză. ",IF(ISNUMBER(MATCH(TRIM(LEFT(SUBSTITUTE(D11,",",REPT(" ",50)),50)),Factori!$B$5:$B$204,0)),"","Codul "&amp;TRIM(LEFT(SUBSTITUTE(D11,",",REPT(" ",50)),50))&amp;" nu există în Factori. "))))</f>
        <v/>
      </c>
    </row>
    <row r="12" spans="2:13" x14ac:dyDescent="0.2">
      <c r="B12" s="24" t="str">
        <f>IF(E12="","",COUNTA($E$5:E12))</f>
        <v/>
      </c>
      <c r="C12" s="11"/>
      <c r="D12" s="25"/>
      <c r="E12" s="11"/>
      <c r="F12" s="11"/>
      <c r="G12" s="26"/>
      <c r="H12" s="11"/>
      <c r="I12" s="12"/>
      <c r="J12" s="12"/>
      <c r="K12" s="27" t="str">
        <f t="shared" si="0"/>
        <v/>
      </c>
      <c r="L12" s="12"/>
      <c r="M12" s="14" t="str">
        <f>IF(E12="","",TRIM(IF(H12="","Adaugă un indicator măsurabil. ",IF(OR(NOT(ISNUMBER(I12)),NOT(ISNUMBER(J12))),"Completează valoarea actuală și ținta. ",""))&amp;IF(F12="","Fără responsabil. ","")&amp;IF(NOT(ISNUMBER(G12)),"Fără termen. ",IF(AND(G12&lt;DataA,L12&lt;&gt;"Realizat",L12&lt;&gt;"Abandonat"),"Termen depășit. ",""))&amp;IF(D12="","Leagă acțiunea de factorii din analiză. ",IF(ISNUMBER(MATCH(TRIM(LEFT(SUBSTITUTE(D12,",",REPT(" ",50)),50)),Factori!$B$5:$B$204,0)),"","Codul "&amp;TRIM(LEFT(SUBSTITUTE(D12,",",REPT(" ",50)),50))&amp;" nu există în Factori. "))))</f>
        <v/>
      </c>
    </row>
    <row r="13" spans="2:13" x14ac:dyDescent="0.2">
      <c r="B13" s="24" t="str">
        <f>IF(E13="","",COUNTA($E$5:E13))</f>
        <v/>
      </c>
      <c r="C13" s="11"/>
      <c r="D13" s="25"/>
      <c r="E13" s="11"/>
      <c r="F13" s="11"/>
      <c r="G13" s="26"/>
      <c r="H13" s="11"/>
      <c r="I13" s="12"/>
      <c r="J13" s="12"/>
      <c r="K13" s="27" t="str">
        <f t="shared" si="0"/>
        <v/>
      </c>
      <c r="L13" s="12"/>
      <c r="M13" s="14" t="str">
        <f>IF(E13="","",TRIM(IF(H13="","Adaugă un indicator măsurabil. ",IF(OR(NOT(ISNUMBER(I13)),NOT(ISNUMBER(J13))),"Completează valoarea actuală și ținta. ",""))&amp;IF(F13="","Fără responsabil. ","")&amp;IF(NOT(ISNUMBER(G13)),"Fără termen. ",IF(AND(G13&lt;DataA,L13&lt;&gt;"Realizat",L13&lt;&gt;"Abandonat"),"Termen depășit. ",""))&amp;IF(D13="","Leagă acțiunea de factorii din analiză. ",IF(ISNUMBER(MATCH(TRIM(LEFT(SUBSTITUTE(D13,",",REPT(" ",50)),50)),Factori!$B$5:$B$204,0)),"","Codul "&amp;TRIM(LEFT(SUBSTITUTE(D13,",",REPT(" ",50)),50))&amp;" nu există în Factori. "))))</f>
        <v/>
      </c>
    </row>
    <row r="14" spans="2:13" x14ac:dyDescent="0.2">
      <c r="B14" s="24" t="str">
        <f>IF(E14="","",COUNTA($E$5:E14))</f>
        <v/>
      </c>
      <c r="C14" s="11"/>
      <c r="D14" s="25"/>
      <c r="E14" s="11"/>
      <c r="F14" s="11"/>
      <c r="G14" s="26"/>
      <c r="H14" s="11"/>
      <c r="I14" s="12"/>
      <c r="J14" s="12"/>
      <c r="K14" s="27" t="str">
        <f t="shared" si="0"/>
        <v/>
      </c>
      <c r="L14" s="12"/>
      <c r="M14" s="14" t="str">
        <f>IF(E14="","",TRIM(IF(H14="","Adaugă un indicator măsurabil. ",IF(OR(NOT(ISNUMBER(I14)),NOT(ISNUMBER(J14))),"Completează valoarea actuală și ținta. ",""))&amp;IF(F14="","Fără responsabil. ","")&amp;IF(NOT(ISNUMBER(G14)),"Fără termen. ",IF(AND(G14&lt;DataA,L14&lt;&gt;"Realizat",L14&lt;&gt;"Abandonat"),"Termen depășit. ",""))&amp;IF(D14="","Leagă acțiunea de factorii din analiză. ",IF(ISNUMBER(MATCH(TRIM(LEFT(SUBSTITUTE(D14,",",REPT(" ",50)),50)),Factori!$B$5:$B$204,0)),"","Codul "&amp;TRIM(LEFT(SUBSTITUTE(D14,",",REPT(" ",50)),50))&amp;" nu există în Factori. "))))</f>
        <v/>
      </c>
    </row>
    <row r="15" spans="2:13" x14ac:dyDescent="0.2">
      <c r="B15" s="24" t="str">
        <f>IF(E15="","",COUNTA($E$5:E15))</f>
        <v/>
      </c>
      <c r="C15" s="11"/>
      <c r="D15" s="25"/>
      <c r="E15" s="11"/>
      <c r="F15" s="11"/>
      <c r="G15" s="26"/>
      <c r="H15" s="11"/>
      <c r="I15" s="12"/>
      <c r="J15" s="12"/>
      <c r="K15" s="27" t="str">
        <f t="shared" si="0"/>
        <v/>
      </c>
      <c r="L15" s="12"/>
      <c r="M15" s="14" t="str">
        <f>IF(E15="","",TRIM(IF(H15="","Adaugă un indicator măsurabil. ",IF(OR(NOT(ISNUMBER(I15)),NOT(ISNUMBER(J15))),"Completează valoarea actuală și ținta. ",""))&amp;IF(F15="","Fără responsabil. ","")&amp;IF(NOT(ISNUMBER(G15)),"Fără termen. ",IF(AND(G15&lt;DataA,L15&lt;&gt;"Realizat",L15&lt;&gt;"Abandonat"),"Termen depășit. ",""))&amp;IF(D15="","Leagă acțiunea de factorii din analiză. ",IF(ISNUMBER(MATCH(TRIM(LEFT(SUBSTITUTE(D15,",",REPT(" ",50)),50)),Factori!$B$5:$B$204,0)),"","Codul "&amp;TRIM(LEFT(SUBSTITUTE(D15,",",REPT(" ",50)),50))&amp;" nu există în Factori. "))))</f>
        <v/>
      </c>
    </row>
    <row r="16" spans="2:13" x14ac:dyDescent="0.2">
      <c r="B16" s="24" t="str">
        <f>IF(E16="","",COUNTA($E$5:E16))</f>
        <v/>
      </c>
      <c r="C16" s="11"/>
      <c r="D16" s="25"/>
      <c r="E16" s="11"/>
      <c r="F16" s="11"/>
      <c r="G16" s="26"/>
      <c r="H16" s="11"/>
      <c r="I16" s="12"/>
      <c r="J16" s="12"/>
      <c r="K16" s="27" t="str">
        <f t="shared" si="0"/>
        <v/>
      </c>
      <c r="L16" s="12"/>
      <c r="M16" s="14" t="str">
        <f>IF(E16="","",TRIM(IF(H16="","Adaugă un indicator măsurabil. ",IF(OR(NOT(ISNUMBER(I16)),NOT(ISNUMBER(J16))),"Completează valoarea actuală și ținta. ",""))&amp;IF(F16="","Fără responsabil. ","")&amp;IF(NOT(ISNUMBER(G16)),"Fără termen. ",IF(AND(G16&lt;DataA,L16&lt;&gt;"Realizat",L16&lt;&gt;"Abandonat"),"Termen depășit. ",""))&amp;IF(D16="","Leagă acțiunea de factorii din analiză. ",IF(ISNUMBER(MATCH(TRIM(LEFT(SUBSTITUTE(D16,",",REPT(" ",50)),50)),Factori!$B$5:$B$204,0)),"","Codul "&amp;TRIM(LEFT(SUBSTITUTE(D16,",",REPT(" ",50)),50))&amp;" nu există în Factori. "))))</f>
        <v/>
      </c>
    </row>
    <row r="17" spans="2:13" x14ac:dyDescent="0.2">
      <c r="B17" s="24" t="str">
        <f>IF(E17="","",COUNTA($E$5:E17))</f>
        <v/>
      </c>
      <c r="C17" s="11"/>
      <c r="D17" s="25"/>
      <c r="E17" s="11"/>
      <c r="F17" s="11"/>
      <c r="G17" s="26"/>
      <c r="H17" s="11"/>
      <c r="I17" s="12"/>
      <c r="J17" s="12"/>
      <c r="K17" s="27" t="str">
        <f t="shared" si="0"/>
        <v/>
      </c>
      <c r="L17" s="12"/>
      <c r="M17" s="14" t="str">
        <f>IF(E17="","",TRIM(IF(H17="","Adaugă un indicator măsurabil. ",IF(OR(NOT(ISNUMBER(I17)),NOT(ISNUMBER(J17))),"Completează valoarea actuală și ținta. ",""))&amp;IF(F17="","Fără responsabil. ","")&amp;IF(NOT(ISNUMBER(G17)),"Fără termen. ",IF(AND(G17&lt;DataA,L17&lt;&gt;"Realizat",L17&lt;&gt;"Abandonat"),"Termen depășit. ",""))&amp;IF(D17="","Leagă acțiunea de factorii din analiză. ",IF(ISNUMBER(MATCH(TRIM(LEFT(SUBSTITUTE(D17,",",REPT(" ",50)),50)),Factori!$B$5:$B$204,0)),"","Codul "&amp;TRIM(LEFT(SUBSTITUTE(D17,",",REPT(" ",50)),50))&amp;" nu există în Factori. "))))</f>
        <v/>
      </c>
    </row>
    <row r="18" spans="2:13" x14ac:dyDescent="0.2">
      <c r="B18" s="24" t="str">
        <f>IF(E18="","",COUNTA($E$5:E18))</f>
        <v/>
      </c>
      <c r="C18" s="11"/>
      <c r="D18" s="25"/>
      <c r="E18" s="11"/>
      <c r="F18" s="11"/>
      <c r="G18" s="26"/>
      <c r="H18" s="11"/>
      <c r="I18" s="12"/>
      <c r="J18" s="12"/>
      <c r="K18" s="27" t="str">
        <f t="shared" si="0"/>
        <v/>
      </c>
      <c r="L18" s="12"/>
      <c r="M18" s="14" t="str">
        <f>IF(E18="","",TRIM(IF(H18="","Adaugă un indicator măsurabil. ",IF(OR(NOT(ISNUMBER(I18)),NOT(ISNUMBER(J18))),"Completează valoarea actuală și ținta. ",""))&amp;IF(F18="","Fără responsabil. ","")&amp;IF(NOT(ISNUMBER(G18)),"Fără termen. ",IF(AND(G18&lt;DataA,L18&lt;&gt;"Realizat",L18&lt;&gt;"Abandonat"),"Termen depășit. ",""))&amp;IF(D18="","Leagă acțiunea de factorii din analiză. ",IF(ISNUMBER(MATCH(TRIM(LEFT(SUBSTITUTE(D18,",",REPT(" ",50)),50)),Factori!$B$5:$B$204,0)),"","Codul "&amp;TRIM(LEFT(SUBSTITUTE(D18,",",REPT(" ",50)),50))&amp;" nu există în Factori. "))))</f>
        <v/>
      </c>
    </row>
    <row r="19" spans="2:13" x14ac:dyDescent="0.2">
      <c r="B19" s="24" t="str">
        <f>IF(E19="","",COUNTA($E$5:E19))</f>
        <v/>
      </c>
      <c r="C19" s="11"/>
      <c r="D19" s="25"/>
      <c r="E19" s="11"/>
      <c r="F19" s="11"/>
      <c r="G19" s="26"/>
      <c r="H19" s="11"/>
      <c r="I19" s="12"/>
      <c r="J19" s="12"/>
      <c r="K19" s="27" t="str">
        <f t="shared" si="0"/>
        <v/>
      </c>
      <c r="L19" s="12"/>
      <c r="M19" s="14" t="str">
        <f>IF(E19="","",TRIM(IF(H19="","Adaugă un indicator măsurabil. ",IF(OR(NOT(ISNUMBER(I19)),NOT(ISNUMBER(J19))),"Completează valoarea actuală și ținta. ",""))&amp;IF(F19="","Fără responsabil. ","")&amp;IF(NOT(ISNUMBER(G19)),"Fără termen. ",IF(AND(G19&lt;DataA,L19&lt;&gt;"Realizat",L19&lt;&gt;"Abandonat"),"Termen depășit. ",""))&amp;IF(D19="","Leagă acțiunea de factorii din analiză. ",IF(ISNUMBER(MATCH(TRIM(LEFT(SUBSTITUTE(D19,",",REPT(" ",50)),50)),Factori!$B$5:$B$204,0)),"","Codul "&amp;TRIM(LEFT(SUBSTITUTE(D19,",",REPT(" ",50)),50))&amp;" nu există în Factori. "))))</f>
        <v/>
      </c>
    </row>
    <row r="20" spans="2:13" x14ac:dyDescent="0.2">
      <c r="B20" s="24" t="str">
        <f>IF(E20="","",COUNTA($E$5:E20))</f>
        <v/>
      </c>
      <c r="C20" s="11"/>
      <c r="D20" s="25"/>
      <c r="E20" s="11"/>
      <c r="F20" s="11"/>
      <c r="G20" s="26"/>
      <c r="H20" s="11"/>
      <c r="I20" s="12"/>
      <c r="J20" s="12"/>
      <c r="K20" s="27" t="str">
        <f t="shared" si="0"/>
        <v/>
      </c>
      <c r="L20" s="12"/>
      <c r="M20" s="14" t="str">
        <f>IF(E20="","",TRIM(IF(H20="","Adaugă un indicator măsurabil. ",IF(OR(NOT(ISNUMBER(I20)),NOT(ISNUMBER(J20))),"Completează valoarea actuală și ținta. ",""))&amp;IF(F20="","Fără responsabil. ","")&amp;IF(NOT(ISNUMBER(G20)),"Fără termen. ",IF(AND(G20&lt;DataA,L20&lt;&gt;"Realizat",L20&lt;&gt;"Abandonat"),"Termen depășit. ",""))&amp;IF(D20="","Leagă acțiunea de factorii din analiză. ",IF(ISNUMBER(MATCH(TRIM(LEFT(SUBSTITUTE(D20,",",REPT(" ",50)),50)),Factori!$B$5:$B$204,0)),"","Codul "&amp;TRIM(LEFT(SUBSTITUTE(D20,",",REPT(" ",50)),50))&amp;" nu există în Factori. "))))</f>
        <v/>
      </c>
    </row>
    <row r="21" spans="2:13" x14ac:dyDescent="0.2">
      <c r="B21" s="24" t="str">
        <f>IF(E21="","",COUNTA($E$5:E21))</f>
        <v/>
      </c>
      <c r="C21" s="11"/>
      <c r="D21" s="25"/>
      <c r="E21" s="11"/>
      <c r="F21" s="11"/>
      <c r="G21" s="26"/>
      <c r="H21" s="11"/>
      <c r="I21" s="12"/>
      <c r="J21" s="12"/>
      <c r="K21" s="27" t="str">
        <f t="shared" si="0"/>
        <v/>
      </c>
      <c r="L21" s="12"/>
      <c r="M21" s="14" t="str">
        <f>IF(E21="","",TRIM(IF(H21="","Adaugă un indicator măsurabil. ",IF(OR(NOT(ISNUMBER(I21)),NOT(ISNUMBER(J21))),"Completează valoarea actuală și ținta. ",""))&amp;IF(F21="","Fără responsabil. ","")&amp;IF(NOT(ISNUMBER(G21)),"Fără termen. ",IF(AND(G21&lt;DataA,L21&lt;&gt;"Realizat",L21&lt;&gt;"Abandonat"),"Termen depășit. ",""))&amp;IF(D21="","Leagă acțiunea de factorii din analiză. ",IF(ISNUMBER(MATCH(TRIM(LEFT(SUBSTITUTE(D21,",",REPT(" ",50)),50)),Factori!$B$5:$B$204,0)),"","Codul "&amp;TRIM(LEFT(SUBSTITUTE(D21,",",REPT(" ",50)),50))&amp;" nu există în Factori. "))))</f>
        <v/>
      </c>
    </row>
    <row r="22" spans="2:13" x14ac:dyDescent="0.2">
      <c r="B22" s="24" t="str">
        <f>IF(E22="","",COUNTA($E$5:E22))</f>
        <v/>
      </c>
      <c r="C22" s="11"/>
      <c r="D22" s="25"/>
      <c r="E22" s="11"/>
      <c r="F22" s="11"/>
      <c r="G22" s="26"/>
      <c r="H22" s="11"/>
      <c r="I22" s="12"/>
      <c r="J22" s="12"/>
      <c r="K22" s="27" t="str">
        <f t="shared" si="0"/>
        <v/>
      </c>
      <c r="L22" s="12"/>
      <c r="M22" s="14" t="str">
        <f>IF(E22="","",TRIM(IF(H22="","Adaugă un indicator măsurabil. ",IF(OR(NOT(ISNUMBER(I22)),NOT(ISNUMBER(J22))),"Completează valoarea actuală și ținta. ",""))&amp;IF(F22="","Fără responsabil. ","")&amp;IF(NOT(ISNUMBER(G22)),"Fără termen. ",IF(AND(G22&lt;DataA,L22&lt;&gt;"Realizat",L22&lt;&gt;"Abandonat"),"Termen depășit. ",""))&amp;IF(D22="","Leagă acțiunea de factorii din analiză. ",IF(ISNUMBER(MATCH(TRIM(LEFT(SUBSTITUTE(D22,",",REPT(" ",50)),50)),Factori!$B$5:$B$204,0)),"","Codul "&amp;TRIM(LEFT(SUBSTITUTE(D22,",",REPT(" ",50)),50))&amp;" nu există în Factori. "))))</f>
        <v/>
      </c>
    </row>
    <row r="23" spans="2:13" x14ac:dyDescent="0.2">
      <c r="B23" s="24" t="str">
        <f>IF(E23="","",COUNTA($E$5:E23))</f>
        <v/>
      </c>
      <c r="C23" s="11"/>
      <c r="D23" s="25"/>
      <c r="E23" s="11"/>
      <c r="F23" s="11"/>
      <c r="G23" s="26"/>
      <c r="H23" s="11"/>
      <c r="I23" s="12"/>
      <c r="J23" s="12"/>
      <c r="K23" s="27" t="str">
        <f t="shared" si="0"/>
        <v/>
      </c>
      <c r="L23" s="12"/>
      <c r="M23" s="14" t="str">
        <f>IF(E23="","",TRIM(IF(H23="","Adaugă un indicator măsurabil. ",IF(OR(NOT(ISNUMBER(I23)),NOT(ISNUMBER(J23))),"Completează valoarea actuală și ținta. ",""))&amp;IF(F23="","Fără responsabil. ","")&amp;IF(NOT(ISNUMBER(G23)),"Fără termen. ",IF(AND(G23&lt;DataA,L23&lt;&gt;"Realizat",L23&lt;&gt;"Abandonat"),"Termen depășit. ",""))&amp;IF(D23="","Leagă acțiunea de factorii din analiză. ",IF(ISNUMBER(MATCH(TRIM(LEFT(SUBSTITUTE(D23,",",REPT(" ",50)),50)),Factori!$B$5:$B$204,0)),"","Codul "&amp;TRIM(LEFT(SUBSTITUTE(D23,",",REPT(" ",50)),50))&amp;" nu există în Factori. "))))</f>
        <v/>
      </c>
    </row>
    <row r="24" spans="2:13" x14ac:dyDescent="0.2">
      <c r="B24" s="24" t="str">
        <f>IF(E24="","",COUNTA($E$5:E24))</f>
        <v/>
      </c>
      <c r="C24" s="11"/>
      <c r="D24" s="25"/>
      <c r="E24" s="11"/>
      <c r="F24" s="11"/>
      <c r="G24" s="26"/>
      <c r="H24" s="11"/>
      <c r="I24" s="12"/>
      <c r="J24" s="12"/>
      <c r="K24" s="27" t="str">
        <f t="shared" si="0"/>
        <v/>
      </c>
      <c r="L24" s="12"/>
      <c r="M24" s="14" t="str">
        <f>IF(E24="","",TRIM(IF(H24="","Adaugă un indicator măsurabil. ",IF(OR(NOT(ISNUMBER(I24)),NOT(ISNUMBER(J24))),"Completează valoarea actuală și ținta. ",""))&amp;IF(F24="","Fără responsabil. ","")&amp;IF(NOT(ISNUMBER(G24)),"Fără termen. ",IF(AND(G24&lt;DataA,L24&lt;&gt;"Realizat",L24&lt;&gt;"Abandonat"),"Termen depășit. ",""))&amp;IF(D24="","Leagă acțiunea de factorii din analiză. ",IF(ISNUMBER(MATCH(TRIM(LEFT(SUBSTITUTE(D24,",",REPT(" ",50)),50)),Factori!$B$5:$B$204,0)),"","Codul "&amp;TRIM(LEFT(SUBSTITUTE(D24,",",REPT(" ",50)),50))&amp;" nu există în Factori. "))))</f>
        <v/>
      </c>
    </row>
    <row r="25" spans="2:13" x14ac:dyDescent="0.2">
      <c r="B25" s="24" t="str">
        <f>IF(E25="","",COUNTA($E$5:E25))</f>
        <v/>
      </c>
      <c r="C25" s="11"/>
      <c r="D25" s="25"/>
      <c r="E25" s="11"/>
      <c r="F25" s="11"/>
      <c r="G25" s="26"/>
      <c r="H25" s="11"/>
      <c r="I25" s="12"/>
      <c r="J25" s="12"/>
      <c r="K25" s="27" t="str">
        <f t="shared" si="0"/>
        <v/>
      </c>
      <c r="L25" s="12"/>
      <c r="M25" s="14" t="str">
        <f>IF(E25="","",TRIM(IF(H25="","Adaugă un indicator măsurabil. ",IF(OR(NOT(ISNUMBER(I25)),NOT(ISNUMBER(J25))),"Completează valoarea actuală și ținta. ",""))&amp;IF(F25="","Fără responsabil. ","")&amp;IF(NOT(ISNUMBER(G25)),"Fără termen. ",IF(AND(G25&lt;DataA,L25&lt;&gt;"Realizat",L25&lt;&gt;"Abandonat"),"Termen depășit. ",""))&amp;IF(D25="","Leagă acțiunea de factorii din analiză. ",IF(ISNUMBER(MATCH(TRIM(LEFT(SUBSTITUTE(D25,",",REPT(" ",50)),50)),Factori!$B$5:$B$204,0)),"","Codul "&amp;TRIM(LEFT(SUBSTITUTE(D25,",",REPT(" ",50)),50))&amp;" nu există în Factori. "))))</f>
        <v/>
      </c>
    </row>
    <row r="26" spans="2:13" x14ac:dyDescent="0.2">
      <c r="B26" s="24" t="str">
        <f>IF(E26="","",COUNTA($E$5:E26))</f>
        <v/>
      </c>
      <c r="C26" s="11"/>
      <c r="D26" s="25"/>
      <c r="E26" s="11"/>
      <c r="F26" s="11"/>
      <c r="G26" s="26"/>
      <c r="H26" s="11"/>
      <c r="I26" s="12"/>
      <c r="J26" s="12"/>
      <c r="K26" s="27" t="str">
        <f t="shared" si="0"/>
        <v/>
      </c>
      <c r="L26" s="12"/>
      <c r="M26" s="14" t="str">
        <f>IF(E26="","",TRIM(IF(H26="","Adaugă un indicator măsurabil. ",IF(OR(NOT(ISNUMBER(I26)),NOT(ISNUMBER(J26))),"Completează valoarea actuală și ținta. ",""))&amp;IF(F26="","Fără responsabil. ","")&amp;IF(NOT(ISNUMBER(G26)),"Fără termen. ",IF(AND(G26&lt;DataA,L26&lt;&gt;"Realizat",L26&lt;&gt;"Abandonat"),"Termen depășit. ",""))&amp;IF(D26="","Leagă acțiunea de factorii din analiză. ",IF(ISNUMBER(MATCH(TRIM(LEFT(SUBSTITUTE(D26,",",REPT(" ",50)),50)),Factori!$B$5:$B$204,0)),"","Codul "&amp;TRIM(LEFT(SUBSTITUTE(D26,",",REPT(" ",50)),50))&amp;" nu există în Factori. "))))</f>
        <v/>
      </c>
    </row>
    <row r="27" spans="2:13" x14ac:dyDescent="0.2">
      <c r="B27" s="24" t="str">
        <f>IF(E27="","",COUNTA($E$5:E27))</f>
        <v/>
      </c>
      <c r="C27" s="11"/>
      <c r="D27" s="25"/>
      <c r="E27" s="11"/>
      <c r="F27" s="11"/>
      <c r="G27" s="26"/>
      <c r="H27" s="11"/>
      <c r="I27" s="12"/>
      <c r="J27" s="12"/>
      <c r="K27" s="27" t="str">
        <f t="shared" si="0"/>
        <v/>
      </c>
      <c r="L27" s="12"/>
      <c r="M27" s="14" t="str">
        <f>IF(E27="","",TRIM(IF(H27="","Adaugă un indicator măsurabil. ",IF(OR(NOT(ISNUMBER(I27)),NOT(ISNUMBER(J27))),"Completează valoarea actuală și ținta. ",""))&amp;IF(F27="","Fără responsabil. ","")&amp;IF(NOT(ISNUMBER(G27)),"Fără termen. ",IF(AND(G27&lt;DataA,L27&lt;&gt;"Realizat",L27&lt;&gt;"Abandonat"),"Termen depășit. ",""))&amp;IF(D27="","Leagă acțiunea de factorii din analiză. ",IF(ISNUMBER(MATCH(TRIM(LEFT(SUBSTITUTE(D27,",",REPT(" ",50)),50)),Factori!$B$5:$B$204,0)),"","Codul "&amp;TRIM(LEFT(SUBSTITUTE(D27,",",REPT(" ",50)),50))&amp;" nu există în Factori. "))))</f>
        <v/>
      </c>
    </row>
    <row r="28" spans="2:13" x14ac:dyDescent="0.2">
      <c r="B28" s="24" t="str">
        <f>IF(E28="","",COUNTA($E$5:E28))</f>
        <v/>
      </c>
      <c r="C28" s="11"/>
      <c r="D28" s="25"/>
      <c r="E28" s="11"/>
      <c r="F28" s="11"/>
      <c r="G28" s="26"/>
      <c r="H28" s="11"/>
      <c r="I28" s="12"/>
      <c r="J28" s="12"/>
      <c r="K28" s="27" t="str">
        <f t="shared" si="0"/>
        <v/>
      </c>
      <c r="L28" s="12"/>
      <c r="M28" s="14" t="str">
        <f>IF(E28="","",TRIM(IF(H28="","Adaugă un indicator măsurabil. ",IF(OR(NOT(ISNUMBER(I28)),NOT(ISNUMBER(J28))),"Completează valoarea actuală și ținta. ",""))&amp;IF(F28="","Fără responsabil. ","")&amp;IF(NOT(ISNUMBER(G28)),"Fără termen. ",IF(AND(G28&lt;DataA,L28&lt;&gt;"Realizat",L28&lt;&gt;"Abandonat"),"Termen depășit. ",""))&amp;IF(D28="","Leagă acțiunea de factorii din analiză. ",IF(ISNUMBER(MATCH(TRIM(LEFT(SUBSTITUTE(D28,",",REPT(" ",50)),50)),Factori!$B$5:$B$204,0)),"","Codul "&amp;TRIM(LEFT(SUBSTITUTE(D28,",",REPT(" ",50)),50))&amp;" nu există în Factori. "))))</f>
        <v/>
      </c>
    </row>
    <row r="29" spans="2:13" x14ac:dyDescent="0.2">
      <c r="B29" s="24" t="str">
        <f>IF(E29="","",COUNTA($E$5:E29))</f>
        <v/>
      </c>
      <c r="C29" s="11"/>
      <c r="D29" s="25"/>
      <c r="E29" s="11"/>
      <c r="F29" s="11"/>
      <c r="G29" s="26"/>
      <c r="H29" s="11"/>
      <c r="I29" s="12"/>
      <c r="J29" s="12"/>
      <c r="K29" s="27" t="str">
        <f t="shared" si="0"/>
        <v/>
      </c>
      <c r="L29" s="12"/>
      <c r="M29" s="14" t="str">
        <f>IF(E29="","",TRIM(IF(H29="","Adaugă un indicator măsurabil. ",IF(OR(NOT(ISNUMBER(I29)),NOT(ISNUMBER(J29))),"Completează valoarea actuală și ținta. ",""))&amp;IF(F29="","Fără responsabil. ","")&amp;IF(NOT(ISNUMBER(G29)),"Fără termen. ",IF(AND(G29&lt;DataA,L29&lt;&gt;"Realizat",L29&lt;&gt;"Abandonat"),"Termen depășit. ",""))&amp;IF(D29="","Leagă acțiunea de factorii din analiză. ",IF(ISNUMBER(MATCH(TRIM(LEFT(SUBSTITUTE(D29,",",REPT(" ",50)),50)),Factori!$B$5:$B$204,0)),"","Codul "&amp;TRIM(LEFT(SUBSTITUTE(D29,",",REPT(" ",50)),50))&amp;" nu există în Factori. "))))</f>
        <v/>
      </c>
    </row>
    <row r="30" spans="2:13" x14ac:dyDescent="0.2">
      <c r="B30" s="24" t="str">
        <f>IF(E30="","",COUNTA($E$5:E30))</f>
        <v/>
      </c>
      <c r="C30" s="11"/>
      <c r="D30" s="25"/>
      <c r="E30" s="11"/>
      <c r="F30" s="11"/>
      <c r="G30" s="26"/>
      <c r="H30" s="11"/>
      <c r="I30" s="12"/>
      <c r="J30" s="12"/>
      <c r="K30" s="27" t="str">
        <f t="shared" si="0"/>
        <v/>
      </c>
      <c r="L30" s="12"/>
      <c r="M30" s="14" t="str">
        <f>IF(E30="","",TRIM(IF(H30="","Adaugă un indicator măsurabil. ",IF(OR(NOT(ISNUMBER(I30)),NOT(ISNUMBER(J30))),"Completează valoarea actuală și ținta. ",""))&amp;IF(F30="","Fără responsabil. ","")&amp;IF(NOT(ISNUMBER(G30)),"Fără termen. ",IF(AND(G30&lt;DataA,L30&lt;&gt;"Realizat",L30&lt;&gt;"Abandonat"),"Termen depășit. ",""))&amp;IF(D30="","Leagă acțiunea de factorii din analiză. ",IF(ISNUMBER(MATCH(TRIM(LEFT(SUBSTITUTE(D30,",",REPT(" ",50)),50)),Factori!$B$5:$B$204,0)),"","Codul "&amp;TRIM(LEFT(SUBSTITUTE(D30,",",REPT(" ",50)),50))&amp;" nu există în Factori. "))))</f>
        <v/>
      </c>
    </row>
    <row r="31" spans="2:13" x14ac:dyDescent="0.2">
      <c r="B31" s="24" t="str">
        <f>IF(E31="","",COUNTA($E$5:E31))</f>
        <v/>
      </c>
      <c r="C31" s="11"/>
      <c r="D31" s="25"/>
      <c r="E31" s="11"/>
      <c r="F31" s="11"/>
      <c r="G31" s="26"/>
      <c r="H31" s="11"/>
      <c r="I31" s="12"/>
      <c r="J31" s="12"/>
      <c r="K31" s="27" t="str">
        <f t="shared" si="0"/>
        <v/>
      </c>
      <c r="L31" s="12"/>
      <c r="M31" s="14" t="str">
        <f>IF(E31="","",TRIM(IF(H31="","Adaugă un indicator măsurabil. ",IF(OR(NOT(ISNUMBER(I31)),NOT(ISNUMBER(J31))),"Completează valoarea actuală și ținta. ",""))&amp;IF(F31="","Fără responsabil. ","")&amp;IF(NOT(ISNUMBER(G31)),"Fără termen. ",IF(AND(G31&lt;DataA,L31&lt;&gt;"Realizat",L31&lt;&gt;"Abandonat"),"Termen depășit. ",""))&amp;IF(D31="","Leagă acțiunea de factorii din analiză. ",IF(ISNUMBER(MATCH(TRIM(LEFT(SUBSTITUTE(D31,",",REPT(" ",50)),50)),Factori!$B$5:$B$204,0)),"","Codul "&amp;TRIM(LEFT(SUBSTITUTE(D31,",",REPT(" ",50)),50))&amp;" nu există în Factori. "))))</f>
        <v/>
      </c>
    </row>
    <row r="32" spans="2:13" x14ac:dyDescent="0.2">
      <c r="B32" s="24" t="str">
        <f>IF(E32="","",COUNTA($E$5:E32))</f>
        <v/>
      </c>
      <c r="C32" s="11"/>
      <c r="D32" s="25"/>
      <c r="E32" s="11"/>
      <c r="F32" s="11"/>
      <c r="G32" s="26"/>
      <c r="H32" s="11"/>
      <c r="I32" s="12"/>
      <c r="J32" s="12"/>
      <c r="K32" s="27" t="str">
        <f t="shared" si="0"/>
        <v/>
      </c>
      <c r="L32" s="12"/>
      <c r="M32" s="14" t="str">
        <f>IF(E32="","",TRIM(IF(H32="","Adaugă un indicator măsurabil. ",IF(OR(NOT(ISNUMBER(I32)),NOT(ISNUMBER(J32))),"Completează valoarea actuală și ținta. ",""))&amp;IF(F32="","Fără responsabil. ","")&amp;IF(NOT(ISNUMBER(G32)),"Fără termen. ",IF(AND(G32&lt;DataA,L32&lt;&gt;"Realizat",L32&lt;&gt;"Abandonat"),"Termen depășit. ",""))&amp;IF(D32="","Leagă acțiunea de factorii din analiză. ",IF(ISNUMBER(MATCH(TRIM(LEFT(SUBSTITUTE(D32,",",REPT(" ",50)),50)),Factori!$B$5:$B$204,0)),"","Codul "&amp;TRIM(LEFT(SUBSTITUTE(D32,",",REPT(" ",50)),50))&amp;" nu există în Factori. "))))</f>
        <v/>
      </c>
    </row>
    <row r="33" spans="2:13" x14ac:dyDescent="0.2">
      <c r="B33" s="24" t="str">
        <f>IF(E33="","",COUNTA($E$5:E33))</f>
        <v/>
      </c>
      <c r="C33" s="11"/>
      <c r="D33" s="25"/>
      <c r="E33" s="11"/>
      <c r="F33" s="11"/>
      <c r="G33" s="26"/>
      <c r="H33" s="11"/>
      <c r="I33" s="12"/>
      <c r="J33" s="12"/>
      <c r="K33" s="27" t="str">
        <f t="shared" si="0"/>
        <v/>
      </c>
      <c r="L33" s="12"/>
      <c r="M33" s="14" t="str">
        <f>IF(E33="","",TRIM(IF(H33="","Adaugă un indicator măsurabil. ",IF(OR(NOT(ISNUMBER(I33)),NOT(ISNUMBER(J33))),"Completează valoarea actuală și ținta. ",""))&amp;IF(F33="","Fără responsabil. ","")&amp;IF(NOT(ISNUMBER(G33)),"Fără termen. ",IF(AND(G33&lt;DataA,L33&lt;&gt;"Realizat",L33&lt;&gt;"Abandonat"),"Termen depășit. ",""))&amp;IF(D33="","Leagă acțiunea de factorii din analiză. ",IF(ISNUMBER(MATCH(TRIM(LEFT(SUBSTITUTE(D33,",",REPT(" ",50)),50)),Factori!$B$5:$B$204,0)),"","Codul "&amp;TRIM(LEFT(SUBSTITUTE(D33,",",REPT(" ",50)),50))&amp;" nu există în Factori. "))))</f>
        <v/>
      </c>
    </row>
    <row r="34" spans="2:13" x14ac:dyDescent="0.2">
      <c r="B34" s="24" t="str">
        <f>IF(E34="","",COUNTA($E$5:E34))</f>
        <v/>
      </c>
      <c r="C34" s="11"/>
      <c r="D34" s="25"/>
      <c r="E34" s="11"/>
      <c r="F34" s="11"/>
      <c r="G34" s="26"/>
      <c r="H34" s="11"/>
      <c r="I34" s="12"/>
      <c r="J34" s="12"/>
      <c r="K34" s="27" t="str">
        <f t="shared" si="0"/>
        <v/>
      </c>
      <c r="L34" s="12"/>
      <c r="M34" s="14" t="str">
        <f>IF(E34="","",TRIM(IF(H34="","Adaugă un indicator măsurabil. ",IF(OR(NOT(ISNUMBER(I34)),NOT(ISNUMBER(J34))),"Completează valoarea actuală și ținta. ",""))&amp;IF(F34="","Fără responsabil. ","")&amp;IF(NOT(ISNUMBER(G34)),"Fără termen. ",IF(AND(G34&lt;DataA,L34&lt;&gt;"Realizat",L34&lt;&gt;"Abandonat"),"Termen depășit. ",""))&amp;IF(D34="","Leagă acțiunea de factorii din analiză. ",IF(ISNUMBER(MATCH(TRIM(LEFT(SUBSTITUTE(D34,",",REPT(" ",50)),50)),Factori!$B$5:$B$204,0)),"","Codul "&amp;TRIM(LEFT(SUBSTITUTE(D34,",",REPT(" ",50)),50))&amp;" nu există în Factori. "))))</f>
        <v/>
      </c>
    </row>
    <row r="35" spans="2:13" x14ac:dyDescent="0.2">
      <c r="B35" s="24" t="str">
        <f>IF(E35="","",COUNTA($E$5:E35))</f>
        <v/>
      </c>
      <c r="C35" s="11"/>
      <c r="D35" s="25"/>
      <c r="E35" s="11"/>
      <c r="F35" s="11"/>
      <c r="G35" s="26"/>
      <c r="H35" s="11"/>
      <c r="I35" s="12"/>
      <c r="J35" s="12"/>
      <c r="K35" s="27" t="str">
        <f t="shared" si="0"/>
        <v/>
      </c>
      <c r="L35" s="12"/>
      <c r="M35" s="14" t="str">
        <f>IF(E35="","",TRIM(IF(H35="","Adaugă un indicator măsurabil. ",IF(OR(NOT(ISNUMBER(I35)),NOT(ISNUMBER(J35))),"Completează valoarea actuală și ținta. ",""))&amp;IF(F35="","Fără responsabil. ","")&amp;IF(NOT(ISNUMBER(G35)),"Fără termen. ",IF(AND(G35&lt;DataA,L35&lt;&gt;"Realizat",L35&lt;&gt;"Abandonat"),"Termen depășit. ",""))&amp;IF(D35="","Leagă acțiunea de factorii din analiză. ",IF(ISNUMBER(MATCH(TRIM(LEFT(SUBSTITUTE(D35,",",REPT(" ",50)),50)),Factori!$B$5:$B$204,0)),"","Codul "&amp;TRIM(LEFT(SUBSTITUTE(D35,",",REPT(" ",50)),50))&amp;" nu există în Factori. "))))</f>
        <v/>
      </c>
    </row>
    <row r="36" spans="2:13" x14ac:dyDescent="0.2">
      <c r="B36" s="24" t="str">
        <f>IF(E36="","",COUNTA($E$5:E36))</f>
        <v/>
      </c>
      <c r="C36" s="11"/>
      <c r="D36" s="25"/>
      <c r="E36" s="11"/>
      <c r="F36" s="11"/>
      <c r="G36" s="26"/>
      <c r="H36" s="11"/>
      <c r="I36" s="12"/>
      <c r="J36" s="12"/>
      <c r="K36" s="27" t="str">
        <f t="shared" si="0"/>
        <v/>
      </c>
      <c r="L36" s="12"/>
      <c r="M36" s="14" t="str">
        <f>IF(E36="","",TRIM(IF(H36="","Adaugă un indicator măsurabil. ",IF(OR(NOT(ISNUMBER(I36)),NOT(ISNUMBER(J36))),"Completează valoarea actuală și ținta. ",""))&amp;IF(F36="","Fără responsabil. ","")&amp;IF(NOT(ISNUMBER(G36)),"Fără termen. ",IF(AND(G36&lt;DataA,L36&lt;&gt;"Realizat",L36&lt;&gt;"Abandonat"),"Termen depășit. ",""))&amp;IF(D36="","Leagă acțiunea de factorii din analiză. ",IF(ISNUMBER(MATCH(TRIM(LEFT(SUBSTITUTE(D36,",",REPT(" ",50)),50)),Factori!$B$5:$B$204,0)),"","Codul "&amp;TRIM(LEFT(SUBSTITUTE(D36,",",REPT(" ",50)),50))&amp;" nu există în Factori. "))))</f>
        <v/>
      </c>
    </row>
    <row r="37" spans="2:13" x14ac:dyDescent="0.2">
      <c r="B37" s="24" t="str">
        <f>IF(E37="","",COUNTA($E$5:E37))</f>
        <v/>
      </c>
      <c r="C37" s="11"/>
      <c r="D37" s="25"/>
      <c r="E37" s="11"/>
      <c r="F37" s="11"/>
      <c r="G37" s="26"/>
      <c r="H37" s="11"/>
      <c r="I37" s="12"/>
      <c r="J37" s="12"/>
      <c r="K37" s="27" t="str">
        <f t="shared" ref="K37:K64" si="1">IF(OR(NOT(ISNUMBER(I37)),NOT(ISNUMBER(J37))),"",J37-I37)</f>
        <v/>
      </c>
      <c r="L37" s="12"/>
      <c r="M37" s="14" t="str">
        <f>IF(E37="","",TRIM(IF(H37="","Adaugă un indicator măsurabil. ",IF(OR(NOT(ISNUMBER(I37)),NOT(ISNUMBER(J37))),"Completează valoarea actuală și ținta. ",""))&amp;IF(F37="","Fără responsabil. ","")&amp;IF(NOT(ISNUMBER(G37)),"Fără termen. ",IF(AND(G37&lt;DataA,L37&lt;&gt;"Realizat",L37&lt;&gt;"Abandonat"),"Termen depășit. ",""))&amp;IF(D37="","Leagă acțiunea de factorii din analiză. ",IF(ISNUMBER(MATCH(TRIM(LEFT(SUBSTITUTE(D37,",",REPT(" ",50)),50)),Factori!$B$5:$B$204,0)),"","Codul "&amp;TRIM(LEFT(SUBSTITUTE(D37,",",REPT(" ",50)),50))&amp;" nu există în Factori. "))))</f>
        <v/>
      </c>
    </row>
    <row r="38" spans="2:13" x14ac:dyDescent="0.2">
      <c r="B38" s="24" t="str">
        <f>IF(E38="","",COUNTA($E$5:E38))</f>
        <v/>
      </c>
      <c r="C38" s="11"/>
      <c r="D38" s="25"/>
      <c r="E38" s="11"/>
      <c r="F38" s="11"/>
      <c r="G38" s="26"/>
      <c r="H38" s="11"/>
      <c r="I38" s="12"/>
      <c r="J38" s="12"/>
      <c r="K38" s="27" t="str">
        <f t="shared" si="1"/>
        <v/>
      </c>
      <c r="L38" s="12"/>
      <c r="M38" s="14" t="str">
        <f>IF(E38="","",TRIM(IF(H38="","Adaugă un indicator măsurabil. ",IF(OR(NOT(ISNUMBER(I38)),NOT(ISNUMBER(J38))),"Completează valoarea actuală și ținta. ",""))&amp;IF(F38="","Fără responsabil. ","")&amp;IF(NOT(ISNUMBER(G38)),"Fără termen. ",IF(AND(G38&lt;DataA,L38&lt;&gt;"Realizat",L38&lt;&gt;"Abandonat"),"Termen depășit. ",""))&amp;IF(D38="","Leagă acțiunea de factorii din analiză. ",IF(ISNUMBER(MATCH(TRIM(LEFT(SUBSTITUTE(D38,",",REPT(" ",50)),50)),Factori!$B$5:$B$204,0)),"","Codul "&amp;TRIM(LEFT(SUBSTITUTE(D38,",",REPT(" ",50)),50))&amp;" nu există în Factori. "))))</f>
        <v/>
      </c>
    </row>
    <row r="39" spans="2:13" x14ac:dyDescent="0.2">
      <c r="B39" s="24" t="str">
        <f>IF(E39="","",COUNTA($E$5:E39))</f>
        <v/>
      </c>
      <c r="C39" s="11"/>
      <c r="D39" s="25"/>
      <c r="E39" s="11"/>
      <c r="F39" s="11"/>
      <c r="G39" s="26"/>
      <c r="H39" s="11"/>
      <c r="I39" s="12"/>
      <c r="J39" s="12"/>
      <c r="K39" s="27" t="str">
        <f t="shared" si="1"/>
        <v/>
      </c>
      <c r="L39" s="12"/>
      <c r="M39" s="14" t="str">
        <f>IF(E39="","",TRIM(IF(H39="","Adaugă un indicator măsurabil. ",IF(OR(NOT(ISNUMBER(I39)),NOT(ISNUMBER(J39))),"Completează valoarea actuală și ținta. ",""))&amp;IF(F39="","Fără responsabil. ","")&amp;IF(NOT(ISNUMBER(G39)),"Fără termen. ",IF(AND(G39&lt;DataA,L39&lt;&gt;"Realizat",L39&lt;&gt;"Abandonat"),"Termen depășit. ",""))&amp;IF(D39="","Leagă acțiunea de factorii din analiză. ",IF(ISNUMBER(MATCH(TRIM(LEFT(SUBSTITUTE(D39,",",REPT(" ",50)),50)),Factori!$B$5:$B$204,0)),"","Codul "&amp;TRIM(LEFT(SUBSTITUTE(D39,",",REPT(" ",50)),50))&amp;" nu există în Factori. "))))</f>
        <v/>
      </c>
    </row>
    <row r="40" spans="2:13" x14ac:dyDescent="0.2">
      <c r="B40" s="24" t="str">
        <f>IF(E40="","",COUNTA($E$5:E40))</f>
        <v/>
      </c>
      <c r="C40" s="11"/>
      <c r="D40" s="25"/>
      <c r="E40" s="11"/>
      <c r="F40" s="11"/>
      <c r="G40" s="26"/>
      <c r="H40" s="11"/>
      <c r="I40" s="12"/>
      <c r="J40" s="12"/>
      <c r="K40" s="27" t="str">
        <f t="shared" si="1"/>
        <v/>
      </c>
      <c r="L40" s="12"/>
      <c r="M40" s="14" t="str">
        <f>IF(E40="","",TRIM(IF(H40="","Adaugă un indicator măsurabil. ",IF(OR(NOT(ISNUMBER(I40)),NOT(ISNUMBER(J40))),"Completează valoarea actuală și ținta. ",""))&amp;IF(F40="","Fără responsabil. ","")&amp;IF(NOT(ISNUMBER(G40)),"Fără termen. ",IF(AND(G40&lt;DataA,L40&lt;&gt;"Realizat",L40&lt;&gt;"Abandonat"),"Termen depășit. ",""))&amp;IF(D40="","Leagă acțiunea de factorii din analiză. ",IF(ISNUMBER(MATCH(TRIM(LEFT(SUBSTITUTE(D40,",",REPT(" ",50)),50)),Factori!$B$5:$B$204,0)),"","Codul "&amp;TRIM(LEFT(SUBSTITUTE(D40,",",REPT(" ",50)),50))&amp;" nu există în Factori. "))))</f>
        <v/>
      </c>
    </row>
    <row r="41" spans="2:13" x14ac:dyDescent="0.2">
      <c r="B41" s="24" t="str">
        <f>IF(E41="","",COUNTA($E$5:E41))</f>
        <v/>
      </c>
      <c r="C41" s="11"/>
      <c r="D41" s="25"/>
      <c r="E41" s="11"/>
      <c r="F41" s="11"/>
      <c r="G41" s="26"/>
      <c r="H41" s="11"/>
      <c r="I41" s="12"/>
      <c r="J41" s="12"/>
      <c r="K41" s="27" t="str">
        <f t="shared" si="1"/>
        <v/>
      </c>
      <c r="L41" s="12"/>
      <c r="M41" s="14" t="str">
        <f>IF(E41="","",TRIM(IF(H41="","Adaugă un indicator măsurabil. ",IF(OR(NOT(ISNUMBER(I41)),NOT(ISNUMBER(J41))),"Completează valoarea actuală și ținta. ",""))&amp;IF(F41="","Fără responsabil. ","")&amp;IF(NOT(ISNUMBER(G41)),"Fără termen. ",IF(AND(G41&lt;DataA,L41&lt;&gt;"Realizat",L41&lt;&gt;"Abandonat"),"Termen depășit. ",""))&amp;IF(D41="","Leagă acțiunea de factorii din analiză. ",IF(ISNUMBER(MATCH(TRIM(LEFT(SUBSTITUTE(D41,",",REPT(" ",50)),50)),Factori!$B$5:$B$204,0)),"","Codul "&amp;TRIM(LEFT(SUBSTITUTE(D41,",",REPT(" ",50)),50))&amp;" nu există în Factori. "))))</f>
        <v/>
      </c>
    </row>
    <row r="42" spans="2:13" x14ac:dyDescent="0.2">
      <c r="B42" s="24" t="str">
        <f>IF(E42="","",COUNTA($E$5:E42))</f>
        <v/>
      </c>
      <c r="C42" s="11"/>
      <c r="D42" s="25"/>
      <c r="E42" s="11"/>
      <c r="F42" s="11"/>
      <c r="G42" s="26"/>
      <c r="H42" s="11"/>
      <c r="I42" s="12"/>
      <c r="J42" s="12"/>
      <c r="K42" s="27" t="str">
        <f t="shared" si="1"/>
        <v/>
      </c>
      <c r="L42" s="12"/>
      <c r="M42" s="14" t="str">
        <f>IF(E42="","",TRIM(IF(H42="","Adaugă un indicator măsurabil. ",IF(OR(NOT(ISNUMBER(I42)),NOT(ISNUMBER(J42))),"Completează valoarea actuală și ținta. ",""))&amp;IF(F42="","Fără responsabil. ","")&amp;IF(NOT(ISNUMBER(G42)),"Fără termen. ",IF(AND(G42&lt;DataA,L42&lt;&gt;"Realizat",L42&lt;&gt;"Abandonat"),"Termen depășit. ",""))&amp;IF(D42="","Leagă acțiunea de factorii din analiză. ",IF(ISNUMBER(MATCH(TRIM(LEFT(SUBSTITUTE(D42,",",REPT(" ",50)),50)),Factori!$B$5:$B$204,0)),"","Codul "&amp;TRIM(LEFT(SUBSTITUTE(D42,",",REPT(" ",50)),50))&amp;" nu există în Factori. "))))</f>
        <v/>
      </c>
    </row>
    <row r="43" spans="2:13" x14ac:dyDescent="0.2">
      <c r="B43" s="24" t="str">
        <f>IF(E43="","",COUNTA($E$5:E43))</f>
        <v/>
      </c>
      <c r="C43" s="11"/>
      <c r="D43" s="25"/>
      <c r="E43" s="11"/>
      <c r="F43" s="11"/>
      <c r="G43" s="26"/>
      <c r="H43" s="11"/>
      <c r="I43" s="12"/>
      <c r="J43" s="12"/>
      <c r="K43" s="27" t="str">
        <f t="shared" si="1"/>
        <v/>
      </c>
      <c r="L43" s="12"/>
      <c r="M43" s="14" t="str">
        <f>IF(E43="","",TRIM(IF(H43="","Adaugă un indicator măsurabil. ",IF(OR(NOT(ISNUMBER(I43)),NOT(ISNUMBER(J43))),"Completează valoarea actuală și ținta. ",""))&amp;IF(F43="","Fără responsabil. ","")&amp;IF(NOT(ISNUMBER(G43)),"Fără termen. ",IF(AND(G43&lt;DataA,L43&lt;&gt;"Realizat",L43&lt;&gt;"Abandonat"),"Termen depășit. ",""))&amp;IF(D43="","Leagă acțiunea de factorii din analiză. ",IF(ISNUMBER(MATCH(TRIM(LEFT(SUBSTITUTE(D43,",",REPT(" ",50)),50)),Factori!$B$5:$B$204,0)),"","Codul "&amp;TRIM(LEFT(SUBSTITUTE(D43,",",REPT(" ",50)),50))&amp;" nu există în Factori. "))))</f>
        <v/>
      </c>
    </row>
    <row r="44" spans="2:13" x14ac:dyDescent="0.2">
      <c r="B44" s="24" t="str">
        <f>IF(E44="","",COUNTA($E$5:E44))</f>
        <v/>
      </c>
      <c r="C44" s="11"/>
      <c r="D44" s="25"/>
      <c r="E44" s="11"/>
      <c r="F44" s="11"/>
      <c r="G44" s="26"/>
      <c r="H44" s="11"/>
      <c r="I44" s="12"/>
      <c r="J44" s="12"/>
      <c r="K44" s="27" t="str">
        <f t="shared" si="1"/>
        <v/>
      </c>
      <c r="L44" s="12"/>
      <c r="M44" s="14" t="str">
        <f>IF(E44="","",TRIM(IF(H44="","Adaugă un indicator măsurabil. ",IF(OR(NOT(ISNUMBER(I44)),NOT(ISNUMBER(J44))),"Completează valoarea actuală și ținta. ",""))&amp;IF(F44="","Fără responsabil. ","")&amp;IF(NOT(ISNUMBER(G44)),"Fără termen. ",IF(AND(G44&lt;DataA,L44&lt;&gt;"Realizat",L44&lt;&gt;"Abandonat"),"Termen depășit. ",""))&amp;IF(D44="","Leagă acțiunea de factorii din analiză. ",IF(ISNUMBER(MATCH(TRIM(LEFT(SUBSTITUTE(D44,",",REPT(" ",50)),50)),Factori!$B$5:$B$204,0)),"","Codul "&amp;TRIM(LEFT(SUBSTITUTE(D44,",",REPT(" ",50)),50))&amp;" nu există în Factori. "))))</f>
        <v/>
      </c>
    </row>
    <row r="45" spans="2:13" x14ac:dyDescent="0.2">
      <c r="B45" s="24" t="str">
        <f>IF(E45="","",COUNTA($E$5:E45))</f>
        <v/>
      </c>
      <c r="C45" s="11"/>
      <c r="D45" s="25"/>
      <c r="E45" s="11"/>
      <c r="F45" s="11"/>
      <c r="G45" s="26"/>
      <c r="H45" s="11"/>
      <c r="I45" s="12"/>
      <c r="J45" s="12"/>
      <c r="K45" s="27" t="str">
        <f t="shared" si="1"/>
        <v/>
      </c>
      <c r="L45" s="12"/>
      <c r="M45" s="14" t="str">
        <f>IF(E45="","",TRIM(IF(H45="","Adaugă un indicator măsurabil. ",IF(OR(NOT(ISNUMBER(I45)),NOT(ISNUMBER(J45))),"Completează valoarea actuală și ținta. ",""))&amp;IF(F45="","Fără responsabil. ","")&amp;IF(NOT(ISNUMBER(G45)),"Fără termen. ",IF(AND(G45&lt;DataA,L45&lt;&gt;"Realizat",L45&lt;&gt;"Abandonat"),"Termen depășit. ",""))&amp;IF(D45="","Leagă acțiunea de factorii din analiză. ",IF(ISNUMBER(MATCH(TRIM(LEFT(SUBSTITUTE(D45,",",REPT(" ",50)),50)),Factori!$B$5:$B$204,0)),"","Codul "&amp;TRIM(LEFT(SUBSTITUTE(D45,",",REPT(" ",50)),50))&amp;" nu există în Factori. "))))</f>
        <v/>
      </c>
    </row>
    <row r="46" spans="2:13" x14ac:dyDescent="0.2">
      <c r="B46" s="24" t="str">
        <f>IF(E46="","",COUNTA($E$5:E46))</f>
        <v/>
      </c>
      <c r="C46" s="11"/>
      <c r="D46" s="25"/>
      <c r="E46" s="11"/>
      <c r="F46" s="11"/>
      <c r="G46" s="26"/>
      <c r="H46" s="11"/>
      <c r="I46" s="12"/>
      <c r="J46" s="12"/>
      <c r="K46" s="27" t="str">
        <f t="shared" si="1"/>
        <v/>
      </c>
      <c r="L46" s="12"/>
      <c r="M46" s="14" t="str">
        <f>IF(E46="","",TRIM(IF(H46="","Adaugă un indicator măsurabil. ",IF(OR(NOT(ISNUMBER(I46)),NOT(ISNUMBER(J46))),"Completează valoarea actuală și ținta. ",""))&amp;IF(F46="","Fără responsabil. ","")&amp;IF(NOT(ISNUMBER(G46)),"Fără termen. ",IF(AND(G46&lt;DataA,L46&lt;&gt;"Realizat",L46&lt;&gt;"Abandonat"),"Termen depășit. ",""))&amp;IF(D46="","Leagă acțiunea de factorii din analiză. ",IF(ISNUMBER(MATCH(TRIM(LEFT(SUBSTITUTE(D46,",",REPT(" ",50)),50)),Factori!$B$5:$B$204,0)),"","Codul "&amp;TRIM(LEFT(SUBSTITUTE(D46,",",REPT(" ",50)),50))&amp;" nu există în Factori. "))))</f>
        <v/>
      </c>
    </row>
    <row r="47" spans="2:13" x14ac:dyDescent="0.2">
      <c r="B47" s="24" t="str">
        <f>IF(E47="","",COUNTA($E$5:E47))</f>
        <v/>
      </c>
      <c r="C47" s="11"/>
      <c r="D47" s="25"/>
      <c r="E47" s="11"/>
      <c r="F47" s="11"/>
      <c r="G47" s="26"/>
      <c r="H47" s="11"/>
      <c r="I47" s="12"/>
      <c r="J47" s="12"/>
      <c r="K47" s="27" t="str">
        <f t="shared" si="1"/>
        <v/>
      </c>
      <c r="L47" s="12"/>
      <c r="M47" s="14" t="str">
        <f>IF(E47="","",TRIM(IF(H47="","Adaugă un indicator măsurabil. ",IF(OR(NOT(ISNUMBER(I47)),NOT(ISNUMBER(J47))),"Completează valoarea actuală și ținta. ",""))&amp;IF(F47="","Fără responsabil. ","")&amp;IF(NOT(ISNUMBER(G47)),"Fără termen. ",IF(AND(G47&lt;DataA,L47&lt;&gt;"Realizat",L47&lt;&gt;"Abandonat"),"Termen depășit. ",""))&amp;IF(D47="","Leagă acțiunea de factorii din analiză. ",IF(ISNUMBER(MATCH(TRIM(LEFT(SUBSTITUTE(D47,",",REPT(" ",50)),50)),Factori!$B$5:$B$204,0)),"","Codul "&amp;TRIM(LEFT(SUBSTITUTE(D47,",",REPT(" ",50)),50))&amp;" nu există în Factori. "))))</f>
        <v/>
      </c>
    </row>
    <row r="48" spans="2:13" x14ac:dyDescent="0.2">
      <c r="B48" s="24" t="str">
        <f>IF(E48="","",COUNTA($E$5:E48))</f>
        <v/>
      </c>
      <c r="C48" s="11"/>
      <c r="D48" s="25"/>
      <c r="E48" s="11"/>
      <c r="F48" s="11"/>
      <c r="G48" s="26"/>
      <c r="H48" s="11"/>
      <c r="I48" s="12"/>
      <c r="J48" s="12"/>
      <c r="K48" s="27" t="str">
        <f t="shared" si="1"/>
        <v/>
      </c>
      <c r="L48" s="12"/>
      <c r="M48" s="14" t="str">
        <f>IF(E48="","",TRIM(IF(H48="","Adaugă un indicator măsurabil. ",IF(OR(NOT(ISNUMBER(I48)),NOT(ISNUMBER(J48))),"Completează valoarea actuală și ținta. ",""))&amp;IF(F48="","Fără responsabil. ","")&amp;IF(NOT(ISNUMBER(G48)),"Fără termen. ",IF(AND(G48&lt;DataA,L48&lt;&gt;"Realizat",L48&lt;&gt;"Abandonat"),"Termen depășit. ",""))&amp;IF(D48="","Leagă acțiunea de factorii din analiză. ",IF(ISNUMBER(MATCH(TRIM(LEFT(SUBSTITUTE(D48,",",REPT(" ",50)),50)),Factori!$B$5:$B$204,0)),"","Codul "&amp;TRIM(LEFT(SUBSTITUTE(D48,",",REPT(" ",50)),50))&amp;" nu există în Factori. "))))</f>
        <v/>
      </c>
    </row>
    <row r="49" spans="2:13" x14ac:dyDescent="0.2">
      <c r="B49" s="24" t="str">
        <f>IF(E49="","",COUNTA($E$5:E49))</f>
        <v/>
      </c>
      <c r="C49" s="11"/>
      <c r="D49" s="25"/>
      <c r="E49" s="11"/>
      <c r="F49" s="11"/>
      <c r="G49" s="26"/>
      <c r="H49" s="11"/>
      <c r="I49" s="12"/>
      <c r="J49" s="12"/>
      <c r="K49" s="27" t="str">
        <f t="shared" si="1"/>
        <v/>
      </c>
      <c r="L49" s="12"/>
      <c r="M49" s="14" t="str">
        <f>IF(E49="","",TRIM(IF(H49="","Adaugă un indicator măsurabil. ",IF(OR(NOT(ISNUMBER(I49)),NOT(ISNUMBER(J49))),"Completează valoarea actuală și ținta. ",""))&amp;IF(F49="","Fără responsabil. ","")&amp;IF(NOT(ISNUMBER(G49)),"Fără termen. ",IF(AND(G49&lt;DataA,L49&lt;&gt;"Realizat",L49&lt;&gt;"Abandonat"),"Termen depășit. ",""))&amp;IF(D49="","Leagă acțiunea de factorii din analiză. ",IF(ISNUMBER(MATCH(TRIM(LEFT(SUBSTITUTE(D49,",",REPT(" ",50)),50)),Factori!$B$5:$B$204,0)),"","Codul "&amp;TRIM(LEFT(SUBSTITUTE(D49,",",REPT(" ",50)),50))&amp;" nu există în Factori. "))))</f>
        <v/>
      </c>
    </row>
    <row r="50" spans="2:13" x14ac:dyDescent="0.2">
      <c r="B50" s="24" t="str">
        <f>IF(E50="","",COUNTA($E$5:E50))</f>
        <v/>
      </c>
      <c r="C50" s="11"/>
      <c r="D50" s="25"/>
      <c r="E50" s="11"/>
      <c r="F50" s="11"/>
      <c r="G50" s="26"/>
      <c r="H50" s="11"/>
      <c r="I50" s="12"/>
      <c r="J50" s="12"/>
      <c r="K50" s="27" t="str">
        <f t="shared" si="1"/>
        <v/>
      </c>
      <c r="L50" s="12"/>
      <c r="M50" s="14" t="str">
        <f>IF(E50="","",TRIM(IF(H50="","Adaugă un indicator măsurabil. ",IF(OR(NOT(ISNUMBER(I50)),NOT(ISNUMBER(J50))),"Completează valoarea actuală și ținta. ",""))&amp;IF(F50="","Fără responsabil. ","")&amp;IF(NOT(ISNUMBER(G50)),"Fără termen. ",IF(AND(G50&lt;DataA,L50&lt;&gt;"Realizat",L50&lt;&gt;"Abandonat"),"Termen depășit. ",""))&amp;IF(D50="","Leagă acțiunea de factorii din analiză. ",IF(ISNUMBER(MATCH(TRIM(LEFT(SUBSTITUTE(D50,",",REPT(" ",50)),50)),Factori!$B$5:$B$204,0)),"","Codul "&amp;TRIM(LEFT(SUBSTITUTE(D50,",",REPT(" ",50)),50))&amp;" nu există în Factori. "))))</f>
        <v/>
      </c>
    </row>
    <row r="51" spans="2:13" x14ac:dyDescent="0.2">
      <c r="B51" s="24" t="str">
        <f>IF(E51="","",COUNTA($E$5:E51))</f>
        <v/>
      </c>
      <c r="C51" s="11"/>
      <c r="D51" s="25"/>
      <c r="E51" s="11"/>
      <c r="F51" s="11"/>
      <c r="G51" s="26"/>
      <c r="H51" s="11"/>
      <c r="I51" s="12"/>
      <c r="J51" s="12"/>
      <c r="K51" s="27" t="str">
        <f t="shared" si="1"/>
        <v/>
      </c>
      <c r="L51" s="12"/>
      <c r="M51" s="14" t="str">
        <f>IF(E51="","",TRIM(IF(H51="","Adaugă un indicator măsurabil. ",IF(OR(NOT(ISNUMBER(I51)),NOT(ISNUMBER(J51))),"Completează valoarea actuală și ținta. ",""))&amp;IF(F51="","Fără responsabil. ","")&amp;IF(NOT(ISNUMBER(G51)),"Fără termen. ",IF(AND(G51&lt;DataA,L51&lt;&gt;"Realizat",L51&lt;&gt;"Abandonat"),"Termen depășit. ",""))&amp;IF(D51="","Leagă acțiunea de factorii din analiză. ",IF(ISNUMBER(MATCH(TRIM(LEFT(SUBSTITUTE(D51,",",REPT(" ",50)),50)),Factori!$B$5:$B$204,0)),"","Codul "&amp;TRIM(LEFT(SUBSTITUTE(D51,",",REPT(" ",50)),50))&amp;" nu există în Factori. "))))</f>
        <v/>
      </c>
    </row>
    <row r="52" spans="2:13" x14ac:dyDescent="0.2">
      <c r="B52" s="24" t="str">
        <f>IF(E52="","",COUNTA($E$5:E52))</f>
        <v/>
      </c>
      <c r="C52" s="11"/>
      <c r="D52" s="25"/>
      <c r="E52" s="11"/>
      <c r="F52" s="11"/>
      <c r="G52" s="26"/>
      <c r="H52" s="11"/>
      <c r="I52" s="12"/>
      <c r="J52" s="12"/>
      <c r="K52" s="27" t="str">
        <f t="shared" si="1"/>
        <v/>
      </c>
      <c r="L52" s="12"/>
      <c r="M52" s="14" t="str">
        <f>IF(E52="","",TRIM(IF(H52="","Adaugă un indicator măsurabil. ",IF(OR(NOT(ISNUMBER(I52)),NOT(ISNUMBER(J52))),"Completează valoarea actuală și ținta. ",""))&amp;IF(F52="","Fără responsabil. ","")&amp;IF(NOT(ISNUMBER(G52)),"Fără termen. ",IF(AND(G52&lt;DataA,L52&lt;&gt;"Realizat",L52&lt;&gt;"Abandonat"),"Termen depășit. ",""))&amp;IF(D52="","Leagă acțiunea de factorii din analiză. ",IF(ISNUMBER(MATCH(TRIM(LEFT(SUBSTITUTE(D52,",",REPT(" ",50)),50)),Factori!$B$5:$B$204,0)),"","Codul "&amp;TRIM(LEFT(SUBSTITUTE(D52,",",REPT(" ",50)),50))&amp;" nu există în Factori. "))))</f>
        <v/>
      </c>
    </row>
    <row r="53" spans="2:13" x14ac:dyDescent="0.2">
      <c r="B53" s="24" t="str">
        <f>IF(E53="","",COUNTA($E$5:E53))</f>
        <v/>
      </c>
      <c r="C53" s="11"/>
      <c r="D53" s="25"/>
      <c r="E53" s="11"/>
      <c r="F53" s="11"/>
      <c r="G53" s="26"/>
      <c r="H53" s="11"/>
      <c r="I53" s="12"/>
      <c r="J53" s="12"/>
      <c r="K53" s="27" t="str">
        <f t="shared" si="1"/>
        <v/>
      </c>
      <c r="L53" s="12"/>
      <c r="M53" s="14" t="str">
        <f>IF(E53="","",TRIM(IF(H53="","Adaugă un indicator măsurabil. ",IF(OR(NOT(ISNUMBER(I53)),NOT(ISNUMBER(J53))),"Completează valoarea actuală și ținta. ",""))&amp;IF(F53="","Fără responsabil. ","")&amp;IF(NOT(ISNUMBER(G53)),"Fără termen. ",IF(AND(G53&lt;DataA,L53&lt;&gt;"Realizat",L53&lt;&gt;"Abandonat"),"Termen depășit. ",""))&amp;IF(D53="","Leagă acțiunea de factorii din analiză. ",IF(ISNUMBER(MATCH(TRIM(LEFT(SUBSTITUTE(D53,",",REPT(" ",50)),50)),Factori!$B$5:$B$204,0)),"","Codul "&amp;TRIM(LEFT(SUBSTITUTE(D53,",",REPT(" ",50)),50))&amp;" nu există în Factori. "))))</f>
        <v/>
      </c>
    </row>
    <row r="54" spans="2:13" x14ac:dyDescent="0.2">
      <c r="B54" s="24" t="str">
        <f>IF(E54="","",COUNTA($E$5:E54))</f>
        <v/>
      </c>
      <c r="C54" s="11"/>
      <c r="D54" s="25"/>
      <c r="E54" s="11"/>
      <c r="F54" s="11"/>
      <c r="G54" s="26"/>
      <c r="H54" s="11"/>
      <c r="I54" s="12"/>
      <c r="J54" s="12"/>
      <c r="K54" s="27" t="str">
        <f t="shared" si="1"/>
        <v/>
      </c>
      <c r="L54" s="12"/>
      <c r="M54" s="14" t="str">
        <f>IF(E54="","",TRIM(IF(H54="","Adaugă un indicator măsurabil. ",IF(OR(NOT(ISNUMBER(I54)),NOT(ISNUMBER(J54))),"Completează valoarea actuală și ținta. ",""))&amp;IF(F54="","Fără responsabil. ","")&amp;IF(NOT(ISNUMBER(G54)),"Fără termen. ",IF(AND(G54&lt;DataA,L54&lt;&gt;"Realizat",L54&lt;&gt;"Abandonat"),"Termen depășit. ",""))&amp;IF(D54="","Leagă acțiunea de factorii din analiză. ",IF(ISNUMBER(MATCH(TRIM(LEFT(SUBSTITUTE(D54,",",REPT(" ",50)),50)),Factori!$B$5:$B$204,0)),"","Codul "&amp;TRIM(LEFT(SUBSTITUTE(D54,",",REPT(" ",50)),50))&amp;" nu există în Factori. "))))</f>
        <v/>
      </c>
    </row>
    <row r="55" spans="2:13" x14ac:dyDescent="0.2">
      <c r="B55" s="24" t="str">
        <f>IF(E55="","",COUNTA($E$5:E55))</f>
        <v/>
      </c>
      <c r="C55" s="11"/>
      <c r="D55" s="25"/>
      <c r="E55" s="11"/>
      <c r="F55" s="11"/>
      <c r="G55" s="26"/>
      <c r="H55" s="11"/>
      <c r="I55" s="12"/>
      <c r="J55" s="12"/>
      <c r="K55" s="27" t="str">
        <f t="shared" si="1"/>
        <v/>
      </c>
      <c r="L55" s="12"/>
      <c r="M55" s="14" t="str">
        <f>IF(E55="","",TRIM(IF(H55="","Adaugă un indicator măsurabil. ",IF(OR(NOT(ISNUMBER(I55)),NOT(ISNUMBER(J55))),"Completează valoarea actuală și ținta. ",""))&amp;IF(F55="","Fără responsabil. ","")&amp;IF(NOT(ISNUMBER(G55)),"Fără termen. ",IF(AND(G55&lt;DataA,L55&lt;&gt;"Realizat",L55&lt;&gt;"Abandonat"),"Termen depășit. ",""))&amp;IF(D55="","Leagă acțiunea de factorii din analiză. ",IF(ISNUMBER(MATCH(TRIM(LEFT(SUBSTITUTE(D55,",",REPT(" ",50)),50)),Factori!$B$5:$B$204,0)),"","Codul "&amp;TRIM(LEFT(SUBSTITUTE(D55,",",REPT(" ",50)),50))&amp;" nu există în Factori. "))))</f>
        <v/>
      </c>
    </row>
    <row r="56" spans="2:13" x14ac:dyDescent="0.2">
      <c r="B56" s="24" t="str">
        <f>IF(E56="","",COUNTA($E$5:E56))</f>
        <v/>
      </c>
      <c r="C56" s="11"/>
      <c r="D56" s="25"/>
      <c r="E56" s="11"/>
      <c r="F56" s="11"/>
      <c r="G56" s="26"/>
      <c r="H56" s="11"/>
      <c r="I56" s="12"/>
      <c r="J56" s="12"/>
      <c r="K56" s="27" t="str">
        <f t="shared" si="1"/>
        <v/>
      </c>
      <c r="L56" s="12"/>
      <c r="M56" s="14" t="str">
        <f>IF(E56="","",TRIM(IF(H56="","Adaugă un indicator măsurabil. ",IF(OR(NOT(ISNUMBER(I56)),NOT(ISNUMBER(J56))),"Completează valoarea actuală și ținta. ",""))&amp;IF(F56="","Fără responsabil. ","")&amp;IF(NOT(ISNUMBER(G56)),"Fără termen. ",IF(AND(G56&lt;DataA,L56&lt;&gt;"Realizat",L56&lt;&gt;"Abandonat"),"Termen depășit. ",""))&amp;IF(D56="","Leagă acțiunea de factorii din analiză. ",IF(ISNUMBER(MATCH(TRIM(LEFT(SUBSTITUTE(D56,",",REPT(" ",50)),50)),Factori!$B$5:$B$204,0)),"","Codul "&amp;TRIM(LEFT(SUBSTITUTE(D56,",",REPT(" ",50)),50))&amp;" nu există în Factori. "))))</f>
        <v/>
      </c>
    </row>
    <row r="57" spans="2:13" x14ac:dyDescent="0.2">
      <c r="B57" s="24" t="str">
        <f>IF(E57="","",COUNTA($E$5:E57))</f>
        <v/>
      </c>
      <c r="C57" s="11"/>
      <c r="D57" s="25"/>
      <c r="E57" s="11"/>
      <c r="F57" s="11"/>
      <c r="G57" s="26"/>
      <c r="H57" s="11"/>
      <c r="I57" s="12"/>
      <c r="J57" s="12"/>
      <c r="K57" s="27" t="str">
        <f t="shared" si="1"/>
        <v/>
      </c>
      <c r="L57" s="12"/>
      <c r="M57" s="14" t="str">
        <f>IF(E57="","",TRIM(IF(H57="","Adaugă un indicator măsurabil. ",IF(OR(NOT(ISNUMBER(I57)),NOT(ISNUMBER(J57))),"Completează valoarea actuală și ținta. ",""))&amp;IF(F57="","Fără responsabil. ","")&amp;IF(NOT(ISNUMBER(G57)),"Fără termen. ",IF(AND(G57&lt;DataA,L57&lt;&gt;"Realizat",L57&lt;&gt;"Abandonat"),"Termen depășit. ",""))&amp;IF(D57="","Leagă acțiunea de factorii din analiză. ",IF(ISNUMBER(MATCH(TRIM(LEFT(SUBSTITUTE(D57,",",REPT(" ",50)),50)),Factori!$B$5:$B$204,0)),"","Codul "&amp;TRIM(LEFT(SUBSTITUTE(D57,",",REPT(" ",50)),50))&amp;" nu există în Factori. "))))</f>
        <v/>
      </c>
    </row>
    <row r="58" spans="2:13" x14ac:dyDescent="0.2">
      <c r="B58" s="24" t="str">
        <f>IF(E58="","",COUNTA($E$5:E58))</f>
        <v/>
      </c>
      <c r="C58" s="11"/>
      <c r="D58" s="25"/>
      <c r="E58" s="11"/>
      <c r="F58" s="11"/>
      <c r="G58" s="26"/>
      <c r="H58" s="11"/>
      <c r="I58" s="12"/>
      <c r="J58" s="12"/>
      <c r="K58" s="27" t="str">
        <f t="shared" si="1"/>
        <v/>
      </c>
      <c r="L58" s="12"/>
      <c r="M58" s="14" t="str">
        <f>IF(E58="","",TRIM(IF(H58="","Adaugă un indicator măsurabil. ",IF(OR(NOT(ISNUMBER(I58)),NOT(ISNUMBER(J58))),"Completează valoarea actuală și ținta. ",""))&amp;IF(F58="","Fără responsabil. ","")&amp;IF(NOT(ISNUMBER(G58)),"Fără termen. ",IF(AND(G58&lt;DataA,L58&lt;&gt;"Realizat",L58&lt;&gt;"Abandonat"),"Termen depășit. ",""))&amp;IF(D58="","Leagă acțiunea de factorii din analiză. ",IF(ISNUMBER(MATCH(TRIM(LEFT(SUBSTITUTE(D58,",",REPT(" ",50)),50)),Factori!$B$5:$B$204,0)),"","Codul "&amp;TRIM(LEFT(SUBSTITUTE(D58,",",REPT(" ",50)),50))&amp;" nu există în Factori. "))))</f>
        <v/>
      </c>
    </row>
    <row r="59" spans="2:13" x14ac:dyDescent="0.2">
      <c r="B59" s="24" t="str">
        <f>IF(E59="","",COUNTA($E$5:E59))</f>
        <v/>
      </c>
      <c r="C59" s="11"/>
      <c r="D59" s="25"/>
      <c r="E59" s="11"/>
      <c r="F59" s="11"/>
      <c r="G59" s="26"/>
      <c r="H59" s="11"/>
      <c r="I59" s="12"/>
      <c r="J59" s="12"/>
      <c r="K59" s="27" t="str">
        <f t="shared" si="1"/>
        <v/>
      </c>
      <c r="L59" s="12"/>
      <c r="M59" s="14" t="str">
        <f>IF(E59="","",TRIM(IF(H59="","Adaugă un indicator măsurabil. ",IF(OR(NOT(ISNUMBER(I59)),NOT(ISNUMBER(J59))),"Completează valoarea actuală și ținta. ",""))&amp;IF(F59="","Fără responsabil. ","")&amp;IF(NOT(ISNUMBER(G59)),"Fără termen. ",IF(AND(G59&lt;DataA,L59&lt;&gt;"Realizat",L59&lt;&gt;"Abandonat"),"Termen depășit. ",""))&amp;IF(D59="","Leagă acțiunea de factorii din analiză. ",IF(ISNUMBER(MATCH(TRIM(LEFT(SUBSTITUTE(D59,",",REPT(" ",50)),50)),Factori!$B$5:$B$204,0)),"","Codul "&amp;TRIM(LEFT(SUBSTITUTE(D59,",",REPT(" ",50)),50))&amp;" nu există în Factori. "))))</f>
        <v/>
      </c>
    </row>
    <row r="60" spans="2:13" x14ac:dyDescent="0.2">
      <c r="B60" s="24" t="str">
        <f>IF(E60="","",COUNTA($E$5:E60))</f>
        <v/>
      </c>
      <c r="C60" s="11"/>
      <c r="D60" s="25"/>
      <c r="E60" s="11"/>
      <c r="F60" s="11"/>
      <c r="G60" s="26"/>
      <c r="H60" s="11"/>
      <c r="I60" s="12"/>
      <c r="J60" s="12"/>
      <c r="K60" s="27" t="str">
        <f t="shared" si="1"/>
        <v/>
      </c>
      <c r="L60" s="12"/>
      <c r="M60" s="14" t="str">
        <f>IF(E60="","",TRIM(IF(H60="","Adaugă un indicator măsurabil. ",IF(OR(NOT(ISNUMBER(I60)),NOT(ISNUMBER(J60))),"Completează valoarea actuală și ținta. ",""))&amp;IF(F60="","Fără responsabil. ","")&amp;IF(NOT(ISNUMBER(G60)),"Fără termen. ",IF(AND(G60&lt;DataA,L60&lt;&gt;"Realizat",L60&lt;&gt;"Abandonat"),"Termen depășit. ",""))&amp;IF(D60="","Leagă acțiunea de factorii din analiză. ",IF(ISNUMBER(MATCH(TRIM(LEFT(SUBSTITUTE(D60,",",REPT(" ",50)),50)),Factori!$B$5:$B$204,0)),"","Codul "&amp;TRIM(LEFT(SUBSTITUTE(D60,",",REPT(" ",50)),50))&amp;" nu există în Factori. "))))</f>
        <v/>
      </c>
    </row>
    <row r="61" spans="2:13" x14ac:dyDescent="0.2">
      <c r="B61" s="24" t="str">
        <f>IF(E61="","",COUNTA($E$5:E61))</f>
        <v/>
      </c>
      <c r="C61" s="11"/>
      <c r="D61" s="25"/>
      <c r="E61" s="11"/>
      <c r="F61" s="11"/>
      <c r="G61" s="26"/>
      <c r="H61" s="11"/>
      <c r="I61" s="12"/>
      <c r="J61" s="12"/>
      <c r="K61" s="27" t="str">
        <f t="shared" si="1"/>
        <v/>
      </c>
      <c r="L61" s="12"/>
      <c r="M61" s="14" t="str">
        <f>IF(E61="","",TRIM(IF(H61="","Adaugă un indicator măsurabil. ",IF(OR(NOT(ISNUMBER(I61)),NOT(ISNUMBER(J61))),"Completează valoarea actuală și ținta. ",""))&amp;IF(F61="","Fără responsabil. ","")&amp;IF(NOT(ISNUMBER(G61)),"Fără termen. ",IF(AND(G61&lt;DataA,L61&lt;&gt;"Realizat",L61&lt;&gt;"Abandonat"),"Termen depășit. ",""))&amp;IF(D61="","Leagă acțiunea de factorii din analiză. ",IF(ISNUMBER(MATCH(TRIM(LEFT(SUBSTITUTE(D61,",",REPT(" ",50)),50)),Factori!$B$5:$B$204,0)),"","Codul "&amp;TRIM(LEFT(SUBSTITUTE(D61,",",REPT(" ",50)),50))&amp;" nu există în Factori. "))))</f>
        <v/>
      </c>
    </row>
    <row r="62" spans="2:13" x14ac:dyDescent="0.2">
      <c r="B62" s="24" t="str">
        <f>IF(E62="","",COUNTA($E$5:E62))</f>
        <v/>
      </c>
      <c r="C62" s="11"/>
      <c r="D62" s="25"/>
      <c r="E62" s="11"/>
      <c r="F62" s="11"/>
      <c r="G62" s="26"/>
      <c r="H62" s="11"/>
      <c r="I62" s="12"/>
      <c r="J62" s="12"/>
      <c r="K62" s="27" t="str">
        <f t="shared" si="1"/>
        <v/>
      </c>
      <c r="L62" s="12"/>
      <c r="M62" s="14" t="str">
        <f>IF(E62="","",TRIM(IF(H62="","Adaugă un indicator măsurabil. ",IF(OR(NOT(ISNUMBER(I62)),NOT(ISNUMBER(J62))),"Completează valoarea actuală și ținta. ",""))&amp;IF(F62="","Fără responsabil. ","")&amp;IF(NOT(ISNUMBER(G62)),"Fără termen. ",IF(AND(G62&lt;DataA,L62&lt;&gt;"Realizat",L62&lt;&gt;"Abandonat"),"Termen depășit. ",""))&amp;IF(D62="","Leagă acțiunea de factorii din analiză. ",IF(ISNUMBER(MATCH(TRIM(LEFT(SUBSTITUTE(D62,",",REPT(" ",50)),50)),Factori!$B$5:$B$204,0)),"","Codul "&amp;TRIM(LEFT(SUBSTITUTE(D62,",",REPT(" ",50)),50))&amp;" nu există în Factori. "))))</f>
        <v/>
      </c>
    </row>
    <row r="63" spans="2:13" x14ac:dyDescent="0.2">
      <c r="B63" s="24" t="str">
        <f>IF(E63="","",COUNTA($E$5:E63))</f>
        <v/>
      </c>
      <c r="C63" s="11"/>
      <c r="D63" s="25"/>
      <c r="E63" s="11"/>
      <c r="F63" s="11"/>
      <c r="G63" s="26"/>
      <c r="H63" s="11"/>
      <c r="I63" s="12"/>
      <c r="J63" s="12"/>
      <c r="K63" s="27" t="str">
        <f t="shared" si="1"/>
        <v/>
      </c>
      <c r="L63" s="12"/>
      <c r="M63" s="14" t="str">
        <f>IF(E63="","",TRIM(IF(H63="","Adaugă un indicator măsurabil. ",IF(OR(NOT(ISNUMBER(I63)),NOT(ISNUMBER(J63))),"Completează valoarea actuală și ținta. ",""))&amp;IF(F63="","Fără responsabil. ","")&amp;IF(NOT(ISNUMBER(G63)),"Fără termen. ",IF(AND(G63&lt;DataA,L63&lt;&gt;"Realizat",L63&lt;&gt;"Abandonat"),"Termen depășit. ",""))&amp;IF(D63="","Leagă acțiunea de factorii din analiză. ",IF(ISNUMBER(MATCH(TRIM(LEFT(SUBSTITUTE(D63,",",REPT(" ",50)),50)),Factori!$B$5:$B$204,0)),"","Codul "&amp;TRIM(LEFT(SUBSTITUTE(D63,",",REPT(" ",50)),50))&amp;" nu există în Factori. "))))</f>
        <v/>
      </c>
    </row>
    <row r="64" spans="2:13" x14ac:dyDescent="0.2">
      <c r="B64" s="24" t="str">
        <f>IF(E64="","",COUNTA($E$5:E64))</f>
        <v/>
      </c>
      <c r="C64" s="11"/>
      <c r="D64" s="25"/>
      <c r="E64" s="11"/>
      <c r="F64" s="11"/>
      <c r="G64" s="26"/>
      <c r="H64" s="11"/>
      <c r="I64" s="12"/>
      <c r="J64" s="12"/>
      <c r="K64" s="27" t="str">
        <f t="shared" si="1"/>
        <v/>
      </c>
      <c r="L64" s="12"/>
      <c r="M64" s="14" t="str">
        <f>IF(E64="","",TRIM(IF(H64="","Adaugă un indicator măsurabil. ",IF(OR(NOT(ISNUMBER(I64)),NOT(ISNUMBER(J64))),"Completează valoarea actuală și ținta. ",""))&amp;IF(F64="","Fără responsabil. ","")&amp;IF(NOT(ISNUMBER(G64)),"Fără termen. ",IF(AND(G64&lt;DataA,L64&lt;&gt;"Realizat",L64&lt;&gt;"Abandonat"),"Termen depășit. ",""))&amp;IF(D64="","Leagă acțiunea de factorii din analiză. ",IF(ISNUMBER(MATCH(TRIM(LEFT(SUBSTITUTE(D64,",",REPT(" ",50)),50)),Factori!$B$5:$B$204,0)),"","Codul "&amp;TRIM(LEFT(SUBSTITUTE(D64,",",REPT(" ",50)),50))&amp;" nu există în Factori. "))))</f>
        <v/>
      </c>
    </row>
  </sheetData>
  <conditionalFormatting sqref="L5:L64">
    <cfRule type="cellIs" dxfId="0" priority="1" stopIfTrue="1" operator="equal">
      <formula>"Realizat"</formula>
    </cfRule>
  </conditionalFormatting>
  <dataValidations count="2">
    <dataValidation type="list" allowBlank="1" showInputMessage="1" showErrorMessage="1" sqref="C5:C64" xr:uid="{3F872FB6-FCB1-4140-9A41-A05657FDF811}">
      <formula1>ListaStrat</formula1>
    </dataValidation>
    <dataValidation type="list" allowBlank="1" showInputMessage="1" showErrorMessage="1" sqref="L5:L64" xr:uid="{0442D013-A773-41DC-B0D8-EDDEEF44D1B4}">
      <formula1>ListaStatus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790E-BAFB-4AE6-A578-3C1C3DB51E22}">
  <dimension ref="B1:H1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44.7109375" style="1" customWidth="1"/>
    <col min="4" max="4" width="3.7109375" style="1" customWidth="1"/>
    <col min="5" max="5" width="14.7109375" style="1" customWidth="1"/>
    <col min="6" max="6" width="48.7109375" style="1" customWidth="1"/>
    <col min="7" max="7" width="12.7109375" style="1" customWidth="1"/>
    <col min="8" max="8" width="7.7109375" style="1" customWidth="1"/>
    <col min="9" max="16384" width="11.42578125" style="1"/>
  </cols>
  <sheetData>
    <row r="1" spans="2:8" ht="21" x14ac:dyDescent="0.35">
      <c r="B1" s="2" t="s">
        <v>0</v>
      </c>
    </row>
    <row r="2" spans="2:8" x14ac:dyDescent="0.2">
      <c r="B2" s="3" t="s">
        <v>1</v>
      </c>
    </row>
    <row r="4" spans="2:8" x14ac:dyDescent="0.2">
      <c r="B4" s="4" t="s">
        <v>2</v>
      </c>
      <c r="C4" s="5" t="s">
        <v>3</v>
      </c>
      <c r="E4" s="7" t="s">
        <v>11</v>
      </c>
      <c r="F4" s="7" t="s">
        <v>16</v>
      </c>
      <c r="G4" s="7" t="s">
        <v>21</v>
      </c>
      <c r="H4" s="7" t="s">
        <v>26</v>
      </c>
    </row>
    <row r="5" spans="2:8" x14ac:dyDescent="0.2">
      <c r="B5" s="4" t="s">
        <v>4</v>
      </c>
      <c r="C5" s="5" t="s">
        <v>5</v>
      </c>
      <c r="E5" s="8" t="s">
        <v>12</v>
      </c>
      <c r="F5" s="8" t="s">
        <v>17</v>
      </c>
      <c r="G5" s="8" t="s">
        <v>22</v>
      </c>
      <c r="H5" s="8">
        <v>1</v>
      </c>
    </row>
    <row r="6" spans="2:8" x14ac:dyDescent="0.2">
      <c r="B6" s="4" t="s">
        <v>6</v>
      </c>
      <c r="C6" s="6">
        <f>DATE(2026,10,14)</f>
        <v>46309</v>
      </c>
      <c r="E6" s="8" t="s">
        <v>13</v>
      </c>
      <c r="F6" s="8" t="s">
        <v>18</v>
      </c>
      <c r="G6" s="8" t="s">
        <v>23</v>
      </c>
      <c r="H6" s="8">
        <v>2</v>
      </c>
    </row>
    <row r="7" spans="2:8" x14ac:dyDescent="0.2">
      <c r="B7" s="4" t="s">
        <v>7</v>
      </c>
      <c r="C7" s="5" t="s">
        <v>8</v>
      </c>
      <c r="E7" s="8" t="s">
        <v>14</v>
      </c>
      <c r="F7" s="8" t="s">
        <v>19</v>
      </c>
      <c r="G7" s="8" t="s">
        <v>24</v>
      </c>
      <c r="H7" s="8">
        <v>3</v>
      </c>
    </row>
    <row r="8" spans="2:8" x14ac:dyDescent="0.2">
      <c r="B8" s="4" t="s">
        <v>9</v>
      </c>
      <c r="C8" s="5">
        <v>15</v>
      </c>
      <c r="E8" s="8" t="s">
        <v>15</v>
      </c>
      <c r="F8" s="8" t="s">
        <v>20</v>
      </c>
      <c r="G8" s="8" t="s">
        <v>25</v>
      </c>
      <c r="H8" s="8">
        <v>4</v>
      </c>
    </row>
    <row r="9" spans="2:8" x14ac:dyDescent="0.2">
      <c r="B9" s="4" t="s">
        <v>10</v>
      </c>
      <c r="C9" s="5">
        <v>8</v>
      </c>
      <c r="H9" s="8">
        <v>5</v>
      </c>
    </row>
    <row r="10" spans="2:8" x14ac:dyDescent="0.2">
      <c r="E10" s="7" t="s">
        <v>27</v>
      </c>
    </row>
    <row r="11" spans="2:8" x14ac:dyDescent="0.2">
      <c r="E11" s="8" t="s">
        <v>28</v>
      </c>
    </row>
    <row r="12" spans="2:8" x14ac:dyDescent="0.2">
      <c r="E12" s="8" t="s">
        <v>29</v>
      </c>
    </row>
    <row r="13" spans="2:8" x14ac:dyDescent="0.2">
      <c r="E13" s="8" t="s">
        <v>30</v>
      </c>
    </row>
    <row r="14" spans="2:8" x14ac:dyDescent="0.2">
      <c r="E14" s="8" t="s">
        <v>31</v>
      </c>
    </row>
    <row r="16" spans="2:8" x14ac:dyDescent="0.2">
      <c r="B16" s="73" t="s">
        <v>123</v>
      </c>
    </row>
    <row r="17" spans="2:2" x14ac:dyDescent="0.2">
      <c r="B17" s="74" t="s">
        <v>124</v>
      </c>
    </row>
    <row r="18" spans="2:2" x14ac:dyDescent="0.2">
      <c r="B18" s="75" t="s">
        <v>125</v>
      </c>
    </row>
  </sheetData>
  <hyperlinks>
    <hyperlink ref="B18" r:id="rId1" tooltip="Instrucțiuni și alte modele gratuite" xr:uid="{8B577E48-BF65-4D3C-9F19-85E6B56AFB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11</vt:i4>
      </vt:variant>
    </vt:vector>
  </HeadingPairs>
  <TitlesOfParts>
    <vt:vector size="16" baseType="lpstr">
      <vt:lpstr>Matrice SWOT</vt:lpstr>
      <vt:lpstr>Factori</vt:lpstr>
      <vt:lpstr>Competitori</vt:lpstr>
      <vt:lpstr>Strategii și acțiuni</vt:lpstr>
      <vt:lpstr>Setări</vt:lpstr>
      <vt:lpstr>'Matrice SWOT'!Área_de_impresión</vt:lpstr>
      <vt:lpstr>DataA</vt:lpstr>
      <vt:lpstr>Echipa</vt:lpstr>
      <vt:lpstr>Firma</vt:lpstr>
      <vt:lpstr>ListaNota</vt:lpstr>
      <vt:lpstr>ListaStatus</vt:lpstr>
      <vt:lpstr>ListaStrat</vt:lpstr>
      <vt:lpstr>ListaTip</vt:lpstr>
      <vt:lpstr>PragM</vt:lpstr>
      <vt:lpstr>PragR</vt:lpstr>
      <vt:lpstr>Scop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Analiză SWOT – model Excel</dc:title>
  <dc:subject>Model Excel gratuit în limba română</dc:subject>
  <dc:creator>Ray Moreno · modelexcel.ro</dc:creator>
  <cp:keywords>modelexcel.ro, model Excel, Analiză SWOT – model Excel</cp:keywords>
  <dc:description>© 2026 Ray Moreno – modelexcel.ro. Model gratuit: îl poți folosi și adapta în activitatea ta. Nu este permisă revânzarea lui sau publicarea pe alte site-uri. https://modelexcel.ro/analiza-swot/</dc:description>
  <cp:lastModifiedBy>Ray Moreno · modelexcel.ro</cp:lastModifiedBy>
  <dcterms:created xsi:type="dcterms:W3CDTF">2026-10-13T22:08:56Z</dcterms:created>
  <dcterms:modified xsi:type="dcterms:W3CDTF">2026-10-13T22:13:18Z</dcterms:modified>
  <cp:category>Model Excel</cp:category>
</cp:coreProperties>
</file>