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0668FEC2-2C10-4B86-85E5-65A6BC79F198}" xr6:coauthVersionLast="47" xr6:coauthVersionMax="47" xr10:uidLastSave="{00000000-0000-0000-0000-000000000000}"/>
  <bookViews>
    <workbookView xWindow="-28920" yWindow="-120" windowWidth="29040" windowHeight="15720" xr2:uid="{D3FBEB39-9E1D-493D-9DE5-63C651B40FCE}"/>
  </bookViews>
  <sheets>
    <sheet name="Calendar anual" sheetId="1" r:id="rId1"/>
    <sheet name="Planificator lunar" sheetId="2" r:id="rId2"/>
    <sheet name="Zile libere" sheetId="3" r:id="rId3"/>
    <sheet name="Despre model" sheetId="4" r:id="rId4"/>
  </sheets>
  <definedNames>
    <definedName name="An">'Calendar anual'!$F$2</definedName>
    <definedName name="_xlnm.Print_Area" localSheetId="0">'Calendar anual'!$A$1:$Y$41</definedName>
    <definedName name="_xlnm.Print_Area" localSheetId="1">'Planificator lunar'!$A$1:$I$20</definedName>
    <definedName name="ListaLuni">'Planificator lunar'!$L$30:$L$41</definedName>
    <definedName name="LunaSel">'Planificator lunar'!$J$3</definedName>
    <definedName name="Sarbatori">'Zile libere'!$G$8:$G$24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 i="2" l="1"/>
  <c r="G11" i="2"/>
  <c r="F11" i="2"/>
  <c r="E11" i="2"/>
  <c r="D11" i="2"/>
  <c r="C11" i="2"/>
  <c r="B11" i="2"/>
  <c r="H10" i="2"/>
  <c r="G10" i="2"/>
  <c r="F10" i="2"/>
  <c r="E10" i="2"/>
  <c r="D10" i="2"/>
  <c r="C10" i="2"/>
  <c r="B10" i="2"/>
  <c r="H9" i="2"/>
  <c r="G9" i="2"/>
  <c r="F9" i="2"/>
  <c r="E9" i="2"/>
  <c r="D9" i="2"/>
  <c r="C9" i="2"/>
  <c r="B9" i="2"/>
  <c r="H8" i="2"/>
  <c r="G8" i="2"/>
  <c r="F8" i="2"/>
  <c r="E8" i="2"/>
  <c r="D8" i="2"/>
  <c r="C8" i="2"/>
  <c r="B8" i="2"/>
  <c r="H7" i="2"/>
  <c r="G7" i="2"/>
  <c r="F7" i="2"/>
  <c r="E7" i="2"/>
  <c r="D7" i="2"/>
  <c r="C7" i="2"/>
  <c r="B7" i="2"/>
  <c r="H6" i="2"/>
  <c r="G6" i="2"/>
  <c r="F6" i="2"/>
  <c r="E6" i="2"/>
  <c r="D6" i="2"/>
  <c r="C6" i="2"/>
  <c r="B6" i="2"/>
  <c r="J3" i="2"/>
  <c r="F3" i="2"/>
  <c r="X38" i="1"/>
  <c r="W38" i="1"/>
  <c r="V38" i="1"/>
  <c r="U38" i="1"/>
  <c r="T38" i="1"/>
  <c r="S38" i="1"/>
  <c r="R38" i="1"/>
  <c r="X37" i="1"/>
  <c r="W37" i="1"/>
  <c r="V37" i="1"/>
  <c r="U37" i="1"/>
  <c r="T37" i="1"/>
  <c r="S37" i="1"/>
  <c r="R37" i="1"/>
  <c r="X36" i="1"/>
  <c r="W36" i="1"/>
  <c r="V36" i="1"/>
  <c r="U36" i="1"/>
  <c r="T36" i="1"/>
  <c r="S36" i="1"/>
  <c r="R36" i="1"/>
  <c r="X35" i="1"/>
  <c r="W35" i="1"/>
  <c r="V35" i="1"/>
  <c r="U35" i="1"/>
  <c r="T35" i="1"/>
  <c r="S35" i="1"/>
  <c r="R35" i="1"/>
  <c r="X34" i="1"/>
  <c r="W34" i="1"/>
  <c r="V34" i="1"/>
  <c r="U34" i="1"/>
  <c r="T34" i="1"/>
  <c r="S34" i="1"/>
  <c r="R34" i="1"/>
  <c r="X33" i="1"/>
  <c r="W33" i="1"/>
  <c r="V33" i="1"/>
  <c r="U33" i="1"/>
  <c r="T33" i="1"/>
  <c r="S33" i="1"/>
  <c r="R33" i="1"/>
  <c r="P38" i="1"/>
  <c r="O38" i="1"/>
  <c r="N38" i="1"/>
  <c r="M38" i="1"/>
  <c r="L38" i="1"/>
  <c r="K38" i="1"/>
  <c r="J38" i="1"/>
  <c r="P37" i="1"/>
  <c r="O37" i="1"/>
  <c r="N37" i="1"/>
  <c r="M37" i="1"/>
  <c r="L37" i="1"/>
  <c r="K37" i="1"/>
  <c r="J37" i="1"/>
  <c r="P36" i="1"/>
  <c r="O36" i="1"/>
  <c r="N36" i="1"/>
  <c r="M36" i="1"/>
  <c r="L36" i="1"/>
  <c r="K36" i="1"/>
  <c r="J36" i="1"/>
  <c r="P35" i="1"/>
  <c r="O35" i="1"/>
  <c r="N35" i="1"/>
  <c r="M35" i="1"/>
  <c r="L35" i="1"/>
  <c r="K35" i="1"/>
  <c r="J35" i="1"/>
  <c r="P34" i="1"/>
  <c r="O34" i="1"/>
  <c r="N34" i="1"/>
  <c r="M34" i="1"/>
  <c r="L34" i="1"/>
  <c r="K34" i="1"/>
  <c r="J34" i="1"/>
  <c r="P33" i="1"/>
  <c r="O33" i="1"/>
  <c r="N33" i="1"/>
  <c r="M33" i="1"/>
  <c r="L33" i="1"/>
  <c r="K33" i="1"/>
  <c r="J33" i="1"/>
  <c r="H38" i="1"/>
  <c r="G38" i="1"/>
  <c r="F38" i="1"/>
  <c r="E38" i="1"/>
  <c r="D38" i="1"/>
  <c r="C38" i="1"/>
  <c r="B38" i="1"/>
  <c r="H37" i="1"/>
  <c r="G37" i="1"/>
  <c r="F37" i="1"/>
  <c r="E37" i="1"/>
  <c r="D37" i="1"/>
  <c r="C37" i="1"/>
  <c r="B37" i="1"/>
  <c r="H36" i="1"/>
  <c r="G36" i="1"/>
  <c r="F36" i="1"/>
  <c r="E36" i="1"/>
  <c r="D36" i="1"/>
  <c r="C36" i="1"/>
  <c r="B36" i="1"/>
  <c r="H35" i="1"/>
  <c r="G35" i="1"/>
  <c r="F35" i="1"/>
  <c r="E35" i="1"/>
  <c r="D35" i="1"/>
  <c r="C35" i="1"/>
  <c r="B35" i="1"/>
  <c r="H34" i="1"/>
  <c r="G34" i="1"/>
  <c r="F34" i="1"/>
  <c r="E34" i="1"/>
  <c r="D34" i="1"/>
  <c r="C34" i="1"/>
  <c r="B34" i="1"/>
  <c r="H33" i="1"/>
  <c r="G33" i="1"/>
  <c r="F33" i="1"/>
  <c r="E33" i="1"/>
  <c r="D33" i="1"/>
  <c r="C33" i="1"/>
  <c r="B33" i="1"/>
  <c r="X29" i="1"/>
  <c r="W29" i="1"/>
  <c r="V29" i="1"/>
  <c r="U29" i="1"/>
  <c r="T29" i="1"/>
  <c r="S29" i="1"/>
  <c r="R29" i="1"/>
  <c r="X28" i="1"/>
  <c r="W28" i="1"/>
  <c r="V28" i="1"/>
  <c r="U28" i="1"/>
  <c r="T28" i="1"/>
  <c r="S28" i="1"/>
  <c r="R28" i="1"/>
  <c r="X27" i="1"/>
  <c r="W27" i="1"/>
  <c r="V27" i="1"/>
  <c r="U27" i="1"/>
  <c r="T27" i="1"/>
  <c r="S27" i="1"/>
  <c r="R27" i="1"/>
  <c r="X26" i="1"/>
  <c r="W26" i="1"/>
  <c r="V26" i="1"/>
  <c r="U26" i="1"/>
  <c r="T26" i="1"/>
  <c r="S26" i="1"/>
  <c r="R26" i="1"/>
  <c r="X25" i="1"/>
  <c r="W25" i="1"/>
  <c r="V25" i="1"/>
  <c r="U25" i="1"/>
  <c r="T25" i="1"/>
  <c r="S25" i="1"/>
  <c r="R25" i="1"/>
  <c r="X24" i="1"/>
  <c r="W24" i="1"/>
  <c r="V24" i="1"/>
  <c r="U24" i="1"/>
  <c r="T24" i="1"/>
  <c r="S24" i="1"/>
  <c r="R24" i="1"/>
  <c r="P29" i="1"/>
  <c r="O29" i="1"/>
  <c r="N29" i="1"/>
  <c r="M29" i="1"/>
  <c r="L29" i="1"/>
  <c r="K29" i="1"/>
  <c r="J29" i="1"/>
  <c r="P28" i="1"/>
  <c r="O28" i="1"/>
  <c r="N28" i="1"/>
  <c r="M28" i="1"/>
  <c r="L28" i="1"/>
  <c r="K28" i="1"/>
  <c r="J28" i="1"/>
  <c r="P27" i="1"/>
  <c r="O27" i="1"/>
  <c r="N27" i="1"/>
  <c r="M27" i="1"/>
  <c r="L27" i="1"/>
  <c r="K27" i="1"/>
  <c r="J27" i="1"/>
  <c r="P26" i="1"/>
  <c r="O26" i="1"/>
  <c r="N26" i="1"/>
  <c r="M26" i="1"/>
  <c r="L26" i="1"/>
  <c r="K26" i="1"/>
  <c r="J26" i="1"/>
  <c r="P25" i="1"/>
  <c r="O25" i="1"/>
  <c r="N25" i="1"/>
  <c r="M25" i="1"/>
  <c r="L25" i="1"/>
  <c r="K25" i="1"/>
  <c r="J25" i="1"/>
  <c r="P24" i="1"/>
  <c r="O24" i="1"/>
  <c r="N24" i="1"/>
  <c r="M24" i="1"/>
  <c r="L24" i="1"/>
  <c r="K24" i="1"/>
  <c r="J24" i="1"/>
  <c r="H29" i="1"/>
  <c r="G29" i="1"/>
  <c r="F29" i="1"/>
  <c r="E29" i="1"/>
  <c r="D29" i="1"/>
  <c r="C29" i="1"/>
  <c r="B29" i="1"/>
  <c r="H28" i="1"/>
  <c r="G28" i="1"/>
  <c r="F28" i="1"/>
  <c r="E28" i="1"/>
  <c r="D28" i="1"/>
  <c r="C28" i="1"/>
  <c r="B28" i="1"/>
  <c r="H27" i="1"/>
  <c r="G27" i="1"/>
  <c r="F27" i="1"/>
  <c r="E27" i="1"/>
  <c r="D27" i="1"/>
  <c r="C27" i="1"/>
  <c r="B27" i="1"/>
  <c r="H26" i="1"/>
  <c r="G26" i="1"/>
  <c r="F26" i="1"/>
  <c r="E26" i="1"/>
  <c r="D26" i="1"/>
  <c r="C26" i="1"/>
  <c r="B26" i="1"/>
  <c r="H25" i="1"/>
  <c r="G25" i="1"/>
  <c r="F25" i="1"/>
  <c r="E25" i="1"/>
  <c r="D25" i="1"/>
  <c r="C25" i="1"/>
  <c r="B25" i="1"/>
  <c r="H24" i="1"/>
  <c r="G24" i="1"/>
  <c r="F24" i="1"/>
  <c r="E24" i="1"/>
  <c r="D24" i="1"/>
  <c r="C24" i="1"/>
  <c r="B24" i="1"/>
  <c r="X20" i="1"/>
  <c r="W20" i="1"/>
  <c r="V20" i="1"/>
  <c r="U20" i="1"/>
  <c r="T20" i="1"/>
  <c r="S20" i="1"/>
  <c r="R20" i="1"/>
  <c r="X19" i="1"/>
  <c r="W19" i="1"/>
  <c r="V19" i="1"/>
  <c r="U19" i="1"/>
  <c r="T19" i="1"/>
  <c r="S19" i="1"/>
  <c r="R19" i="1"/>
  <c r="X18" i="1"/>
  <c r="W18" i="1"/>
  <c r="V18" i="1"/>
  <c r="U18" i="1"/>
  <c r="T18" i="1"/>
  <c r="S18" i="1"/>
  <c r="R18" i="1"/>
  <c r="X17" i="1"/>
  <c r="W17" i="1"/>
  <c r="V17" i="1"/>
  <c r="U17" i="1"/>
  <c r="T17" i="1"/>
  <c r="S17" i="1"/>
  <c r="R17" i="1"/>
  <c r="X16" i="1"/>
  <c r="W16" i="1"/>
  <c r="V16" i="1"/>
  <c r="U16" i="1"/>
  <c r="T16" i="1"/>
  <c r="S16" i="1"/>
  <c r="R16" i="1"/>
  <c r="X15" i="1"/>
  <c r="W15" i="1"/>
  <c r="V15" i="1"/>
  <c r="U15" i="1"/>
  <c r="T15" i="1"/>
  <c r="S15" i="1"/>
  <c r="R15" i="1"/>
  <c r="P20" i="1"/>
  <c r="O20" i="1"/>
  <c r="N20" i="1"/>
  <c r="M20" i="1"/>
  <c r="L20" i="1"/>
  <c r="K20" i="1"/>
  <c r="J20" i="1"/>
  <c r="P19" i="1"/>
  <c r="O19" i="1"/>
  <c r="N19" i="1"/>
  <c r="M19" i="1"/>
  <c r="L19" i="1"/>
  <c r="K19" i="1"/>
  <c r="J19" i="1"/>
  <c r="P18" i="1"/>
  <c r="O18" i="1"/>
  <c r="N18" i="1"/>
  <c r="M18" i="1"/>
  <c r="L18" i="1"/>
  <c r="K18" i="1"/>
  <c r="J18" i="1"/>
  <c r="P17" i="1"/>
  <c r="O17" i="1"/>
  <c r="N17" i="1"/>
  <c r="M17" i="1"/>
  <c r="L17" i="1"/>
  <c r="K17" i="1"/>
  <c r="J17" i="1"/>
  <c r="P16" i="1"/>
  <c r="O16" i="1"/>
  <c r="N16" i="1"/>
  <c r="M16" i="1"/>
  <c r="L16" i="1"/>
  <c r="K16" i="1"/>
  <c r="J16" i="1"/>
  <c r="P15" i="1"/>
  <c r="O15" i="1"/>
  <c r="N15" i="1"/>
  <c r="M15" i="1"/>
  <c r="L15" i="1"/>
  <c r="K15" i="1"/>
  <c r="J15" i="1"/>
  <c r="H20" i="1"/>
  <c r="G20" i="1"/>
  <c r="F20" i="1"/>
  <c r="E20" i="1"/>
  <c r="D20" i="1"/>
  <c r="C20" i="1"/>
  <c r="B20" i="1"/>
  <c r="H19" i="1"/>
  <c r="G19" i="1"/>
  <c r="F19" i="1"/>
  <c r="E19" i="1"/>
  <c r="D19" i="1"/>
  <c r="C19" i="1"/>
  <c r="B19" i="1"/>
  <c r="H18" i="1"/>
  <c r="G18" i="1"/>
  <c r="F18" i="1"/>
  <c r="E18" i="1"/>
  <c r="D18" i="1"/>
  <c r="C18" i="1"/>
  <c r="B18" i="1"/>
  <c r="H17" i="1"/>
  <c r="G17" i="1"/>
  <c r="F17" i="1"/>
  <c r="E17" i="1"/>
  <c r="D17" i="1"/>
  <c r="C17" i="1"/>
  <c r="B17" i="1"/>
  <c r="H16" i="1"/>
  <c r="G16" i="1"/>
  <c r="F16" i="1"/>
  <c r="E16" i="1"/>
  <c r="D16" i="1"/>
  <c r="C16" i="1"/>
  <c r="B16" i="1"/>
  <c r="H15" i="1"/>
  <c r="G15" i="1"/>
  <c r="F15" i="1"/>
  <c r="E15" i="1"/>
  <c r="D15" i="1"/>
  <c r="C15" i="1"/>
  <c r="B15" i="1"/>
  <c r="X11" i="1"/>
  <c r="W11" i="1"/>
  <c r="V11" i="1"/>
  <c r="U11" i="1"/>
  <c r="T11" i="1"/>
  <c r="S11" i="1"/>
  <c r="R11" i="1"/>
  <c r="X10" i="1"/>
  <c r="W10" i="1"/>
  <c r="V10" i="1"/>
  <c r="U10" i="1"/>
  <c r="T10" i="1"/>
  <c r="S10" i="1"/>
  <c r="R10" i="1"/>
  <c r="X9" i="1"/>
  <c r="W9" i="1"/>
  <c r="V9" i="1"/>
  <c r="U9" i="1"/>
  <c r="T9" i="1"/>
  <c r="S9" i="1"/>
  <c r="R9" i="1"/>
  <c r="X8" i="1"/>
  <c r="W8" i="1"/>
  <c r="V8" i="1"/>
  <c r="U8" i="1"/>
  <c r="T8" i="1"/>
  <c r="S8" i="1"/>
  <c r="R8" i="1"/>
  <c r="X7" i="1"/>
  <c r="W7" i="1"/>
  <c r="V7" i="1"/>
  <c r="U7" i="1"/>
  <c r="T7" i="1"/>
  <c r="S7" i="1"/>
  <c r="R7" i="1"/>
  <c r="X6" i="1"/>
  <c r="W6" i="1"/>
  <c r="V6" i="1"/>
  <c r="U6" i="1"/>
  <c r="T6" i="1"/>
  <c r="S6" i="1"/>
  <c r="R6" i="1"/>
  <c r="P11" i="1"/>
  <c r="O11" i="1"/>
  <c r="N11" i="1"/>
  <c r="M11" i="1"/>
  <c r="L11" i="1"/>
  <c r="K11" i="1"/>
  <c r="J11" i="1"/>
  <c r="P10" i="1"/>
  <c r="O10" i="1"/>
  <c r="N10" i="1"/>
  <c r="M10" i="1"/>
  <c r="L10" i="1"/>
  <c r="K10" i="1"/>
  <c r="J10" i="1"/>
  <c r="P9" i="1"/>
  <c r="O9" i="1"/>
  <c r="N9" i="1"/>
  <c r="M9" i="1"/>
  <c r="L9" i="1"/>
  <c r="K9" i="1"/>
  <c r="J9" i="1"/>
  <c r="P8" i="1"/>
  <c r="O8" i="1"/>
  <c r="N8" i="1"/>
  <c r="M8" i="1"/>
  <c r="L8" i="1"/>
  <c r="K8" i="1"/>
  <c r="J8" i="1"/>
  <c r="P7" i="1"/>
  <c r="O7" i="1"/>
  <c r="N7" i="1"/>
  <c r="M7" i="1"/>
  <c r="L7" i="1"/>
  <c r="K7" i="1"/>
  <c r="J7" i="1"/>
  <c r="P6" i="1"/>
  <c r="O6" i="1"/>
  <c r="N6" i="1"/>
  <c r="M6" i="1"/>
  <c r="L6" i="1"/>
  <c r="K6" i="1"/>
  <c r="J6" i="1"/>
  <c r="H11" i="1"/>
  <c r="G11" i="1"/>
  <c r="F11" i="1"/>
  <c r="E11" i="1"/>
  <c r="D11" i="1"/>
  <c r="C11" i="1"/>
  <c r="B11" i="1"/>
  <c r="H10" i="1"/>
  <c r="G10" i="1"/>
  <c r="F10" i="1"/>
  <c r="E10" i="1"/>
  <c r="D10" i="1"/>
  <c r="C10" i="1"/>
  <c r="B10" i="1"/>
  <c r="H9" i="1"/>
  <c r="G9" i="1"/>
  <c r="F9" i="1"/>
  <c r="E9" i="1"/>
  <c r="D9" i="1"/>
  <c r="C9" i="1"/>
  <c r="B9" i="1"/>
  <c r="H8" i="1"/>
  <c r="G8" i="1"/>
  <c r="F8" i="1"/>
  <c r="E8" i="1"/>
  <c r="D8" i="1"/>
  <c r="C8" i="1"/>
  <c r="B8" i="1"/>
  <c r="H7" i="1"/>
  <c r="G7" i="1"/>
  <c r="F7" i="1"/>
  <c r="E7" i="1"/>
  <c r="D7" i="1"/>
  <c r="C7" i="1"/>
  <c r="B7" i="1"/>
  <c r="H6" i="1"/>
  <c r="G6" i="1"/>
  <c r="F6" i="1"/>
  <c r="E6" i="1"/>
  <c r="D6" i="1"/>
  <c r="C6" i="1"/>
  <c r="B6" i="1"/>
  <c r="C27" i="3"/>
  <c r="C26" i="3"/>
  <c r="E24" i="3"/>
  <c r="D24" i="3"/>
  <c r="C24" i="3"/>
  <c r="G24" i="3"/>
  <c r="E23" i="3"/>
  <c r="D23" i="3"/>
  <c r="C23" i="3"/>
  <c r="G23" i="3"/>
  <c r="E22" i="3"/>
  <c r="D22" i="3"/>
  <c r="C22" i="3"/>
  <c r="G22" i="3"/>
  <c r="E21" i="3"/>
  <c r="D21" i="3"/>
  <c r="C21" i="3"/>
  <c r="G21" i="3"/>
  <c r="E20" i="3"/>
  <c r="D20" i="3"/>
  <c r="C20" i="3"/>
  <c r="G20" i="3"/>
  <c r="E19" i="3"/>
  <c r="D19" i="3"/>
  <c r="C19" i="3"/>
  <c r="G19" i="3"/>
  <c r="E18" i="3"/>
  <c r="D18" i="3"/>
  <c r="C18" i="3"/>
  <c r="G18" i="3"/>
  <c r="E17" i="3"/>
  <c r="D17" i="3"/>
  <c r="C17" i="3"/>
  <c r="G17" i="3"/>
  <c r="E16" i="3"/>
  <c r="D16" i="3"/>
  <c r="C16" i="3"/>
  <c r="G16" i="3"/>
  <c r="E15" i="3"/>
  <c r="D15" i="3"/>
  <c r="C15" i="3"/>
  <c r="G15" i="3"/>
  <c r="E14" i="3"/>
  <c r="D14" i="3"/>
  <c r="C14" i="3"/>
  <c r="G14" i="3"/>
  <c r="E13" i="3"/>
  <c r="D13" i="3"/>
  <c r="C13" i="3"/>
  <c r="G13" i="3"/>
  <c r="E12" i="3"/>
  <c r="D12" i="3"/>
  <c r="C12" i="3"/>
  <c r="G12" i="3"/>
  <c r="E11" i="3"/>
  <c r="D11" i="3"/>
  <c r="C11" i="3"/>
  <c r="G11" i="3"/>
  <c r="E10" i="3"/>
  <c r="D10" i="3"/>
  <c r="C10" i="3"/>
  <c r="G10" i="3"/>
  <c r="E9" i="3"/>
  <c r="D9" i="3"/>
  <c r="C9" i="3"/>
  <c r="G9" i="3"/>
  <c r="E8" i="3"/>
  <c r="D8" i="3"/>
  <c r="C8" i="3"/>
  <c r="G8" i="3"/>
  <c r="E5" i="3"/>
  <c r="G5" i="3"/>
  <c r="E2" i="3"/>
</calcChain>
</file>

<file path=xl/sharedStrings.xml><?xml version="1.0" encoding="utf-8"?>
<sst xmlns="http://schemas.openxmlformats.org/spreadsheetml/2006/main" count="159" uniqueCount="69">
  <si>
    <t>Calendar</t>
  </si>
  <si>
    <t>Schimbă anul în celula verde: calendarul și sărbătorile legale se recalculează automat.</t>
  </si>
  <si>
    <t>Zile libere legale</t>
  </si>
  <si>
    <t>Conform art. 139 din Codul muncii (Legea nr. 53/2003, republicată, cu modificările ulterioare). Anul se schimbă din foaia „Calendar anual”.</t>
  </si>
  <si>
    <t>Paștele ortodox (calculat):</t>
  </si>
  <si>
    <t>Sărbătoare</t>
  </si>
  <si>
    <t>Data</t>
  </si>
  <si>
    <t>Ziua săptămânii</t>
  </si>
  <si>
    <t>Cade în</t>
  </si>
  <si>
    <t>Anul Nou</t>
  </si>
  <si>
    <t>A doua zi de Anul Nou</t>
  </si>
  <si>
    <t>Boboteaza</t>
  </si>
  <si>
    <t>Sfântul Ioan Botezătorul</t>
  </si>
  <si>
    <t>Ziua Unirii Principatelor Române</t>
  </si>
  <si>
    <t>Vinerea Mare</t>
  </si>
  <si>
    <t>Prima zi de Paște</t>
  </si>
  <si>
    <t>A doua zi de Paște</t>
  </si>
  <si>
    <t>Ziua Muncii</t>
  </si>
  <si>
    <t>Ziua Copilului</t>
  </si>
  <si>
    <t>Prima zi de Rusalii</t>
  </si>
  <si>
    <t>A doua zi de Rusalii</t>
  </si>
  <si>
    <t>Adormirea Maicii Domnului (Sfânta Maria)</t>
  </si>
  <si>
    <t>Sfântul Andrei</t>
  </si>
  <si>
    <t>Ziua Națională a României</t>
  </si>
  <si>
    <t>Prima zi de Crăciun</t>
  </si>
  <si>
    <t>A doua zi de Crăciun</t>
  </si>
  <si>
    <t>Total sărbători legale:</t>
  </si>
  <si>
    <t>Din care în zile lucrătoare (zile libere efective):</t>
  </si>
  <si>
    <t>Notă: sărbătorile care cad în weekend nu se reportează. Angajații de alte culte religioase legale au dreptul la câte două zile libere pentru fiecare dintre cele trei sărbători religioase anuale ale cultului lor.</t>
  </si>
  <si>
    <t>Ianuarie</t>
  </si>
  <si>
    <t>L</t>
  </si>
  <si>
    <t>Ma</t>
  </si>
  <si>
    <t>Mi</t>
  </si>
  <si>
    <t>J</t>
  </si>
  <si>
    <t>V</t>
  </si>
  <si>
    <t>S</t>
  </si>
  <si>
    <t>D</t>
  </si>
  <si>
    <t>Februarie</t>
  </si>
  <si>
    <t>Martie</t>
  </si>
  <si>
    <t>Aprilie</t>
  </si>
  <si>
    <t>Mai</t>
  </si>
  <si>
    <t>Iunie</t>
  </si>
  <si>
    <t>Iulie</t>
  </si>
  <si>
    <t>August</t>
  </si>
  <si>
    <t>Septembrie</t>
  </si>
  <si>
    <t>Octombrie</t>
  </si>
  <si>
    <t>Noiembrie</t>
  </si>
  <si>
    <t>Decembrie</t>
  </si>
  <si>
    <t>Sărbătoare legală (zi liberă)</t>
  </si>
  <si>
    <t>S / D</t>
  </si>
  <si>
    <t>Weekend</t>
  </si>
  <si>
    <t>Lista completă: foaia „Zile libere”</t>
  </si>
  <si>
    <t>Șablon gratuit de la modelexcel.ro</t>
  </si>
  <si>
    <t>Planificator lunar</t>
  </si>
  <si>
    <t>Luna:</t>
  </si>
  <si>
    <t>Anul:</t>
  </si>
  <si>
    <t>Luni</t>
  </si>
  <si>
    <t>Marți</t>
  </si>
  <si>
    <t>Miercuri</t>
  </si>
  <si>
    <t>Joi</t>
  </si>
  <si>
    <t>Vineri</t>
  </si>
  <si>
    <t>Sâmbătă</t>
  </si>
  <si>
    <t>Duminică</t>
  </si>
  <si>
    <t>Notițe</t>
  </si>
  <si>
    <t>Zilele marcate cu roșu sunt sărbători legale. Alege luna din lista derulantă (celula verde).</t>
  </si>
  <si>
    <t>Calendar 2027 Excel cu zile libere legale</t>
  </si>
  <si>
    <t>© 2026 Ray Moreno – modelexcel.ro</t>
  </si>
  <si>
    <t>Model gratuit: îl poți folosi și adapta în activitatea ta. Nu este permisă revânzarea lui sau publicarea pe alte site-uri.</t>
  </si>
  <si>
    <t>Instrucțiuni și alte modele: modelexcel.ro/calendar-2027-excel/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</si>
</sst>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20" x14ac:knownFonts="1">
    <font>
      <sz val="11"/>
      <color theme="1"/>
      <name val="Aptos Narrow"/>
      <family val="2"/>
      <scheme val="minor"/>
    </font>
    <font>
      <sz val="10"/>
      <color theme="1"/>
      <name val="Calibri"/>
      <family val="2"/>
    </font>
    <font>
      <b/>
      <sz val="26"/>
      <color rgb="FF17734A"/>
      <name val="Calibri"/>
      <family val="2"/>
    </font>
    <font>
      <i/>
      <sz val="10"/>
      <color theme="1"/>
      <name val="Calibri"/>
      <family val="2"/>
    </font>
    <font>
      <i/>
      <sz val="10"/>
      <color rgb="FF5D6B64"/>
      <name val="Calibri"/>
      <family val="2"/>
    </font>
    <font>
      <b/>
      <sz val="20"/>
      <color rgb="FF17734A"/>
      <name val="Calibri"/>
      <family val="2"/>
    </font>
    <font>
      <b/>
      <sz val="10"/>
      <color theme="1"/>
      <name val="Calibri"/>
      <family val="2"/>
    </font>
    <font>
      <b/>
      <sz val="10"/>
      <color rgb="FFFFFFFF"/>
      <name val="Calibri"/>
      <family val="2"/>
    </font>
    <font>
      <b/>
      <sz val="12"/>
      <color theme="1"/>
      <name val="Calibri"/>
      <family val="2"/>
    </font>
    <font>
      <b/>
      <sz val="12"/>
      <color rgb="FFFFFFFF"/>
      <name val="Calibri"/>
      <family val="2"/>
    </font>
    <font>
      <b/>
      <sz val="10"/>
      <color rgb="FFB4322A"/>
      <name val="Calibri"/>
      <family val="2"/>
    </font>
    <font>
      <sz val="10"/>
      <color rgb="FFB4322A"/>
      <name val="Calibri"/>
      <family val="2"/>
    </font>
    <font>
      <sz val="8"/>
      <color rgb="FF5D6B64"/>
      <name val="Calibri"/>
      <family val="2"/>
    </font>
    <font>
      <b/>
      <sz val="14"/>
      <color theme="1"/>
      <name val="Calibri"/>
      <family val="2"/>
    </font>
    <font>
      <sz val="10"/>
      <color rgb="FFFFFFFF"/>
      <name val="Calibri"/>
      <family val="2"/>
    </font>
    <font>
      <b/>
      <sz val="12"/>
      <color rgb="FFB4322A"/>
      <name val="Calibri"/>
      <family val="2"/>
    </font>
    <font>
      <b/>
      <sz val="10"/>
      <color rgb="FF17734A"/>
      <name val="Calibri"/>
      <family val="2"/>
    </font>
    <font>
      <u/>
      <sz val="11"/>
      <color theme="10"/>
      <name val="Aptos Narrow"/>
      <family val="2"/>
      <scheme val="minor"/>
    </font>
    <font>
      <b/>
      <sz val="11"/>
      <color rgb="FF6D6D6D"/>
      <name val="Calibri"/>
      <family val="2"/>
    </font>
    <font>
      <i/>
      <sz val="11"/>
      <color rgb="FF6D6D6D"/>
      <name val="Calibri"/>
      <family val="2"/>
    </font>
  </fonts>
  <fills count="6">
    <fill>
      <patternFill patternType="none"/>
    </fill>
    <fill>
      <patternFill patternType="gray125"/>
    </fill>
    <fill>
      <patternFill patternType="solid">
        <fgColor rgb="FFE3F1E9"/>
        <bgColor indexed="64"/>
      </patternFill>
    </fill>
    <fill>
      <patternFill patternType="solid">
        <fgColor rgb="FF17734A"/>
        <bgColor indexed="64"/>
      </patternFill>
    </fill>
    <fill>
      <patternFill patternType="solid">
        <fgColor rgb="FFF2F2F2"/>
        <bgColor indexed="64"/>
      </patternFill>
    </fill>
    <fill>
      <patternFill patternType="solid">
        <fgColor rgb="FFB4322A"/>
        <bgColor indexed="64"/>
      </patternFill>
    </fill>
  </fills>
  <borders count="12">
    <border>
      <left/>
      <right/>
      <top/>
      <bottom/>
      <diagonal/>
    </border>
    <border>
      <left style="thin">
        <color rgb="FFD8E0DB"/>
      </left>
      <right style="thin">
        <color rgb="FFD8E0DB"/>
      </right>
      <top style="thin">
        <color rgb="FFD8E0DB"/>
      </top>
      <bottom style="thin">
        <color rgb="FFD8E0DB"/>
      </bottom>
      <diagonal/>
    </border>
    <border>
      <left style="thin">
        <color rgb="FFCCD3C9"/>
      </left>
      <right style="thin">
        <color rgb="FFCCD3C9"/>
      </right>
      <top style="thin">
        <color rgb="FFCCD3C9"/>
      </top>
      <bottom style="thin">
        <color rgb="FFCCD3C9"/>
      </bottom>
      <diagonal/>
    </border>
    <border>
      <left style="thin">
        <color rgb="FFCCD3C9"/>
      </left>
      <right/>
      <top style="thin">
        <color rgb="FFCCD3C9"/>
      </top>
      <bottom/>
      <diagonal/>
    </border>
    <border>
      <left/>
      <right/>
      <top style="thin">
        <color rgb="FFCCD3C9"/>
      </top>
      <bottom/>
      <diagonal/>
    </border>
    <border>
      <left/>
      <right style="thin">
        <color rgb="FFCCD3C9"/>
      </right>
      <top style="thin">
        <color rgb="FFCCD3C9"/>
      </top>
      <bottom/>
      <diagonal/>
    </border>
    <border>
      <left style="thin">
        <color rgb="FFCCD3C9"/>
      </left>
      <right/>
      <top/>
      <bottom/>
      <diagonal/>
    </border>
    <border>
      <left/>
      <right style="thin">
        <color rgb="FFCCD3C9"/>
      </right>
      <top/>
      <bottom/>
      <diagonal/>
    </border>
    <border>
      <left style="thin">
        <color rgb="FFCCD3C9"/>
      </left>
      <right/>
      <top/>
      <bottom style="thin">
        <color rgb="FFCCD3C9"/>
      </bottom>
      <diagonal/>
    </border>
    <border>
      <left/>
      <right/>
      <top/>
      <bottom style="thin">
        <color rgb="FFCCD3C9"/>
      </bottom>
      <diagonal/>
    </border>
    <border>
      <left/>
      <right style="thin">
        <color rgb="FFCCD3C9"/>
      </right>
      <top/>
      <bottom style="thin">
        <color rgb="FFCCD3C9"/>
      </bottom>
      <diagonal/>
    </border>
    <border>
      <left/>
      <right/>
      <top style="thin">
        <color rgb="FFCCD3C9"/>
      </top>
      <bottom style="thin">
        <color rgb="FFCCD3C9"/>
      </bottom>
      <diagonal/>
    </border>
  </borders>
  <cellStyleXfs count="2">
    <xf numFmtId="0" fontId="0" fillId="0" borderId="0"/>
    <xf numFmtId="0" fontId="17" fillId="0" borderId="0" applyNumberFormat="0" applyFill="0" applyBorder="0" applyAlignment="0" applyProtection="0"/>
  </cellStyleXfs>
  <cellXfs count="5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14" fontId="1" fillId="0" borderId="0" xfId="0" applyNumberFormat="1" applyFont="1"/>
    <xf numFmtId="0" fontId="6" fillId="0" borderId="0" xfId="0" applyFont="1"/>
    <xf numFmtId="0" fontId="6" fillId="0" borderId="0" xfId="0" applyFont="1" applyAlignment="1">
      <alignment horizontal="left"/>
    </xf>
    <xf numFmtId="0" fontId="7" fillId="3" borderId="1" xfId="0" applyFont="1" applyFill="1" applyBorder="1"/>
    <xf numFmtId="0" fontId="1" fillId="0" borderId="1" xfId="0" applyFont="1" applyBorder="1"/>
    <xf numFmtId="0" fontId="1" fillId="0" borderId="1" xfId="0" applyFont="1" applyBorder="1" applyAlignment="1">
      <alignment horizontal="left"/>
    </xf>
    <xf numFmtId="0" fontId="1" fillId="4" borderId="1" xfId="0" applyFont="1" applyFill="1" applyBorder="1"/>
    <xf numFmtId="0" fontId="1" fillId="4" borderId="1" xfId="0" applyFont="1" applyFill="1" applyBorder="1" applyAlignment="1">
      <alignment horizontal="left"/>
    </xf>
    <xf numFmtId="0" fontId="6" fillId="2" borderId="6" xfId="0" applyFont="1" applyFill="1" applyBorder="1" applyAlignment="1">
      <alignment horizontal="center"/>
    </xf>
    <xf numFmtId="0" fontId="6" fillId="2" borderId="0" xfId="0" applyFont="1" applyFill="1" applyAlignment="1">
      <alignment horizontal="center"/>
    </xf>
    <xf numFmtId="0" fontId="10" fillId="2" borderId="0" xfId="0" applyFont="1" applyFill="1" applyAlignment="1">
      <alignment horizontal="center"/>
    </xf>
    <xf numFmtId="0" fontId="10" fillId="2" borderId="7" xfId="0" applyFont="1" applyFill="1" applyBorder="1" applyAlignment="1">
      <alignment horizontal="center"/>
    </xf>
    <xf numFmtId="164" fontId="1" fillId="0" borderId="6" xfId="0" applyNumberFormat="1" applyFont="1" applyBorder="1" applyAlignment="1">
      <alignment horizontal="center"/>
    </xf>
    <xf numFmtId="164" fontId="1" fillId="0" borderId="0" xfId="0" applyNumberFormat="1" applyFont="1" applyAlignment="1">
      <alignment horizontal="center"/>
    </xf>
    <xf numFmtId="164" fontId="11" fillId="0" borderId="0" xfId="0" applyNumberFormat="1" applyFont="1" applyAlignment="1">
      <alignment horizontal="center"/>
    </xf>
    <xf numFmtId="164" fontId="11" fillId="0" borderId="7" xfId="0" applyNumberFormat="1" applyFont="1" applyBorder="1" applyAlignment="1">
      <alignment horizontal="center"/>
    </xf>
    <xf numFmtId="164" fontId="1" fillId="0" borderId="8" xfId="0" applyNumberFormat="1" applyFont="1" applyBorder="1" applyAlignment="1">
      <alignment horizontal="center"/>
    </xf>
    <xf numFmtId="164" fontId="1" fillId="0" borderId="9" xfId="0" applyNumberFormat="1" applyFont="1" applyBorder="1" applyAlignment="1">
      <alignment horizontal="center"/>
    </xf>
    <xf numFmtId="164" fontId="11" fillId="0" borderId="9" xfId="0" applyNumberFormat="1" applyFont="1" applyBorder="1" applyAlignment="1">
      <alignment horizontal="center"/>
    </xf>
    <xf numFmtId="164" fontId="11" fillId="0" borderId="10" xfId="0" applyNumberFormat="1" applyFont="1" applyBorder="1" applyAlignment="1">
      <alignment horizontal="center"/>
    </xf>
    <xf numFmtId="0" fontId="1" fillId="5" borderId="0" xfId="0" applyFont="1" applyFill="1"/>
    <xf numFmtId="0" fontId="10" fillId="0" borderId="0" xfId="0" applyFont="1"/>
    <xf numFmtId="0" fontId="12" fillId="0" borderId="0" xfId="0" applyFont="1"/>
    <xf numFmtId="0" fontId="13" fillId="2" borderId="0" xfId="0" applyFont="1" applyFill="1"/>
    <xf numFmtId="0" fontId="13" fillId="0" borderId="0" xfId="0" applyFont="1" applyAlignment="1">
      <alignment horizontal="left"/>
    </xf>
    <xf numFmtId="0" fontId="14" fillId="0" borderId="0" xfId="0" applyFont="1"/>
    <xf numFmtId="0" fontId="7" fillId="3" borderId="0" xfId="0" applyFont="1" applyFill="1" applyAlignment="1">
      <alignment horizontal="center"/>
    </xf>
    <xf numFmtId="164" fontId="8" fillId="0" borderId="2" xfId="0" applyNumberFormat="1" applyFont="1" applyBorder="1" applyAlignment="1">
      <alignment horizontal="left" vertical="top"/>
    </xf>
    <xf numFmtId="164" fontId="15" fillId="0" borderId="2" xfId="0" applyNumberFormat="1" applyFont="1" applyBorder="1" applyAlignment="1">
      <alignment horizontal="left" vertical="top"/>
    </xf>
    <xf numFmtId="0" fontId="16" fillId="0" borderId="0" xfId="0" applyFont="1"/>
    <xf numFmtId="0" fontId="1" fillId="0" borderId="11" xfId="0" applyFont="1" applyBorder="1"/>
    <xf numFmtId="0" fontId="1" fillId="0" borderId="4" xfId="0" applyFont="1" applyBorder="1"/>
    <xf numFmtId="0" fontId="9" fillId="3" borderId="3" xfId="0" applyFont="1" applyFill="1" applyBorder="1" applyAlignment="1">
      <alignment horizontal="center"/>
    </xf>
    <xf numFmtId="0" fontId="9" fillId="3" borderId="4" xfId="0" applyFont="1" applyFill="1" applyBorder="1" applyAlignment="1">
      <alignment horizontal="center"/>
    </xf>
    <xf numFmtId="0" fontId="9" fillId="3" borderId="5" xfId="0" applyFont="1" applyFill="1" applyBorder="1" applyAlignment="1">
      <alignment horizontal="center"/>
    </xf>
    <xf numFmtId="0" fontId="2" fillId="2" borderId="0" xfId="0" applyFont="1" applyFill="1" applyAlignment="1">
      <alignment horizontal="left"/>
    </xf>
    <xf numFmtId="0" fontId="2" fillId="0" borderId="0" xfId="0" applyFont="1" applyAlignment="1">
      <alignment horizontal="left"/>
    </xf>
    <xf numFmtId="0" fontId="4" fillId="0" borderId="0" xfId="0" applyFont="1" applyAlignment="1">
      <alignment wrapText="1"/>
    </xf>
    <xf numFmtId="0" fontId="1" fillId="0" borderId="0" xfId="0" applyFont="1" applyAlignment="1">
      <alignment wrapText="1"/>
    </xf>
    <xf numFmtId="0" fontId="13" fillId="0" borderId="0" xfId="0" applyFont="1"/>
    <xf numFmtId="0" fontId="18" fillId="0" borderId="0" xfId="0" applyFont="1" applyAlignment="1">
      <alignment horizontal="left"/>
    </xf>
    <xf numFmtId="0" fontId="19" fillId="0" borderId="0" xfId="0" applyFont="1" applyAlignment="1">
      <alignment horizontal="left"/>
    </xf>
    <xf numFmtId="0" fontId="17" fillId="0" borderId="0" xfId="1" applyFont="1" applyAlignment="1">
      <alignment horizontal="left"/>
    </xf>
  </cellXfs>
  <cellStyles count="2">
    <cellStyle name="Hipervínculo" xfId="1" builtinId="8"/>
    <cellStyle name="Normal" xfId="0" builtinId="0"/>
  </cellStyles>
  <dxfs count="14">
    <dxf>
      <font>
        <b/>
        <i val="0"/>
        <color rgb="FFB4322A"/>
      </font>
    </dxf>
    <dxf>
      <font>
        <color rgb="FFB4322A"/>
      </font>
      <fill>
        <patternFill>
          <bgColor rgb="FFFBE9E7"/>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modelexcel.ro/calendar-2027-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F3C8-4CF0-4705-AABE-4253DC3FDE35}">
  <sheetPr>
    <pageSetUpPr fitToPage="1"/>
  </sheetPr>
  <dimension ref="B2:ZZ1000"/>
  <sheetViews>
    <sheetView showGridLines="0" tabSelected="1" workbookViewId="0"/>
  </sheetViews>
  <sheetFormatPr baseColWidth="10" defaultRowHeight="12.75" x14ac:dyDescent="0.2"/>
  <cols>
    <col min="1" max="1" width="2.7109375" style="1" customWidth="1"/>
    <col min="2" max="8" width="5" style="1" customWidth="1"/>
    <col min="9" max="9" width="2.7109375" style="1" customWidth="1"/>
    <col min="10" max="16" width="5" style="1" customWidth="1"/>
    <col min="17" max="17" width="2.7109375" style="1" customWidth="1"/>
    <col min="18" max="25" width="5" style="1" customWidth="1"/>
    <col min="26" max="16384" width="11.42578125" style="1"/>
  </cols>
  <sheetData>
    <row r="2" spans="2:24" ht="33.75" x14ac:dyDescent="0.5">
      <c r="B2" s="2" t="s">
        <v>0</v>
      </c>
      <c r="F2" s="42">
        <v>2027</v>
      </c>
      <c r="G2" s="43"/>
      <c r="H2" s="43"/>
      <c r="J2" s="4" t="s">
        <v>1</v>
      </c>
    </row>
    <row r="4" spans="2:24" ht="15.75" x14ac:dyDescent="0.25">
      <c r="B4" s="39" t="s">
        <v>29</v>
      </c>
      <c r="C4" s="40"/>
      <c r="D4" s="40"/>
      <c r="E4" s="40"/>
      <c r="F4" s="40"/>
      <c r="G4" s="40"/>
      <c r="H4" s="41"/>
      <c r="J4" s="39" t="s">
        <v>37</v>
      </c>
      <c r="K4" s="40"/>
      <c r="L4" s="40"/>
      <c r="M4" s="40"/>
      <c r="N4" s="40"/>
      <c r="O4" s="40"/>
      <c r="P4" s="41"/>
      <c r="R4" s="39" t="s">
        <v>38</v>
      </c>
      <c r="S4" s="40"/>
      <c r="T4" s="40"/>
      <c r="U4" s="40"/>
      <c r="V4" s="40"/>
      <c r="W4" s="40"/>
      <c r="X4" s="41"/>
    </row>
    <row r="5" spans="2:24" x14ac:dyDescent="0.2">
      <c r="B5" s="15" t="s">
        <v>30</v>
      </c>
      <c r="C5" s="16" t="s">
        <v>31</v>
      </c>
      <c r="D5" s="16" t="s">
        <v>32</v>
      </c>
      <c r="E5" s="16" t="s">
        <v>33</v>
      </c>
      <c r="F5" s="16" t="s">
        <v>34</v>
      </c>
      <c r="G5" s="17" t="s">
        <v>35</v>
      </c>
      <c r="H5" s="18" t="s">
        <v>36</v>
      </c>
      <c r="J5" s="15" t="s">
        <v>30</v>
      </c>
      <c r="K5" s="16" t="s">
        <v>31</v>
      </c>
      <c r="L5" s="16" t="s">
        <v>32</v>
      </c>
      <c r="M5" s="16" t="s">
        <v>33</v>
      </c>
      <c r="N5" s="16" t="s">
        <v>34</v>
      </c>
      <c r="O5" s="17" t="s">
        <v>35</v>
      </c>
      <c r="P5" s="18" t="s">
        <v>36</v>
      </c>
      <c r="R5" s="15" t="s">
        <v>30</v>
      </c>
      <c r="S5" s="16" t="s">
        <v>31</v>
      </c>
      <c r="T5" s="16" t="s">
        <v>32</v>
      </c>
      <c r="U5" s="16" t="s">
        <v>33</v>
      </c>
      <c r="V5" s="16" t="s">
        <v>34</v>
      </c>
      <c r="W5" s="17" t="s">
        <v>35</v>
      </c>
      <c r="X5" s="18" t="s">
        <v>36</v>
      </c>
    </row>
    <row r="6" spans="2:24" x14ac:dyDescent="0.2">
      <c r="B6" s="19" t="str">
        <f>IF(MONTH(DATE(An,1,1)-WEEKDAY(DATE(An,1,1),2)+1)=1,DATE(An,1,1)-WEEKDAY(DATE(An,1,1),2)+1,"")</f>
        <v/>
      </c>
      <c r="C6" s="20" t="str">
        <f>IF(MONTH(DATE(An,1,1)-WEEKDAY(DATE(An,1,1),2)+2)=1,DATE(An,1,1)-WEEKDAY(DATE(An,1,1),2)+2,"")</f>
        <v/>
      </c>
      <c r="D6" s="20" t="str">
        <f>IF(MONTH(DATE(An,1,1)-WEEKDAY(DATE(An,1,1),2)+3)=1,DATE(An,1,1)-WEEKDAY(DATE(An,1,1),2)+3,"")</f>
        <v/>
      </c>
      <c r="E6" s="20" t="str">
        <f>IF(MONTH(DATE(An,1,1)-WEEKDAY(DATE(An,1,1),2)+4)=1,DATE(An,1,1)-WEEKDAY(DATE(An,1,1),2)+4,"")</f>
        <v/>
      </c>
      <c r="F6" s="20">
        <f>IF(MONTH(DATE(An,1,1)-WEEKDAY(DATE(An,1,1),2)+5)=1,DATE(An,1,1)-WEEKDAY(DATE(An,1,1),2)+5,"")</f>
        <v>46388</v>
      </c>
      <c r="G6" s="21">
        <f>IF(MONTH(DATE(An,1,1)-WEEKDAY(DATE(An,1,1),2)+6)=1,DATE(An,1,1)-WEEKDAY(DATE(An,1,1),2)+6,"")</f>
        <v>46389</v>
      </c>
      <c r="H6" s="22">
        <f>IF(MONTH(DATE(An,1,1)-WEEKDAY(DATE(An,1,1),2)+7)=1,DATE(An,1,1)-WEEKDAY(DATE(An,1,1),2)+7,"")</f>
        <v>46390</v>
      </c>
      <c r="J6" s="19">
        <f>IF(MONTH(DATE(An,2,1)-WEEKDAY(DATE(An,2,1),2)+1)=2,DATE(An,2,1)-WEEKDAY(DATE(An,2,1),2)+1,"")</f>
        <v>46419</v>
      </c>
      <c r="K6" s="20">
        <f>IF(MONTH(DATE(An,2,1)-WEEKDAY(DATE(An,2,1),2)+2)=2,DATE(An,2,1)-WEEKDAY(DATE(An,2,1),2)+2,"")</f>
        <v>46420</v>
      </c>
      <c r="L6" s="20">
        <f>IF(MONTH(DATE(An,2,1)-WEEKDAY(DATE(An,2,1),2)+3)=2,DATE(An,2,1)-WEEKDAY(DATE(An,2,1),2)+3,"")</f>
        <v>46421</v>
      </c>
      <c r="M6" s="20">
        <f>IF(MONTH(DATE(An,2,1)-WEEKDAY(DATE(An,2,1),2)+4)=2,DATE(An,2,1)-WEEKDAY(DATE(An,2,1),2)+4,"")</f>
        <v>46422</v>
      </c>
      <c r="N6" s="20">
        <f>IF(MONTH(DATE(An,2,1)-WEEKDAY(DATE(An,2,1),2)+5)=2,DATE(An,2,1)-WEEKDAY(DATE(An,2,1),2)+5,"")</f>
        <v>46423</v>
      </c>
      <c r="O6" s="21">
        <f>IF(MONTH(DATE(An,2,1)-WEEKDAY(DATE(An,2,1),2)+6)=2,DATE(An,2,1)-WEEKDAY(DATE(An,2,1),2)+6,"")</f>
        <v>46424</v>
      </c>
      <c r="P6" s="22">
        <f>IF(MONTH(DATE(An,2,1)-WEEKDAY(DATE(An,2,1),2)+7)=2,DATE(An,2,1)-WEEKDAY(DATE(An,2,1),2)+7,"")</f>
        <v>46425</v>
      </c>
      <c r="R6" s="19">
        <f>IF(MONTH(DATE(An,3,1)-WEEKDAY(DATE(An,3,1),2)+1)=3,DATE(An,3,1)-WEEKDAY(DATE(An,3,1),2)+1,"")</f>
        <v>46447</v>
      </c>
      <c r="S6" s="20">
        <f>IF(MONTH(DATE(An,3,1)-WEEKDAY(DATE(An,3,1),2)+2)=3,DATE(An,3,1)-WEEKDAY(DATE(An,3,1),2)+2,"")</f>
        <v>46448</v>
      </c>
      <c r="T6" s="20">
        <f>IF(MONTH(DATE(An,3,1)-WEEKDAY(DATE(An,3,1),2)+3)=3,DATE(An,3,1)-WEEKDAY(DATE(An,3,1),2)+3,"")</f>
        <v>46449</v>
      </c>
      <c r="U6" s="20">
        <f>IF(MONTH(DATE(An,3,1)-WEEKDAY(DATE(An,3,1),2)+4)=3,DATE(An,3,1)-WEEKDAY(DATE(An,3,1),2)+4,"")</f>
        <v>46450</v>
      </c>
      <c r="V6" s="20">
        <f>IF(MONTH(DATE(An,3,1)-WEEKDAY(DATE(An,3,1),2)+5)=3,DATE(An,3,1)-WEEKDAY(DATE(An,3,1),2)+5,"")</f>
        <v>46451</v>
      </c>
      <c r="W6" s="21">
        <f>IF(MONTH(DATE(An,3,1)-WEEKDAY(DATE(An,3,1),2)+6)=3,DATE(An,3,1)-WEEKDAY(DATE(An,3,1),2)+6,"")</f>
        <v>46452</v>
      </c>
      <c r="X6" s="22">
        <f>IF(MONTH(DATE(An,3,1)-WEEKDAY(DATE(An,3,1),2)+7)=3,DATE(An,3,1)-WEEKDAY(DATE(An,3,1),2)+7,"")</f>
        <v>46453</v>
      </c>
    </row>
    <row r="7" spans="2:24" x14ac:dyDescent="0.2">
      <c r="B7" s="19">
        <f>IF(MONTH(DATE(An,1,1)-WEEKDAY(DATE(An,1,1),2)+8)=1,DATE(An,1,1)-WEEKDAY(DATE(An,1,1),2)+8,"")</f>
        <v>46391</v>
      </c>
      <c r="C7" s="20">
        <f>IF(MONTH(DATE(An,1,1)-WEEKDAY(DATE(An,1,1),2)+9)=1,DATE(An,1,1)-WEEKDAY(DATE(An,1,1),2)+9,"")</f>
        <v>46392</v>
      </c>
      <c r="D7" s="20">
        <f>IF(MONTH(DATE(An,1,1)-WEEKDAY(DATE(An,1,1),2)+10)=1,DATE(An,1,1)-WEEKDAY(DATE(An,1,1),2)+10,"")</f>
        <v>46393</v>
      </c>
      <c r="E7" s="20">
        <f>IF(MONTH(DATE(An,1,1)-WEEKDAY(DATE(An,1,1),2)+11)=1,DATE(An,1,1)-WEEKDAY(DATE(An,1,1),2)+11,"")</f>
        <v>46394</v>
      </c>
      <c r="F7" s="20">
        <f>IF(MONTH(DATE(An,1,1)-WEEKDAY(DATE(An,1,1),2)+12)=1,DATE(An,1,1)-WEEKDAY(DATE(An,1,1),2)+12,"")</f>
        <v>46395</v>
      </c>
      <c r="G7" s="21">
        <f>IF(MONTH(DATE(An,1,1)-WEEKDAY(DATE(An,1,1),2)+13)=1,DATE(An,1,1)-WEEKDAY(DATE(An,1,1),2)+13,"")</f>
        <v>46396</v>
      </c>
      <c r="H7" s="22">
        <f>IF(MONTH(DATE(An,1,1)-WEEKDAY(DATE(An,1,1),2)+14)=1,DATE(An,1,1)-WEEKDAY(DATE(An,1,1),2)+14,"")</f>
        <v>46397</v>
      </c>
      <c r="J7" s="19">
        <f>IF(MONTH(DATE(An,2,1)-WEEKDAY(DATE(An,2,1),2)+8)=2,DATE(An,2,1)-WEEKDAY(DATE(An,2,1),2)+8,"")</f>
        <v>46426</v>
      </c>
      <c r="K7" s="20">
        <f>IF(MONTH(DATE(An,2,1)-WEEKDAY(DATE(An,2,1),2)+9)=2,DATE(An,2,1)-WEEKDAY(DATE(An,2,1),2)+9,"")</f>
        <v>46427</v>
      </c>
      <c r="L7" s="20">
        <f>IF(MONTH(DATE(An,2,1)-WEEKDAY(DATE(An,2,1),2)+10)=2,DATE(An,2,1)-WEEKDAY(DATE(An,2,1),2)+10,"")</f>
        <v>46428</v>
      </c>
      <c r="M7" s="20">
        <f>IF(MONTH(DATE(An,2,1)-WEEKDAY(DATE(An,2,1),2)+11)=2,DATE(An,2,1)-WEEKDAY(DATE(An,2,1),2)+11,"")</f>
        <v>46429</v>
      </c>
      <c r="N7" s="20">
        <f>IF(MONTH(DATE(An,2,1)-WEEKDAY(DATE(An,2,1),2)+12)=2,DATE(An,2,1)-WEEKDAY(DATE(An,2,1),2)+12,"")</f>
        <v>46430</v>
      </c>
      <c r="O7" s="21">
        <f>IF(MONTH(DATE(An,2,1)-WEEKDAY(DATE(An,2,1),2)+13)=2,DATE(An,2,1)-WEEKDAY(DATE(An,2,1),2)+13,"")</f>
        <v>46431</v>
      </c>
      <c r="P7" s="22">
        <f>IF(MONTH(DATE(An,2,1)-WEEKDAY(DATE(An,2,1),2)+14)=2,DATE(An,2,1)-WEEKDAY(DATE(An,2,1),2)+14,"")</f>
        <v>46432</v>
      </c>
      <c r="R7" s="19">
        <f>IF(MONTH(DATE(An,3,1)-WEEKDAY(DATE(An,3,1),2)+8)=3,DATE(An,3,1)-WEEKDAY(DATE(An,3,1),2)+8,"")</f>
        <v>46454</v>
      </c>
      <c r="S7" s="20">
        <f>IF(MONTH(DATE(An,3,1)-WEEKDAY(DATE(An,3,1),2)+9)=3,DATE(An,3,1)-WEEKDAY(DATE(An,3,1),2)+9,"")</f>
        <v>46455</v>
      </c>
      <c r="T7" s="20">
        <f>IF(MONTH(DATE(An,3,1)-WEEKDAY(DATE(An,3,1),2)+10)=3,DATE(An,3,1)-WEEKDAY(DATE(An,3,1),2)+10,"")</f>
        <v>46456</v>
      </c>
      <c r="U7" s="20">
        <f>IF(MONTH(DATE(An,3,1)-WEEKDAY(DATE(An,3,1),2)+11)=3,DATE(An,3,1)-WEEKDAY(DATE(An,3,1),2)+11,"")</f>
        <v>46457</v>
      </c>
      <c r="V7" s="20">
        <f>IF(MONTH(DATE(An,3,1)-WEEKDAY(DATE(An,3,1),2)+12)=3,DATE(An,3,1)-WEEKDAY(DATE(An,3,1),2)+12,"")</f>
        <v>46458</v>
      </c>
      <c r="W7" s="21">
        <f>IF(MONTH(DATE(An,3,1)-WEEKDAY(DATE(An,3,1),2)+13)=3,DATE(An,3,1)-WEEKDAY(DATE(An,3,1),2)+13,"")</f>
        <v>46459</v>
      </c>
      <c r="X7" s="22">
        <f>IF(MONTH(DATE(An,3,1)-WEEKDAY(DATE(An,3,1),2)+14)=3,DATE(An,3,1)-WEEKDAY(DATE(An,3,1),2)+14,"")</f>
        <v>46460</v>
      </c>
    </row>
    <row r="8" spans="2:24" x14ac:dyDescent="0.2">
      <c r="B8" s="19">
        <f>IF(MONTH(DATE(An,1,1)-WEEKDAY(DATE(An,1,1),2)+15)=1,DATE(An,1,1)-WEEKDAY(DATE(An,1,1),2)+15,"")</f>
        <v>46398</v>
      </c>
      <c r="C8" s="20">
        <f>IF(MONTH(DATE(An,1,1)-WEEKDAY(DATE(An,1,1),2)+16)=1,DATE(An,1,1)-WEEKDAY(DATE(An,1,1),2)+16,"")</f>
        <v>46399</v>
      </c>
      <c r="D8" s="20">
        <f>IF(MONTH(DATE(An,1,1)-WEEKDAY(DATE(An,1,1),2)+17)=1,DATE(An,1,1)-WEEKDAY(DATE(An,1,1),2)+17,"")</f>
        <v>46400</v>
      </c>
      <c r="E8" s="20">
        <f>IF(MONTH(DATE(An,1,1)-WEEKDAY(DATE(An,1,1),2)+18)=1,DATE(An,1,1)-WEEKDAY(DATE(An,1,1),2)+18,"")</f>
        <v>46401</v>
      </c>
      <c r="F8" s="20">
        <f>IF(MONTH(DATE(An,1,1)-WEEKDAY(DATE(An,1,1),2)+19)=1,DATE(An,1,1)-WEEKDAY(DATE(An,1,1),2)+19,"")</f>
        <v>46402</v>
      </c>
      <c r="G8" s="21">
        <f>IF(MONTH(DATE(An,1,1)-WEEKDAY(DATE(An,1,1),2)+20)=1,DATE(An,1,1)-WEEKDAY(DATE(An,1,1),2)+20,"")</f>
        <v>46403</v>
      </c>
      <c r="H8" s="22">
        <f>IF(MONTH(DATE(An,1,1)-WEEKDAY(DATE(An,1,1),2)+21)=1,DATE(An,1,1)-WEEKDAY(DATE(An,1,1),2)+21,"")</f>
        <v>46404</v>
      </c>
      <c r="J8" s="19">
        <f>IF(MONTH(DATE(An,2,1)-WEEKDAY(DATE(An,2,1),2)+15)=2,DATE(An,2,1)-WEEKDAY(DATE(An,2,1),2)+15,"")</f>
        <v>46433</v>
      </c>
      <c r="K8" s="20">
        <f>IF(MONTH(DATE(An,2,1)-WEEKDAY(DATE(An,2,1),2)+16)=2,DATE(An,2,1)-WEEKDAY(DATE(An,2,1),2)+16,"")</f>
        <v>46434</v>
      </c>
      <c r="L8" s="20">
        <f>IF(MONTH(DATE(An,2,1)-WEEKDAY(DATE(An,2,1),2)+17)=2,DATE(An,2,1)-WEEKDAY(DATE(An,2,1),2)+17,"")</f>
        <v>46435</v>
      </c>
      <c r="M8" s="20">
        <f>IF(MONTH(DATE(An,2,1)-WEEKDAY(DATE(An,2,1),2)+18)=2,DATE(An,2,1)-WEEKDAY(DATE(An,2,1),2)+18,"")</f>
        <v>46436</v>
      </c>
      <c r="N8" s="20">
        <f>IF(MONTH(DATE(An,2,1)-WEEKDAY(DATE(An,2,1),2)+19)=2,DATE(An,2,1)-WEEKDAY(DATE(An,2,1),2)+19,"")</f>
        <v>46437</v>
      </c>
      <c r="O8" s="21">
        <f>IF(MONTH(DATE(An,2,1)-WEEKDAY(DATE(An,2,1),2)+20)=2,DATE(An,2,1)-WEEKDAY(DATE(An,2,1),2)+20,"")</f>
        <v>46438</v>
      </c>
      <c r="P8" s="22">
        <f>IF(MONTH(DATE(An,2,1)-WEEKDAY(DATE(An,2,1),2)+21)=2,DATE(An,2,1)-WEEKDAY(DATE(An,2,1),2)+21,"")</f>
        <v>46439</v>
      </c>
      <c r="R8" s="19">
        <f>IF(MONTH(DATE(An,3,1)-WEEKDAY(DATE(An,3,1),2)+15)=3,DATE(An,3,1)-WEEKDAY(DATE(An,3,1),2)+15,"")</f>
        <v>46461</v>
      </c>
      <c r="S8" s="20">
        <f>IF(MONTH(DATE(An,3,1)-WEEKDAY(DATE(An,3,1),2)+16)=3,DATE(An,3,1)-WEEKDAY(DATE(An,3,1),2)+16,"")</f>
        <v>46462</v>
      </c>
      <c r="T8" s="20">
        <f>IF(MONTH(DATE(An,3,1)-WEEKDAY(DATE(An,3,1),2)+17)=3,DATE(An,3,1)-WEEKDAY(DATE(An,3,1),2)+17,"")</f>
        <v>46463</v>
      </c>
      <c r="U8" s="20">
        <f>IF(MONTH(DATE(An,3,1)-WEEKDAY(DATE(An,3,1),2)+18)=3,DATE(An,3,1)-WEEKDAY(DATE(An,3,1),2)+18,"")</f>
        <v>46464</v>
      </c>
      <c r="V8" s="20">
        <f>IF(MONTH(DATE(An,3,1)-WEEKDAY(DATE(An,3,1),2)+19)=3,DATE(An,3,1)-WEEKDAY(DATE(An,3,1),2)+19,"")</f>
        <v>46465</v>
      </c>
      <c r="W8" s="21">
        <f>IF(MONTH(DATE(An,3,1)-WEEKDAY(DATE(An,3,1),2)+20)=3,DATE(An,3,1)-WEEKDAY(DATE(An,3,1),2)+20,"")</f>
        <v>46466</v>
      </c>
      <c r="X8" s="22">
        <f>IF(MONTH(DATE(An,3,1)-WEEKDAY(DATE(An,3,1),2)+21)=3,DATE(An,3,1)-WEEKDAY(DATE(An,3,1),2)+21,"")</f>
        <v>46467</v>
      </c>
    </row>
    <row r="9" spans="2:24" x14ac:dyDescent="0.2">
      <c r="B9" s="19">
        <f>IF(MONTH(DATE(An,1,1)-WEEKDAY(DATE(An,1,1),2)+22)=1,DATE(An,1,1)-WEEKDAY(DATE(An,1,1),2)+22,"")</f>
        <v>46405</v>
      </c>
      <c r="C9" s="20">
        <f>IF(MONTH(DATE(An,1,1)-WEEKDAY(DATE(An,1,1),2)+23)=1,DATE(An,1,1)-WEEKDAY(DATE(An,1,1),2)+23,"")</f>
        <v>46406</v>
      </c>
      <c r="D9" s="20">
        <f>IF(MONTH(DATE(An,1,1)-WEEKDAY(DATE(An,1,1),2)+24)=1,DATE(An,1,1)-WEEKDAY(DATE(An,1,1),2)+24,"")</f>
        <v>46407</v>
      </c>
      <c r="E9" s="20">
        <f>IF(MONTH(DATE(An,1,1)-WEEKDAY(DATE(An,1,1),2)+25)=1,DATE(An,1,1)-WEEKDAY(DATE(An,1,1),2)+25,"")</f>
        <v>46408</v>
      </c>
      <c r="F9" s="20">
        <f>IF(MONTH(DATE(An,1,1)-WEEKDAY(DATE(An,1,1),2)+26)=1,DATE(An,1,1)-WEEKDAY(DATE(An,1,1),2)+26,"")</f>
        <v>46409</v>
      </c>
      <c r="G9" s="21">
        <f>IF(MONTH(DATE(An,1,1)-WEEKDAY(DATE(An,1,1),2)+27)=1,DATE(An,1,1)-WEEKDAY(DATE(An,1,1),2)+27,"")</f>
        <v>46410</v>
      </c>
      <c r="H9" s="22">
        <f>IF(MONTH(DATE(An,1,1)-WEEKDAY(DATE(An,1,1),2)+28)=1,DATE(An,1,1)-WEEKDAY(DATE(An,1,1),2)+28,"")</f>
        <v>46411</v>
      </c>
      <c r="J9" s="19">
        <f>IF(MONTH(DATE(An,2,1)-WEEKDAY(DATE(An,2,1),2)+22)=2,DATE(An,2,1)-WEEKDAY(DATE(An,2,1),2)+22,"")</f>
        <v>46440</v>
      </c>
      <c r="K9" s="20">
        <f>IF(MONTH(DATE(An,2,1)-WEEKDAY(DATE(An,2,1),2)+23)=2,DATE(An,2,1)-WEEKDAY(DATE(An,2,1),2)+23,"")</f>
        <v>46441</v>
      </c>
      <c r="L9" s="20">
        <f>IF(MONTH(DATE(An,2,1)-WEEKDAY(DATE(An,2,1),2)+24)=2,DATE(An,2,1)-WEEKDAY(DATE(An,2,1),2)+24,"")</f>
        <v>46442</v>
      </c>
      <c r="M9" s="20">
        <f>IF(MONTH(DATE(An,2,1)-WEEKDAY(DATE(An,2,1),2)+25)=2,DATE(An,2,1)-WEEKDAY(DATE(An,2,1),2)+25,"")</f>
        <v>46443</v>
      </c>
      <c r="N9" s="20">
        <f>IF(MONTH(DATE(An,2,1)-WEEKDAY(DATE(An,2,1),2)+26)=2,DATE(An,2,1)-WEEKDAY(DATE(An,2,1),2)+26,"")</f>
        <v>46444</v>
      </c>
      <c r="O9" s="21">
        <f>IF(MONTH(DATE(An,2,1)-WEEKDAY(DATE(An,2,1),2)+27)=2,DATE(An,2,1)-WEEKDAY(DATE(An,2,1),2)+27,"")</f>
        <v>46445</v>
      </c>
      <c r="P9" s="22">
        <f>IF(MONTH(DATE(An,2,1)-WEEKDAY(DATE(An,2,1),2)+28)=2,DATE(An,2,1)-WEEKDAY(DATE(An,2,1),2)+28,"")</f>
        <v>46446</v>
      </c>
      <c r="R9" s="19">
        <f>IF(MONTH(DATE(An,3,1)-WEEKDAY(DATE(An,3,1),2)+22)=3,DATE(An,3,1)-WEEKDAY(DATE(An,3,1),2)+22,"")</f>
        <v>46468</v>
      </c>
      <c r="S9" s="20">
        <f>IF(MONTH(DATE(An,3,1)-WEEKDAY(DATE(An,3,1),2)+23)=3,DATE(An,3,1)-WEEKDAY(DATE(An,3,1),2)+23,"")</f>
        <v>46469</v>
      </c>
      <c r="T9" s="20">
        <f>IF(MONTH(DATE(An,3,1)-WEEKDAY(DATE(An,3,1),2)+24)=3,DATE(An,3,1)-WEEKDAY(DATE(An,3,1),2)+24,"")</f>
        <v>46470</v>
      </c>
      <c r="U9" s="20">
        <f>IF(MONTH(DATE(An,3,1)-WEEKDAY(DATE(An,3,1),2)+25)=3,DATE(An,3,1)-WEEKDAY(DATE(An,3,1),2)+25,"")</f>
        <v>46471</v>
      </c>
      <c r="V9" s="20">
        <f>IF(MONTH(DATE(An,3,1)-WEEKDAY(DATE(An,3,1),2)+26)=3,DATE(An,3,1)-WEEKDAY(DATE(An,3,1),2)+26,"")</f>
        <v>46472</v>
      </c>
      <c r="W9" s="21">
        <f>IF(MONTH(DATE(An,3,1)-WEEKDAY(DATE(An,3,1),2)+27)=3,DATE(An,3,1)-WEEKDAY(DATE(An,3,1),2)+27,"")</f>
        <v>46473</v>
      </c>
      <c r="X9" s="22">
        <f>IF(MONTH(DATE(An,3,1)-WEEKDAY(DATE(An,3,1),2)+28)=3,DATE(An,3,1)-WEEKDAY(DATE(An,3,1),2)+28,"")</f>
        <v>46474</v>
      </c>
    </row>
    <row r="10" spans="2:24" x14ac:dyDescent="0.2">
      <c r="B10" s="19">
        <f>IF(MONTH(DATE(An,1,1)-WEEKDAY(DATE(An,1,1),2)+29)=1,DATE(An,1,1)-WEEKDAY(DATE(An,1,1),2)+29,"")</f>
        <v>46412</v>
      </c>
      <c r="C10" s="20">
        <f>IF(MONTH(DATE(An,1,1)-WEEKDAY(DATE(An,1,1),2)+30)=1,DATE(An,1,1)-WEEKDAY(DATE(An,1,1),2)+30,"")</f>
        <v>46413</v>
      </c>
      <c r="D10" s="20">
        <f>IF(MONTH(DATE(An,1,1)-WEEKDAY(DATE(An,1,1),2)+31)=1,DATE(An,1,1)-WEEKDAY(DATE(An,1,1),2)+31,"")</f>
        <v>46414</v>
      </c>
      <c r="E10" s="20">
        <f>IF(MONTH(DATE(An,1,1)-WEEKDAY(DATE(An,1,1),2)+32)=1,DATE(An,1,1)-WEEKDAY(DATE(An,1,1),2)+32,"")</f>
        <v>46415</v>
      </c>
      <c r="F10" s="20">
        <f>IF(MONTH(DATE(An,1,1)-WEEKDAY(DATE(An,1,1),2)+33)=1,DATE(An,1,1)-WEEKDAY(DATE(An,1,1),2)+33,"")</f>
        <v>46416</v>
      </c>
      <c r="G10" s="21">
        <f>IF(MONTH(DATE(An,1,1)-WEEKDAY(DATE(An,1,1),2)+34)=1,DATE(An,1,1)-WEEKDAY(DATE(An,1,1),2)+34,"")</f>
        <v>46417</v>
      </c>
      <c r="H10" s="22">
        <f>IF(MONTH(DATE(An,1,1)-WEEKDAY(DATE(An,1,1),2)+35)=1,DATE(An,1,1)-WEEKDAY(DATE(An,1,1),2)+35,"")</f>
        <v>46418</v>
      </c>
      <c r="J10" s="19" t="str">
        <f>IF(MONTH(DATE(An,2,1)-WEEKDAY(DATE(An,2,1),2)+29)=2,DATE(An,2,1)-WEEKDAY(DATE(An,2,1),2)+29,"")</f>
        <v/>
      </c>
      <c r="K10" s="20" t="str">
        <f>IF(MONTH(DATE(An,2,1)-WEEKDAY(DATE(An,2,1),2)+30)=2,DATE(An,2,1)-WEEKDAY(DATE(An,2,1),2)+30,"")</f>
        <v/>
      </c>
      <c r="L10" s="20" t="str">
        <f>IF(MONTH(DATE(An,2,1)-WEEKDAY(DATE(An,2,1),2)+31)=2,DATE(An,2,1)-WEEKDAY(DATE(An,2,1),2)+31,"")</f>
        <v/>
      </c>
      <c r="M10" s="20" t="str">
        <f>IF(MONTH(DATE(An,2,1)-WEEKDAY(DATE(An,2,1),2)+32)=2,DATE(An,2,1)-WEEKDAY(DATE(An,2,1),2)+32,"")</f>
        <v/>
      </c>
      <c r="N10" s="20" t="str">
        <f>IF(MONTH(DATE(An,2,1)-WEEKDAY(DATE(An,2,1),2)+33)=2,DATE(An,2,1)-WEEKDAY(DATE(An,2,1),2)+33,"")</f>
        <v/>
      </c>
      <c r="O10" s="21" t="str">
        <f>IF(MONTH(DATE(An,2,1)-WEEKDAY(DATE(An,2,1),2)+34)=2,DATE(An,2,1)-WEEKDAY(DATE(An,2,1),2)+34,"")</f>
        <v/>
      </c>
      <c r="P10" s="22" t="str">
        <f>IF(MONTH(DATE(An,2,1)-WEEKDAY(DATE(An,2,1),2)+35)=2,DATE(An,2,1)-WEEKDAY(DATE(An,2,1),2)+35,"")</f>
        <v/>
      </c>
      <c r="R10" s="19">
        <f>IF(MONTH(DATE(An,3,1)-WEEKDAY(DATE(An,3,1),2)+29)=3,DATE(An,3,1)-WEEKDAY(DATE(An,3,1),2)+29,"")</f>
        <v>46475</v>
      </c>
      <c r="S10" s="20">
        <f>IF(MONTH(DATE(An,3,1)-WEEKDAY(DATE(An,3,1),2)+30)=3,DATE(An,3,1)-WEEKDAY(DATE(An,3,1),2)+30,"")</f>
        <v>46476</v>
      </c>
      <c r="T10" s="20">
        <f>IF(MONTH(DATE(An,3,1)-WEEKDAY(DATE(An,3,1),2)+31)=3,DATE(An,3,1)-WEEKDAY(DATE(An,3,1),2)+31,"")</f>
        <v>46477</v>
      </c>
      <c r="U10" s="20" t="str">
        <f>IF(MONTH(DATE(An,3,1)-WEEKDAY(DATE(An,3,1),2)+32)=3,DATE(An,3,1)-WEEKDAY(DATE(An,3,1),2)+32,"")</f>
        <v/>
      </c>
      <c r="V10" s="20" t="str">
        <f>IF(MONTH(DATE(An,3,1)-WEEKDAY(DATE(An,3,1),2)+33)=3,DATE(An,3,1)-WEEKDAY(DATE(An,3,1),2)+33,"")</f>
        <v/>
      </c>
      <c r="W10" s="21" t="str">
        <f>IF(MONTH(DATE(An,3,1)-WEEKDAY(DATE(An,3,1),2)+34)=3,DATE(An,3,1)-WEEKDAY(DATE(An,3,1),2)+34,"")</f>
        <v/>
      </c>
      <c r="X10" s="22" t="str">
        <f>IF(MONTH(DATE(An,3,1)-WEEKDAY(DATE(An,3,1),2)+35)=3,DATE(An,3,1)-WEEKDAY(DATE(An,3,1),2)+35,"")</f>
        <v/>
      </c>
    </row>
    <row r="11" spans="2:24" x14ac:dyDescent="0.2">
      <c r="B11" s="23" t="str">
        <f>IF(MONTH(DATE(An,1,1)-WEEKDAY(DATE(An,1,1),2)+36)=1,DATE(An,1,1)-WEEKDAY(DATE(An,1,1),2)+36,"")</f>
        <v/>
      </c>
      <c r="C11" s="24" t="str">
        <f>IF(MONTH(DATE(An,1,1)-WEEKDAY(DATE(An,1,1),2)+37)=1,DATE(An,1,1)-WEEKDAY(DATE(An,1,1),2)+37,"")</f>
        <v/>
      </c>
      <c r="D11" s="24" t="str">
        <f>IF(MONTH(DATE(An,1,1)-WEEKDAY(DATE(An,1,1),2)+38)=1,DATE(An,1,1)-WEEKDAY(DATE(An,1,1),2)+38,"")</f>
        <v/>
      </c>
      <c r="E11" s="24" t="str">
        <f>IF(MONTH(DATE(An,1,1)-WEEKDAY(DATE(An,1,1),2)+39)=1,DATE(An,1,1)-WEEKDAY(DATE(An,1,1),2)+39,"")</f>
        <v/>
      </c>
      <c r="F11" s="24" t="str">
        <f>IF(MONTH(DATE(An,1,1)-WEEKDAY(DATE(An,1,1),2)+40)=1,DATE(An,1,1)-WEEKDAY(DATE(An,1,1),2)+40,"")</f>
        <v/>
      </c>
      <c r="G11" s="25" t="str">
        <f>IF(MONTH(DATE(An,1,1)-WEEKDAY(DATE(An,1,1),2)+41)=1,DATE(An,1,1)-WEEKDAY(DATE(An,1,1),2)+41,"")</f>
        <v/>
      </c>
      <c r="H11" s="26" t="str">
        <f>IF(MONTH(DATE(An,1,1)-WEEKDAY(DATE(An,1,1),2)+42)=1,DATE(An,1,1)-WEEKDAY(DATE(An,1,1),2)+42,"")</f>
        <v/>
      </c>
      <c r="J11" s="23" t="str">
        <f>IF(MONTH(DATE(An,2,1)-WEEKDAY(DATE(An,2,1),2)+36)=2,DATE(An,2,1)-WEEKDAY(DATE(An,2,1),2)+36,"")</f>
        <v/>
      </c>
      <c r="K11" s="24" t="str">
        <f>IF(MONTH(DATE(An,2,1)-WEEKDAY(DATE(An,2,1),2)+37)=2,DATE(An,2,1)-WEEKDAY(DATE(An,2,1),2)+37,"")</f>
        <v/>
      </c>
      <c r="L11" s="24" t="str">
        <f>IF(MONTH(DATE(An,2,1)-WEEKDAY(DATE(An,2,1),2)+38)=2,DATE(An,2,1)-WEEKDAY(DATE(An,2,1),2)+38,"")</f>
        <v/>
      </c>
      <c r="M11" s="24" t="str">
        <f>IF(MONTH(DATE(An,2,1)-WEEKDAY(DATE(An,2,1),2)+39)=2,DATE(An,2,1)-WEEKDAY(DATE(An,2,1),2)+39,"")</f>
        <v/>
      </c>
      <c r="N11" s="24" t="str">
        <f>IF(MONTH(DATE(An,2,1)-WEEKDAY(DATE(An,2,1),2)+40)=2,DATE(An,2,1)-WEEKDAY(DATE(An,2,1),2)+40,"")</f>
        <v/>
      </c>
      <c r="O11" s="25" t="str">
        <f>IF(MONTH(DATE(An,2,1)-WEEKDAY(DATE(An,2,1),2)+41)=2,DATE(An,2,1)-WEEKDAY(DATE(An,2,1),2)+41,"")</f>
        <v/>
      </c>
      <c r="P11" s="26" t="str">
        <f>IF(MONTH(DATE(An,2,1)-WEEKDAY(DATE(An,2,1),2)+42)=2,DATE(An,2,1)-WEEKDAY(DATE(An,2,1),2)+42,"")</f>
        <v/>
      </c>
      <c r="R11" s="23" t="str">
        <f>IF(MONTH(DATE(An,3,1)-WEEKDAY(DATE(An,3,1),2)+36)=3,DATE(An,3,1)-WEEKDAY(DATE(An,3,1),2)+36,"")</f>
        <v/>
      </c>
      <c r="S11" s="24" t="str">
        <f>IF(MONTH(DATE(An,3,1)-WEEKDAY(DATE(An,3,1),2)+37)=3,DATE(An,3,1)-WEEKDAY(DATE(An,3,1),2)+37,"")</f>
        <v/>
      </c>
      <c r="T11" s="24" t="str">
        <f>IF(MONTH(DATE(An,3,1)-WEEKDAY(DATE(An,3,1),2)+38)=3,DATE(An,3,1)-WEEKDAY(DATE(An,3,1),2)+38,"")</f>
        <v/>
      </c>
      <c r="U11" s="24" t="str">
        <f>IF(MONTH(DATE(An,3,1)-WEEKDAY(DATE(An,3,1),2)+39)=3,DATE(An,3,1)-WEEKDAY(DATE(An,3,1),2)+39,"")</f>
        <v/>
      </c>
      <c r="V11" s="24" t="str">
        <f>IF(MONTH(DATE(An,3,1)-WEEKDAY(DATE(An,3,1),2)+40)=3,DATE(An,3,1)-WEEKDAY(DATE(An,3,1),2)+40,"")</f>
        <v/>
      </c>
      <c r="W11" s="25" t="str">
        <f>IF(MONTH(DATE(An,3,1)-WEEKDAY(DATE(An,3,1),2)+41)=3,DATE(An,3,1)-WEEKDAY(DATE(An,3,1),2)+41,"")</f>
        <v/>
      </c>
      <c r="X11" s="26" t="str">
        <f>IF(MONTH(DATE(An,3,1)-WEEKDAY(DATE(An,3,1),2)+42)=3,DATE(An,3,1)-WEEKDAY(DATE(An,3,1),2)+42,"")</f>
        <v/>
      </c>
    </row>
    <row r="13" spans="2:24" ht="15.75" x14ac:dyDescent="0.25">
      <c r="B13" s="39" t="s">
        <v>39</v>
      </c>
      <c r="C13" s="40"/>
      <c r="D13" s="40"/>
      <c r="E13" s="40"/>
      <c r="F13" s="40"/>
      <c r="G13" s="40"/>
      <c r="H13" s="41"/>
      <c r="J13" s="39" t="s">
        <v>40</v>
      </c>
      <c r="K13" s="40"/>
      <c r="L13" s="40"/>
      <c r="M13" s="40"/>
      <c r="N13" s="40"/>
      <c r="O13" s="40"/>
      <c r="P13" s="41"/>
      <c r="R13" s="39" t="s">
        <v>41</v>
      </c>
      <c r="S13" s="40"/>
      <c r="T13" s="40"/>
      <c r="U13" s="40"/>
      <c r="V13" s="40"/>
      <c r="W13" s="40"/>
      <c r="X13" s="41"/>
    </row>
    <row r="14" spans="2:24" x14ac:dyDescent="0.2">
      <c r="B14" s="15" t="s">
        <v>30</v>
      </c>
      <c r="C14" s="16" t="s">
        <v>31</v>
      </c>
      <c r="D14" s="16" t="s">
        <v>32</v>
      </c>
      <c r="E14" s="16" t="s">
        <v>33</v>
      </c>
      <c r="F14" s="16" t="s">
        <v>34</v>
      </c>
      <c r="G14" s="17" t="s">
        <v>35</v>
      </c>
      <c r="H14" s="18" t="s">
        <v>36</v>
      </c>
      <c r="J14" s="15" t="s">
        <v>30</v>
      </c>
      <c r="K14" s="16" t="s">
        <v>31</v>
      </c>
      <c r="L14" s="16" t="s">
        <v>32</v>
      </c>
      <c r="M14" s="16" t="s">
        <v>33</v>
      </c>
      <c r="N14" s="16" t="s">
        <v>34</v>
      </c>
      <c r="O14" s="17" t="s">
        <v>35</v>
      </c>
      <c r="P14" s="18" t="s">
        <v>36</v>
      </c>
      <c r="R14" s="15" t="s">
        <v>30</v>
      </c>
      <c r="S14" s="16" t="s">
        <v>31</v>
      </c>
      <c r="T14" s="16" t="s">
        <v>32</v>
      </c>
      <c r="U14" s="16" t="s">
        <v>33</v>
      </c>
      <c r="V14" s="16" t="s">
        <v>34</v>
      </c>
      <c r="W14" s="17" t="s">
        <v>35</v>
      </c>
      <c r="X14" s="18" t="s">
        <v>36</v>
      </c>
    </row>
    <row r="15" spans="2:24" x14ac:dyDescent="0.2">
      <c r="B15" s="19" t="str">
        <f>IF(MONTH(DATE(An,4,1)-WEEKDAY(DATE(An,4,1),2)+1)=4,DATE(An,4,1)-WEEKDAY(DATE(An,4,1),2)+1,"")</f>
        <v/>
      </c>
      <c r="C15" s="20" t="str">
        <f>IF(MONTH(DATE(An,4,1)-WEEKDAY(DATE(An,4,1),2)+2)=4,DATE(An,4,1)-WEEKDAY(DATE(An,4,1),2)+2,"")</f>
        <v/>
      </c>
      <c r="D15" s="20" t="str">
        <f>IF(MONTH(DATE(An,4,1)-WEEKDAY(DATE(An,4,1),2)+3)=4,DATE(An,4,1)-WEEKDAY(DATE(An,4,1),2)+3,"")</f>
        <v/>
      </c>
      <c r="E15" s="20">
        <f>IF(MONTH(DATE(An,4,1)-WEEKDAY(DATE(An,4,1),2)+4)=4,DATE(An,4,1)-WEEKDAY(DATE(An,4,1),2)+4,"")</f>
        <v>46478</v>
      </c>
      <c r="F15" s="20">
        <f>IF(MONTH(DATE(An,4,1)-WEEKDAY(DATE(An,4,1),2)+5)=4,DATE(An,4,1)-WEEKDAY(DATE(An,4,1),2)+5,"")</f>
        <v>46479</v>
      </c>
      <c r="G15" s="21">
        <f>IF(MONTH(DATE(An,4,1)-WEEKDAY(DATE(An,4,1),2)+6)=4,DATE(An,4,1)-WEEKDAY(DATE(An,4,1),2)+6,"")</f>
        <v>46480</v>
      </c>
      <c r="H15" s="22">
        <f>IF(MONTH(DATE(An,4,1)-WEEKDAY(DATE(An,4,1),2)+7)=4,DATE(An,4,1)-WEEKDAY(DATE(An,4,1),2)+7,"")</f>
        <v>46481</v>
      </c>
      <c r="J15" s="19" t="str">
        <f>IF(MONTH(DATE(An,5,1)-WEEKDAY(DATE(An,5,1),2)+1)=5,DATE(An,5,1)-WEEKDAY(DATE(An,5,1),2)+1,"")</f>
        <v/>
      </c>
      <c r="K15" s="20" t="str">
        <f>IF(MONTH(DATE(An,5,1)-WEEKDAY(DATE(An,5,1),2)+2)=5,DATE(An,5,1)-WEEKDAY(DATE(An,5,1),2)+2,"")</f>
        <v/>
      </c>
      <c r="L15" s="20" t="str">
        <f>IF(MONTH(DATE(An,5,1)-WEEKDAY(DATE(An,5,1),2)+3)=5,DATE(An,5,1)-WEEKDAY(DATE(An,5,1),2)+3,"")</f>
        <v/>
      </c>
      <c r="M15" s="20" t="str">
        <f>IF(MONTH(DATE(An,5,1)-WEEKDAY(DATE(An,5,1),2)+4)=5,DATE(An,5,1)-WEEKDAY(DATE(An,5,1),2)+4,"")</f>
        <v/>
      </c>
      <c r="N15" s="20" t="str">
        <f>IF(MONTH(DATE(An,5,1)-WEEKDAY(DATE(An,5,1),2)+5)=5,DATE(An,5,1)-WEEKDAY(DATE(An,5,1),2)+5,"")</f>
        <v/>
      </c>
      <c r="O15" s="21">
        <f>IF(MONTH(DATE(An,5,1)-WEEKDAY(DATE(An,5,1),2)+6)=5,DATE(An,5,1)-WEEKDAY(DATE(An,5,1),2)+6,"")</f>
        <v>46508</v>
      </c>
      <c r="P15" s="22">
        <f>IF(MONTH(DATE(An,5,1)-WEEKDAY(DATE(An,5,1),2)+7)=5,DATE(An,5,1)-WEEKDAY(DATE(An,5,1),2)+7,"")</f>
        <v>46509</v>
      </c>
      <c r="R15" s="19" t="str">
        <f>IF(MONTH(DATE(An,6,1)-WEEKDAY(DATE(An,6,1),2)+1)=6,DATE(An,6,1)-WEEKDAY(DATE(An,6,1),2)+1,"")</f>
        <v/>
      </c>
      <c r="S15" s="20">
        <f>IF(MONTH(DATE(An,6,1)-WEEKDAY(DATE(An,6,1),2)+2)=6,DATE(An,6,1)-WEEKDAY(DATE(An,6,1),2)+2,"")</f>
        <v>46539</v>
      </c>
      <c r="T15" s="20">
        <f>IF(MONTH(DATE(An,6,1)-WEEKDAY(DATE(An,6,1),2)+3)=6,DATE(An,6,1)-WEEKDAY(DATE(An,6,1),2)+3,"")</f>
        <v>46540</v>
      </c>
      <c r="U15" s="20">
        <f>IF(MONTH(DATE(An,6,1)-WEEKDAY(DATE(An,6,1),2)+4)=6,DATE(An,6,1)-WEEKDAY(DATE(An,6,1),2)+4,"")</f>
        <v>46541</v>
      </c>
      <c r="V15" s="20">
        <f>IF(MONTH(DATE(An,6,1)-WEEKDAY(DATE(An,6,1),2)+5)=6,DATE(An,6,1)-WEEKDAY(DATE(An,6,1),2)+5,"")</f>
        <v>46542</v>
      </c>
      <c r="W15" s="21">
        <f>IF(MONTH(DATE(An,6,1)-WEEKDAY(DATE(An,6,1),2)+6)=6,DATE(An,6,1)-WEEKDAY(DATE(An,6,1),2)+6,"")</f>
        <v>46543</v>
      </c>
      <c r="X15" s="22">
        <f>IF(MONTH(DATE(An,6,1)-WEEKDAY(DATE(An,6,1),2)+7)=6,DATE(An,6,1)-WEEKDAY(DATE(An,6,1),2)+7,"")</f>
        <v>46544</v>
      </c>
    </row>
    <row r="16" spans="2:24" x14ac:dyDescent="0.2">
      <c r="B16" s="19">
        <f>IF(MONTH(DATE(An,4,1)-WEEKDAY(DATE(An,4,1),2)+8)=4,DATE(An,4,1)-WEEKDAY(DATE(An,4,1),2)+8,"")</f>
        <v>46482</v>
      </c>
      <c r="C16" s="20">
        <f>IF(MONTH(DATE(An,4,1)-WEEKDAY(DATE(An,4,1),2)+9)=4,DATE(An,4,1)-WEEKDAY(DATE(An,4,1),2)+9,"")</f>
        <v>46483</v>
      </c>
      <c r="D16" s="20">
        <f>IF(MONTH(DATE(An,4,1)-WEEKDAY(DATE(An,4,1),2)+10)=4,DATE(An,4,1)-WEEKDAY(DATE(An,4,1),2)+10,"")</f>
        <v>46484</v>
      </c>
      <c r="E16" s="20">
        <f>IF(MONTH(DATE(An,4,1)-WEEKDAY(DATE(An,4,1),2)+11)=4,DATE(An,4,1)-WEEKDAY(DATE(An,4,1),2)+11,"")</f>
        <v>46485</v>
      </c>
      <c r="F16" s="20">
        <f>IF(MONTH(DATE(An,4,1)-WEEKDAY(DATE(An,4,1),2)+12)=4,DATE(An,4,1)-WEEKDAY(DATE(An,4,1),2)+12,"")</f>
        <v>46486</v>
      </c>
      <c r="G16" s="21">
        <f>IF(MONTH(DATE(An,4,1)-WEEKDAY(DATE(An,4,1),2)+13)=4,DATE(An,4,1)-WEEKDAY(DATE(An,4,1),2)+13,"")</f>
        <v>46487</v>
      </c>
      <c r="H16" s="22">
        <f>IF(MONTH(DATE(An,4,1)-WEEKDAY(DATE(An,4,1),2)+14)=4,DATE(An,4,1)-WEEKDAY(DATE(An,4,1),2)+14,"")</f>
        <v>46488</v>
      </c>
      <c r="J16" s="19">
        <f>IF(MONTH(DATE(An,5,1)-WEEKDAY(DATE(An,5,1),2)+8)=5,DATE(An,5,1)-WEEKDAY(DATE(An,5,1),2)+8,"")</f>
        <v>46510</v>
      </c>
      <c r="K16" s="20">
        <f>IF(MONTH(DATE(An,5,1)-WEEKDAY(DATE(An,5,1),2)+9)=5,DATE(An,5,1)-WEEKDAY(DATE(An,5,1),2)+9,"")</f>
        <v>46511</v>
      </c>
      <c r="L16" s="20">
        <f>IF(MONTH(DATE(An,5,1)-WEEKDAY(DATE(An,5,1),2)+10)=5,DATE(An,5,1)-WEEKDAY(DATE(An,5,1),2)+10,"")</f>
        <v>46512</v>
      </c>
      <c r="M16" s="20">
        <f>IF(MONTH(DATE(An,5,1)-WEEKDAY(DATE(An,5,1),2)+11)=5,DATE(An,5,1)-WEEKDAY(DATE(An,5,1),2)+11,"")</f>
        <v>46513</v>
      </c>
      <c r="N16" s="20">
        <f>IF(MONTH(DATE(An,5,1)-WEEKDAY(DATE(An,5,1),2)+12)=5,DATE(An,5,1)-WEEKDAY(DATE(An,5,1),2)+12,"")</f>
        <v>46514</v>
      </c>
      <c r="O16" s="21">
        <f>IF(MONTH(DATE(An,5,1)-WEEKDAY(DATE(An,5,1),2)+13)=5,DATE(An,5,1)-WEEKDAY(DATE(An,5,1),2)+13,"")</f>
        <v>46515</v>
      </c>
      <c r="P16" s="22">
        <f>IF(MONTH(DATE(An,5,1)-WEEKDAY(DATE(An,5,1),2)+14)=5,DATE(An,5,1)-WEEKDAY(DATE(An,5,1),2)+14,"")</f>
        <v>46516</v>
      </c>
      <c r="R16" s="19">
        <f>IF(MONTH(DATE(An,6,1)-WEEKDAY(DATE(An,6,1),2)+8)=6,DATE(An,6,1)-WEEKDAY(DATE(An,6,1),2)+8,"")</f>
        <v>46545</v>
      </c>
      <c r="S16" s="20">
        <f>IF(MONTH(DATE(An,6,1)-WEEKDAY(DATE(An,6,1),2)+9)=6,DATE(An,6,1)-WEEKDAY(DATE(An,6,1),2)+9,"")</f>
        <v>46546</v>
      </c>
      <c r="T16" s="20">
        <f>IF(MONTH(DATE(An,6,1)-WEEKDAY(DATE(An,6,1),2)+10)=6,DATE(An,6,1)-WEEKDAY(DATE(An,6,1),2)+10,"")</f>
        <v>46547</v>
      </c>
      <c r="U16" s="20">
        <f>IF(MONTH(DATE(An,6,1)-WEEKDAY(DATE(An,6,1),2)+11)=6,DATE(An,6,1)-WEEKDAY(DATE(An,6,1),2)+11,"")</f>
        <v>46548</v>
      </c>
      <c r="V16" s="20">
        <f>IF(MONTH(DATE(An,6,1)-WEEKDAY(DATE(An,6,1),2)+12)=6,DATE(An,6,1)-WEEKDAY(DATE(An,6,1),2)+12,"")</f>
        <v>46549</v>
      </c>
      <c r="W16" s="21">
        <f>IF(MONTH(DATE(An,6,1)-WEEKDAY(DATE(An,6,1),2)+13)=6,DATE(An,6,1)-WEEKDAY(DATE(An,6,1),2)+13,"")</f>
        <v>46550</v>
      </c>
      <c r="X16" s="22">
        <f>IF(MONTH(DATE(An,6,1)-WEEKDAY(DATE(An,6,1),2)+14)=6,DATE(An,6,1)-WEEKDAY(DATE(An,6,1),2)+14,"")</f>
        <v>46551</v>
      </c>
    </row>
    <row r="17" spans="2:24" x14ac:dyDescent="0.2">
      <c r="B17" s="19">
        <f>IF(MONTH(DATE(An,4,1)-WEEKDAY(DATE(An,4,1),2)+15)=4,DATE(An,4,1)-WEEKDAY(DATE(An,4,1),2)+15,"")</f>
        <v>46489</v>
      </c>
      <c r="C17" s="20">
        <f>IF(MONTH(DATE(An,4,1)-WEEKDAY(DATE(An,4,1),2)+16)=4,DATE(An,4,1)-WEEKDAY(DATE(An,4,1),2)+16,"")</f>
        <v>46490</v>
      </c>
      <c r="D17" s="20">
        <f>IF(MONTH(DATE(An,4,1)-WEEKDAY(DATE(An,4,1),2)+17)=4,DATE(An,4,1)-WEEKDAY(DATE(An,4,1),2)+17,"")</f>
        <v>46491</v>
      </c>
      <c r="E17" s="20">
        <f>IF(MONTH(DATE(An,4,1)-WEEKDAY(DATE(An,4,1),2)+18)=4,DATE(An,4,1)-WEEKDAY(DATE(An,4,1),2)+18,"")</f>
        <v>46492</v>
      </c>
      <c r="F17" s="20">
        <f>IF(MONTH(DATE(An,4,1)-WEEKDAY(DATE(An,4,1),2)+19)=4,DATE(An,4,1)-WEEKDAY(DATE(An,4,1),2)+19,"")</f>
        <v>46493</v>
      </c>
      <c r="G17" s="21">
        <f>IF(MONTH(DATE(An,4,1)-WEEKDAY(DATE(An,4,1),2)+20)=4,DATE(An,4,1)-WEEKDAY(DATE(An,4,1),2)+20,"")</f>
        <v>46494</v>
      </c>
      <c r="H17" s="22">
        <f>IF(MONTH(DATE(An,4,1)-WEEKDAY(DATE(An,4,1),2)+21)=4,DATE(An,4,1)-WEEKDAY(DATE(An,4,1),2)+21,"")</f>
        <v>46495</v>
      </c>
      <c r="J17" s="19">
        <f>IF(MONTH(DATE(An,5,1)-WEEKDAY(DATE(An,5,1),2)+15)=5,DATE(An,5,1)-WEEKDAY(DATE(An,5,1),2)+15,"")</f>
        <v>46517</v>
      </c>
      <c r="K17" s="20">
        <f>IF(MONTH(DATE(An,5,1)-WEEKDAY(DATE(An,5,1),2)+16)=5,DATE(An,5,1)-WEEKDAY(DATE(An,5,1),2)+16,"")</f>
        <v>46518</v>
      </c>
      <c r="L17" s="20">
        <f>IF(MONTH(DATE(An,5,1)-WEEKDAY(DATE(An,5,1),2)+17)=5,DATE(An,5,1)-WEEKDAY(DATE(An,5,1),2)+17,"")</f>
        <v>46519</v>
      </c>
      <c r="M17" s="20">
        <f>IF(MONTH(DATE(An,5,1)-WEEKDAY(DATE(An,5,1),2)+18)=5,DATE(An,5,1)-WEEKDAY(DATE(An,5,1),2)+18,"")</f>
        <v>46520</v>
      </c>
      <c r="N17" s="20">
        <f>IF(MONTH(DATE(An,5,1)-WEEKDAY(DATE(An,5,1),2)+19)=5,DATE(An,5,1)-WEEKDAY(DATE(An,5,1),2)+19,"")</f>
        <v>46521</v>
      </c>
      <c r="O17" s="21">
        <f>IF(MONTH(DATE(An,5,1)-WEEKDAY(DATE(An,5,1),2)+20)=5,DATE(An,5,1)-WEEKDAY(DATE(An,5,1),2)+20,"")</f>
        <v>46522</v>
      </c>
      <c r="P17" s="22">
        <f>IF(MONTH(DATE(An,5,1)-WEEKDAY(DATE(An,5,1),2)+21)=5,DATE(An,5,1)-WEEKDAY(DATE(An,5,1),2)+21,"")</f>
        <v>46523</v>
      </c>
      <c r="R17" s="19">
        <f>IF(MONTH(DATE(An,6,1)-WEEKDAY(DATE(An,6,1),2)+15)=6,DATE(An,6,1)-WEEKDAY(DATE(An,6,1),2)+15,"")</f>
        <v>46552</v>
      </c>
      <c r="S17" s="20">
        <f>IF(MONTH(DATE(An,6,1)-WEEKDAY(DATE(An,6,1),2)+16)=6,DATE(An,6,1)-WEEKDAY(DATE(An,6,1),2)+16,"")</f>
        <v>46553</v>
      </c>
      <c r="T17" s="20">
        <f>IF(MONTH(DATE(An,6,1)-WEEKDAY(DATE(An,6,1),2)+17)=6,DATE(An,6,1)-WEEKDAY(DATE(An,6,1),2)+17,"")</f>
        <v>46554</v>
      </c>
      <c r="U17" s="20">
        <f>IF(MONTH(DATE(An,6,1)-WEEKDAY(DATE(An,6,1),2)+18)=6,DATE(An,6,1)-WEEKDAY(DATE(An,6,1),2)+18,"")</f>
        <v>46555</v>
      </c>
      <c r="V17" s="20">
        <f>IF(MONTH(DATE(An,6,1)-WEEKDAY(DATE(An,6,1),2)+19)=6,DATE(An,6,1)-WEEKDAY(DATE(An,6,1),2)+19,"")</f>
        <v>46556</v>
      </c>
      <c r="W17" s="21">
        <f>IF(MONTH(DATE(An,6,1)-WEEKDAY(DATE(An,6,1),2)+20)=6,DATE(An,6,1)-WEEKDAY(DATE(An,6,1),2)+20,"")</f>
        <v>46557</v>
      </c>
      <c r="X17" s="22">
        <f>IF(MONTH(DATE(An,6,1)-WEEKDAY(DATE(An,6,1),2)+21)=6,DATE(An,6,1)-WEEKDAY(DATE(An,6,1),2)+21,"")</f>
        <v>46558</v>
      </c>
    </row>
    <row r="18" spans="2:24" x14ac:dyDescent="0.2">
      <c r="B18" s="19">
        <f>IF(MONTH(DATE(An,4,1)-WEEKDAY(DATE(An,4,1),2)+22)=4,DATE(An,4,1)-WEEKDAY(DATE(An,4,1),2)+22,"")</f>
        <v>46496</v>
      </c>
      <c r="C18" s="20">
        <f>IF(MONTH(DATE(An,4,1)-WEEKDAY(DATE(An,4,1),2)+23)=4,DATE(An,4,1)-WEEKDAY(DATE(An,4,1),2)+23,"")</f>
        <v>46497</v>
      </c>
      <c r="D18" s="20">
        <f>IF(MONTH(DATE(An,4,1)-WEEKDAY(DATE(An,4,1),2)+24)=4,DATE(An,4,1)-WEEKDAY(DATE(An,4,1),2)+24,"")</f>
        <v>46498</v>
      </c>
      <c r="E18" s="20">
        <f>IF(MONTH(DATE(An,4,1)-WEEKDAY(DATE(An,4,1),2)+25)=4,DATE(An,4,1)-WEEKDAY(DATE(An,4,1),2)+25,"")</f>
        <v>46499</v>
      </c>
      <c r="F18" s="20">
        <f>IF(MONTH(DATE(An,4,1)-WEEKDAY(DATE(An,4,1),2)+26)=4,DATE(An,4,1)-WEEKDAY(DATE(An,4,1),2)+26,"")</f>
        <v>46500</v>
      </c>
      <c r="G18" s="21">
        <f>IF(MONTH(DATE(An,4,1)-WEEKDAY(DATE(An,4,1),2)+27)=4,DATE(An,4,1)-WEEKDAY(DATE(An,4,1),2)+27,"")</f>
        <v>46501</v>
      </c>
      <c r="H18" s="22">
        <f>IF(MONTH(DATE(An,4,1)-WEEKDAY(DATE(An,4,1),2)+28)=4,DATE(An,4,1)-WEEKDAY(DATE(An,4,1),2)+28,"")</f>
        <v>46502</v>
      </c>
      <c r="J18" s="19">
        <f>IF(MONTH(DATE(An,5,1)-WEEKDAY(DATE(An,5,1),2)+22)=5,DATE(An,5,1)-WEEKDAY(DATE(An,5,1),2)+22,"")</f>
        <v>46524</v>
      </c>
      <c r="K18" s="20">
        <f>IF(MONTH(DATE(An,5,1)-WEEKDAY(DATE(An,5,1),2)+23)=5,DATE(An,5,1)-WEEKDAY(DATE(An,5,1),2)+23,"")</f>
        <v>46525</v>
      </c>
      <c r="L18" s="20">
        <f>IF(MONTH(DATE(An,5,1)-WEEKDAY(DATE(An,5,1),2)+24)=5,DATE(An,5,1)-WEEKDAY(DATE(An,5,1),2)+24,"")</f>
        <v>46526</v>
      </c>
      <c r="M18" s="20">
        <f>IF(MONTH(DATE(An,5,1)-WEEKDAY(DATE(An,5,1),2)+25)=5,DATE(An,5,1)-WEEKDAY(DATE(An,5,1),2)+25,"")</f>
        <v>46527</v>
      </c>
      <c r="N18" s="20">
        <f>IF(MONTH(DATE(An,5,1)-WEEKDAY(DATE(An,5,1),2)+26)=5,DATE(An,5,1)-WEEKDAY(DATE(An,5,1),2)+26,"")</f>
        <v>46528</v>
      </c>
      <c r="O18" s="21">
        <f>IF(MONTH(DATE(An,5,1)-WEEKDAY(DATE(An,5,1),2)+27)=5,DATE(An,5,1)-WEEKDAY(DATE(An,5,1),2)+27,"")</f>
        <v>46529</v>
      </c>
      <c r="P18" s="22">
        <f>IF(MONTH(DATE(An,5,1)-WEEKDAY(DATE(An,5,1),2)+28)=5,DATE(An,5,1)-WEEKDAY(DATE(An,5,1),2)+28,"")</f>
        <v>46530</v>
      </c>
      <c r="R18" s="19">
        <f>IF(MONTH(DATE(An,6,1)-WEEKDAY(DATE(An,6,1),2)+22)=6,DATE(An,6,1)-WEEKDAY(DATE(An,6,1),2)+22,"")</f>
        <v>46559</v>
      </c>
      <c r="S18" s="20">
        <f>IF(MONTH(DATE(An,6,1)-WEEKDAY(DATE(An,6,1),2)+23)=6,DATE(An,6,1)-WEEKDAY(DATE(An,6,1),2)+23,"")</f>
        <v>46560</v>
      </c>
      <c r="T18" s="20">
        <f>IF(MONTH(DATE(An,6,1)-WEEKDAY(DATE(An,6,1),2)+24)=6,DATE(An,6,1)-WEEKDAY(DATE(An,6,1),2)+24,"")</f>
        <v>46561</v>
      </c>
      <c r="U18" s="20">
        <f>IF(MONTH(DATE(An,6,1)-WEEKDAY(DATE(An,6,1),2)+25)=6,DATE(An,6,1)-WEEKDAY(DATE(An,6,1),2)+25,"")</f>
        <v>46562</v>
      </c>
      <c r="V18" s="20">
        <f>IF(MONTH(DATE(An,6,1)-WEEKDAY(DATE(An,6,1),2)+26)=6,DATE(An,6,1)-WEEKDAY(DATE(An,6,1),2)+26,"")</f>
        <v>46563</v>
      </c>
      <c r="W18" s="21">
        <f>IF(MONTH(DATE(An,6,1)-WEEKDAY(DATE(An,6,1),2)+27)=6,DATE(An,6,1)-WEEKDAY(DATE(An,6,1),2)+27,"")</f>
        <v>46564</v>
      </c>
      <c r="X18" s="22">
        <f>IF(MONTH(DATE(An,6,1)-WEEKDAY(DATE(An,6,1),2)+28)=6,DATE(An,6,1)-WEEKDAY(DATE(An,6,1),2)+28,"")</f>
        <v>46565</v>
      </c>
    </row>
    <row r="19" spans="2:24" x14ac:dyDescent="0.2">
      <c r="B19" s="19">
        <f>IF(MONTH(DATE(An,4,1)-WEEKDAY(DATE(An,4,1),2)+29)=4,DATE(An,4,1)-WEEKDAY(DATE(An,4,1),2)+29,"")</f>
        <v>46503</v>
      </c>
      <c r="C19" s="20">
        <f>IF(MONTH(DATE(An,4,1)-WEEKDAY(DATE(An,4,1),2)+30)=4,DATE(An,4,1)-WEEKDAY(DATE(An,4,1),2)+30,"")</f>
        <v>46504</v>
      </c>
      <c r="D19" s="20">
        <f>IF(MONTH(DATE(An,4,1)-WEEKDAY(DATE(An,4,1),2)+31)=4,DATE(An,4,1)-WEEKDAY(DATE(An,4,1),2)+31,"")</f>
        <v>46505</v>
      </c>
      <c r="E19" s="20">
        <f>IF(MONTH(DATE(An,4,1)-WEEKDAY(DATE(An,4,1),2)+32)=4,DATE(An,4,1)-WEEKDAY(DATE(An,4,1),2)+32,"")</f>
        <v>46506</v>
      </c>
      <c r="F19" s="20">
        <f>IF(MONTH(DATE(An,4,1)-WEEKDAY(DATE(An,4,1),2)+33)=4,DATE(An,4,1)-WEEKDAY(DATE(An,4,1),2)+33,"")</f>
        <v>46507</v>
      </c>
      <c r="G19" s="21" t="str">
        <f>IF(MONTH(DATE(An,4,1)-WEEKDAY(DATE(An,4,1),2)+34)=4,DATE(An,4,1)-WEEKDAY(DATE(An,4,1),2)+34,"")</f>
        <v/>
      </c>
      <c r="H19" s="22" t="str">
        <f>IF(MONTH(DATE(An,4,1)-WEEKDAY(DATE(An,4,1),2)+35)=4,DATE(An,4,1)-WEEKDAY(DATE(An,4,1),2)+35,"")</f>
        <v/>
      </c>
      <c r="J19" s="19">
        <f>IF(MONTH(DATE(An,5,1)-WEEKDAY(DATE(An,5,1),2)+29)=5,DATE(An,5,1)-WEEKDAY(DATE(An,5,1),2)+29,"")</f>
        <v>46531</v>
      </c>
      <c r="K19" s="20">
        <f>IF(MONTH(DATE(An,5,1)-WEEKDAY(DATE(An,5,1),2)+30)=5,DATE(An,5,1)-WEEKDAY(DATE(An,5,1),2)+30,"")</f>
        <v>46532</v>
      </c>
      <c r="L19" s="20">
        <f>IF(MONTH(DATE(An,5,1)-WEEKDAY(DATE(An,5,1),2)+31)=5,DATE(An,5,1)-WEEKDAY(DATE(An,5,1),2)+31,"")</f>
        <v>46533</v>
      </c>
      <c r="M19" s="20">
        <f>IF(MONTH(DATE(An,5,1)-WEEKDAY(DATE(An,5,1),2)+32)=5,DATE(An,5,1)-WEEKDAY(DATE(An,5,1),2)+32,"")</f>
        <v>46534</v>
      </c>
      <c r="N19" s="20">
        <f>IF(MONTH(DATE(An,5,1)-WEEKDAY(DATE(An,5,1),2)+33)=5,DATE(An,5,1)-WEEKDAY(DATE(An,5,1),2)+33,"")</f>
        <v>46535</v>
      </c>
      <c r="O19" s="21">
        <f>IF(MONTH(DATE(An,5,1)-WEEKDAY(DATE(An,5,1),2)+34)=5,DATE(An,5,1)-WEEKDAY(DATE(An,5,1),2)+34,"")</f>
        <v>46536</v>
      </c>
      <c r="P19" s="22">
        <f>IF(MONTH(DATE(An,5,1)-WEEKDAY(DATE(An,5,1),2)+35)=5,DATE(An,5,1)-WEEKDAY(DATE(An,5,1),2)+35,"")</f>
        <v>46537</v>
      </c>
      <c r="R19" s="19">
        <f>IF(MONTH(DATE(An,6,1)-WEEKDAY(DATE(An,6,1),2)+29)=6,DATE(An,6,1)-WEEKDAY(DATE(An,6,1),2)+29,"")</f>
        <v>46566</v>
      </c>
      <c r="S19" s="20">
        <f>IF(MONTH(DATE(An,6,1)-WEEKDAY(DATE(An,6,1),2)+30)=6,DATE(An,6,1)-WEEKDAY(DATE(An,6,1),2)+30,"")</f>
        <v>46567</v>
      </c>
      <c r="T19" s="20">
        <f>IF(MONTH(DATE(An,6,1)-WEEKDAY(DATE(An,6,1),2)+31)=6,DATE(An,6,1)-WEEKDAY(DATE(An,6,1),2)+31,"")</f>
        <v>46568</v>
      </c>
      <c r="U19" s="20" t="str">
        <f>IF(MONTH(DATE(An,6,1)-WEEKDAY(DATE(An,6,1),2)+32)=6,DATE(An,6,1)-WEEKDAY(DATE(An,6,1),2)+32,"")</f>
        <v/>
      </c>
      <c r="V19" s="20" t="str">
        <f>IF(MONTH(DATE(An,6,1)-WEEKDAY(DATE(An,6,1),2)+33)=6,DATE(An,6,1)-WEEKDAY(DATE(An,6,1),2)+33,"")</f>
        <v/>
      </c>
      <c r="W19" s="21" t="str">
        <f>IF(MONTH(DATE(An,6,1)-WEEKDAY(DATE(An,6,1),2)+34)=6,DATE(An,6,1)-WEEKDAY(DATE(An,6,1),2)+34,"")</f>
        <v/>
      </c>
      <c r="X19" s="22" t="str">
        <f>IF(MONTH(DATE(An,6,1)-WEEKDAY(DATE(An,6,1),2)+35)=6,DATE(An,6,1)-WEEKDAY(DATE(An,6,1),2)+35,"")</f>
        <v/>
      </c>
    </row>
    <row r="20" spans="2:24" x14ac:dyDescent="0.2">
      <c r="B20" s="23" t="str">
        <f>IF(MONTH(DATE(An,4,1)-WEEKDAY(DATE(An,4,1),2)+36)=4,DATE(An,4,1)-WEEKDAY(DATE(An,4,1),2)+36,"")</f>
        <v/>
      </c>
      <c r="C20" s="24" t="str">
        <f>IF(MONTH(DATE(An,4,1)-WEEKDAY(DATE(An,4,1),2)+37)=4,DATE(An,4,1)-WEEKDAY(DATE(An,4,1),2)+37,"")</f>
        <v/>
      </c>
      <c r="D20" s="24" t="str">
        <f>IF(MONTH(DATE(An,4,1)-WEEKDAY(DATE(An,4,1),2)+38)=4,DATE(An,4,1)-WEEKDAY(DATE(An,4,1),2)+38,"")</f>
        <v/>
      </c>
      <c r="E20" s="24" t="str">
        <f>IF(MONTH(DATE(An,4,1)-WEEKDAY(DATE(An,4,1),2)+39)=4,DATE(An,4,1)-WEEKDAY(DATE(An,4,1),2)+39,"")</f>
        <v/>
      </c>
      <c r="F20" s="24" t="str">
        <f>IF(MONTH(DATE(An,4,1)-WEEKDAY(DATE(An,4,1),2)+40)=4,DATE(An,4,1)-WEEKDAY(DATE(An,4,1),2)+40,"")</f>
        <v/>
      </c>
      <c r="G20" s="25" t="str">
        <f>IF(MONTH(DATE(An,4,1)-WEEKDAY(DATE(An,4,1),2)+41)=4,DATE(An,4,1)-WEEKDAY(DATE(An,4,1),2)+41,"")</f>
        <v/>
      </c>
      <c r="H20" s="26" t="str">
        <f>IF(MONTH(DATE(An,4,1)-WEEKDAY(DATE(An,4,1),2)+42)=4,DATE(An,4,1)-WEEKDAY(DATE(An,4,1),2)+42,"")</f>
        <v/>
      </c>
      <c r="J20" s="23">
        <f>IF(MONTH(DATE(An,5,1)-WEEKDAY(DATE(An,5,1),2)+36)=5,DATE(An,5,1)-WEEKDAY(DATE(An,5,1),2)+36,"")</f>
        <v>46538</v>
      </c>
      <c r="K20" s="24" t="str">
        <f>IF(MONTH(DATE(An,5,1)-WEEKDAY(DATE(An,5,1),2)+37)=5,DATE(An,5,1)-WEEKDAY(DATE(An,5,1),2)+37,"")</f>
        <v/>
      </c>
      <c r="L20" s="24" t="str">
        <f>IF(MONTH(DATE(An,5,1)-WEEKDAY(DATE(An,5,1),2)+38)=5,DATE(An,5,1)-WEEKDAY(DATE(An,5,1),2)+38,"")</f>
        <v/>
      </c>
      <c r="M20" s="24" t="str">
        <f>IF(MONTH(DATE(An,5,1)-WEEKDAY(DATE(An,5,1),2)+39)=5,DATE(An,5,1)-WEEKDAY(DATE(An,5,1),2)+39,"")</f>
        <v/>
      </c>
      <c r="N20" s="24" t="str">
        <f>IF(MONTH(DATE(An,5,1)-WEEKDAY(DATE(An,5,1),2)+40)=5,DATE(An,5,1)-WEEKDAY(DATE(An,5,1),2)+40,"")</f>
        <v/>
      </c>
      <c r="O20" s="25" t="str">
        <f>IF(MONTH(DATE(An,5,1)-WEEKDAY(DATE(An,5,1),2)+41)=5,DATE(An,5,1)-WEEKDAY(DATE(An,5,1),2)+41,"")</f>
        <v/>
      </c>
      <c r="P20" s="26" t="str">
        <f>IF(MONTH(DATE(An,5,1)-WEEKDAY(DATE(An,5,1),2)+42)=5,DATE(An,5,1)-WEEKDAY(DATE(An,5,1),2)+42,"")</f>
        <v/>
      </c>
      <c r="R20" s="23" t="str">
        <f>IF(MONTH(DATE(An,6,1)-WEEKDAY(DATE(An,6,1),2)+36)=6,DATE(An,6,1)-WEEKDAY(DATE(An,6,1),2)+36,"")</f>
        <v/>
      </c>
      <c r="S20" s="24" t="str">
        <f>IF(MONTH(DATE(An,6,1)-WEEKDAY(DATE(An,6,1),2)+37)=6,DATE(An,6,1)-WEEKDAY(DATE(An,6,1),2)+37,"")</f>
        <v/>
      </c>
      <c r="T20" s="24" t="str">
        <f>IF(MONTH(DATE(An,6,1)-WEEKDAY(DATE(An,6,1),2)+38)=6,DATE(An,6,1)-WEEKDAY(DATE(An,6,1),2)+38,"")</f>
        <v/>
      </c>
      <c r="U20" s="24" t="str">
        <f>IF(MONTH(DATE(An,6,1)-WEEKDAY(DATE(An,6,1),2)+39)=6,DATE(An,6,1)-WEEKDAY(DATE(An,6,1),2)+39,"")</f>
        <v/>
      </c>
      <c r="V20" s="24" t="str">
        <f>IF(MONTH(DATE(An,6,1)-WEEKDAY(DATE(An,6,1),2)+40)=6,DATE(An,6,1)-WEEKDAY(DATE(An,6,1),2)+40,"")</f>
        <v/>
      </c>
      <c r="W20" s="25" t="str">
        <f>IF(MONTH(DATE(An,6,1)-WEEKDAY(DATE(An,6,1),2)+41)=6,DATE(An,6,1)-WEEKDAY(DATE(An,6,1),2)+41,"")</f>
        <v/>
      </c>
      <c r="X20" s="26" t="str">
        <f>IF(MONTH(DATE(An,6,1)-WEEKDAY(DATE(An,6,1),2)+42)=6,DATE(An,6,1)-WEEKDAY(DATE(An,6,1),2)+42,"")</f>
        <v/>
      </c>
    </row>
    <row r="22" spans="2:24" ht="15.75" x14ac:dyDescent="0.25">
      <c r="B22" s="39" t="s">
        <v>42</v>
      </c>
      <c r="C22" s="40"/>
      <c r="D22" s="40"/>
      <c r="E22" s="40"/>
      <c r="F22" s="40"/>
      <c r="G22" s="40"/>
      <c r="H22" s="41"/>
      <c r="J22" s="39" t="s">
        <v>43</v>
      </c>
      <c r="K22" s="40"/>
      <c r="L22" s="40"/>
      <c r="M22" s="40"/>
      <c r="N22" s="40"/>
      <c r="O22" s="40"/>
      <c r="P22" s="41"/>
      <c r="R22" s="39" t="s">
        <v>44</v>
      </c>
      <c r="S22" s="40"/>
      <c r="T22" s="40"/>
      <c r="U22" s="40"/>
      <c r="V22" s="40"/>
      <c r="W22" s="40"/>
      <c r="X22" s="41"/>
    </row>
    <row r="23" spans="2:24" x14ac:dyDescent="0.2">
      <c r="B23" s="15" t="s">
        <v>30</v>
      </c>
      <c r="C23" s="16" t="s">
        <v>31</v>
      </c>
      <c r="D23" s="16" t="s">
        <v>32</v>
      </c>
      <c r="E23" s="16" t="s">
        <v>33</v>
      </c>
      <c r="F23" s="16" t="s">
        <v>34</v>
      </c>
      <c r="G23" s="17" t="s">
        <v>35</v>
      </c>
      <c r="H23" s="18" t="s">
        <v>36</v>
      </c>
      <c r="J23" s="15" t="s">
        <v>30</v>
      </c>
      <c r="K23" s="16" t="s">
        <v>31</v>
      </c>
      <c r="L23" s="16" t="s">
        <v>32</v>
      </c>
      <c r="M23" s="16" t="s">
        <v>33</v>
      </c>
      <c r="N23" s="16" t="s">
        <v>34</v>
      </c>
      <c r="O23" s="17" t="s">
        <v>35</v>
      </c>
      <c r="P23" s="18" t="s">
        <v>36</v>
      </c>
      <c r="R23" s="15" t="s">
        <v>30</v>
      </c>
      <c r="S23" s="16" t="s">
        <v>31</v>
      </c>
      <c r="T23" s="16" t="s">
        <v>32</v>
      </c>
      <c r="U23" s="16" t="s">
        <v>33</v>
      </c>
      <c r="V23" s="16" t="s">
        <v>34</v>
      </c>
      <c r="W23" s="17" t="s">
        <v>35</v>
      </c>
      <c r="X23" s="18" t="s">
        <v>36</v>
      </c>
    </row>
    <row r="24" spans="2:24" x14ac:dyDescent="0.2">
      <c r="B24" s="19" t="str">
        <f>IF(MONTH(DATE(An,7,1)-WEEKDAY(DATE(An,7,1),2)+1)=7,DATE(An,7,1)-WEEKDAY(DATE(An,7,1),2)+1,"")</f>
        <v/>
      </c>
      <c r="C24" s="20" t="str">
        <f>IF(MONTH(DATE(An,7,1)-WEEKDAY(DATE(An,7,1),2)+2)=7,DATE(An,7,1)-WEEKDAY(DATE(An,7,1),2)+2,"")</f>
        <v/>
      </c>
      <c r="D24" s="20" t="str">
        <f>IF(MONTH(DATE(An,7,1)-WEEKDAY(DATE(An,7,1),2)+3)=7,DATE(An,7,1)-WEEKDAY(DATE(An,7,1),2)+3,"")</f>
        <v/>
      </c>
      <c r="E24" s="20">
        <f>IF(MONTH(DATE(An,7,1)-WEEKDAY(DATE(An,7,1),2)+4)=7,DATE(An,7,1)-WEEKDAY(DATE(An,7,1),2)+4,"")</f>
        <v>46569</v>
      </c>
      <c r="F24" s="20">
        <f>IF(MONTH(DATE(An,7,1)-WEEKDAY(DATE(An,7,1),2)+5)=7,DATE(An,7,1)-WEEKDAY(DATE(An,7,1),2)+5,"")</f>
        <v>46570</v>
      </c>
      <c r="G24" s="21">
        <f>IF(MONTH(DATE(An,7,1)-WEEKDAY(DATE(An,7,1),2)+6)=7,DATE(An,7,1)-WEEKDAY(DATE(An,7,1),2)+6,"")</f>
        <v>46571</v>
      </c>
      <c r="H24" s="22">
        <f>IF(MONTH(DATE(An,7,1)-WEEKDAY(DATE(An,7,1),2)+7)=7,DATE(An,7,1)-WEEKDAY(DATE(An,7,1),2)+7,"")</f>
        <v>46572</v>
      </c>
      <c r="J24" s="19" t="str">
        <f>IF(MONTH(DATE(An,8,1)-WEEKDAY(DATE(An,8,1),2)+1)=8,DATE(An,8,1)-WEEKDAY(DATE(An,8,1),2)+1,"")</f>
        <v/>
      </c>
      <c r="K24" s="20" t="str">
        <f>IF(MONTH(DATE(An,8,1)-WEEKDAY(DATE(An,8,1),2)+2)=8,DATE(An,8,1)-WEEKDAY(DATE(An,8,1),2)+2,"")</f>
        <v/>
      </c>
      <c r="L24" s="20" t="str">
        <f>IF(MONTH(DATE(An,8,1)-WEEKDAY(DATE(An,8,1),2)+3)=8,DATE(An,8,1)-WEEKDAY(DATE(An,8,1),2)+3,"")</f>
        <v/>
      </c>
      <c r="M24" s="20" t="str">
        <f>IF(MONTH(DATE(An,8,1)-WEEKDAY(DATE(An,8,1),2)+4)=8,DATE(An,8,1)-WEEKDAY(DATE(An,8,1),2)+4,"")</f>
        <v/>
      </c>
      <c r="N24" s="20" t="str">
        <f>IF(MONTH(DATE(An,8,1)-WEEKDAY(DATE(An,8,1),2)+5)=8,DATE(An,8,1)-WEEKDAY(DATE(An,8,1),2)+5,"")</f>
        <v/>
      </c>
      <c r="O24" s="21" t="str">
        <f>IF(MONTH(DATE(An,8,1)-WEEKDAY(DATE(An,8,1),2)+6)=8,DATE(An,8,1)-WEEKDAY(DATE(An,8,1),2)+6,"")</f>
        <v/>
      </c>
      <c r="P24" s="22">
        <f>IF(MONTH(DATE(An,8,1)-WEEKDAY(DATE(An,8,1),2)+7)=8,DATE(An,8,1)-WEEKDAY(DATE(An,8,1),2)+7,"")</f>
        <v>46600</v>
      </c>
      <c r="R24" s="19" t="str">
        <f>IF(MONTH(DATE(An,9,1)-WEEKDAY(DATE(An,9,1),2)+1)=9,DATE(An,9,1)-WEEKDAY(DATE(An,9,1),2)+1,"")</f>
        <v/>
      </c>
      <c r="S24" s="20" t="str">
        <f>IF(MONTH(DATE(An,9,1)-WEEKDAY(DATE(An,9,1),2)+2)=9,DATE(An,9,1)-WEEKDAY(DATE(An,9,1),2)+2,"")</f>
        <v/>
      </c>
      <c r="T24" s="20">
        <f>IF(MONTH(DATE(An,9,1)-WEEKDAY(DATE(An,9,1),2)+3)=9,DATE(An,9,1)-WEEKDAY(DATE(An,9,1),2)+3,"")</f>
        <v>46631</v>
      </c>
      <c r="U24" s="20">
        <f>IF(MONTH(DATE(An,9,1)-WEEKDAY(DATE(An,9,1),2)+4)=9,DATE(An,9,1)-WEEKDAY(DATE(An,9,1),2)+4,"")</f>
        <v>46632</v>
      </c>
      <c r="V24" s="20">
        <f>IF(MONTH(DATE(An,9,1)-WEEKDAY(DATE(An,9,1),2)+5)=9,DATE(An,9,1)-WEEKDAY(DATE(An,9,1),2)+5,"")</f>
        <v>46633</v>
      </c>
      <c r="W24" s="21">
        <f>IF(MONTH(DATE(An,9,1)-WEEKDAY(DATE(An,9,1),2)+6)=9,DATE(An,9,1)-WEEKDAY(DATE(An,9,1),2)+6,"")</f>
        <v>46634</v>
      </c>
      <c r="X24" s="22">
        <f>IF(MONTH(DATE(An,9,1)-WEEKDAY(DATE(An,9,1),2)+7)=9,DATE(An,9,1)-WEEKDAY(DATE(An,9,1),2)+7,"")</f>
        <v>46635</v>
      </c>
    </row>
    <row r="25" spans="2:24" x14ac:dyDescent="0.2">
      <c r="B25" s="19">
        <f>IF(MONTH(DATE(An,7,1)-WEEKDAY(DATE(An,7,1),2)+8)=7,DATE(An,7,1)-WEEKDAY(DATE(An,7,1),2)+8,"")</f>
        <v>46573</v>
      </c>
      <c r="C25" s="20">
        <f>IF(MONTH(DATE(An,7,1)-WEEKDAY(DATE(An,7,1),2)+9)=7,DATE(An,7,1)-WEEKDAY(DATE(An,7,1),2)+9,"")</f>
        <v>46574</v>
      </c>
      <c r="D25" s="20">
        <f>IF(MONTH(DATE(An,7,1)-WEEKDAY(DATE(An,7,1),2)+10)=7,DATE(An,7,1)-WEEKDAY(DATE(An,7,1),2)+10,"")</f>
        <v>46575</v>
      </c>
      <c r="E25" s="20">
        <f>IF(MONTH(DATE(An,7,1)-WEEKDAY(DATE(An,7,1),2)+11)=7,DATE(An,7,1)-WEEKDAY(DATE(An,7,1),2)+11,"")</f>
        <v>46576</v>
      </c>
      <c r="F25" s="20">
        <f>IF(MONTH(DATE(An,7,1)-WEEKDAY(DATE(An,7,1),2)+12)=7,DATE(An,7,1)-WEEKDAY(DATE(An,7,1),2)+12,"")</f>
        <v>46577</v>
      </c>
      <c r="G25" s="21">
        <f>IF(MONTH(DATE(An,7,1)-WEEKDAY(DATE(An,7,1),2)+13)=7,DATE(An,7,1)-WEEKDAY(DATE(An,7,1),2)+13,"")</f>
        <v>46578</v>
      </c>
      <c r="H25" s="22">
        <f>IF(MONTH(DATE(An,7,1)-WEEKDAY(DATE(An,7,1),2)+14)=7,DATE(An,7,1)-WEEKDAY(DATE(An,7,1),2)+14,"")</f>
        <v>46579</v>
      </c>
      <c r="J25" s="19">
        <f>IF(MONTH(DATE(An,8,1)-WEEKDAY(DATE(An,8,1),2)+8)=8,DATE(An,8,1)-WEEKDAY(DATE(An,8,1),2)+8,"")</f>
        <v>46601</v>
      </c>
      <c r="K25" s="20">
        <f>IF(MONTH(DATE(An,8,1)-WEEKDAY(DATE(An,8,1),2)+9)=8,DATE(An,8,1)-WEEKDAY(DATE(An,8,1),2)+9,"")</f>
        <v>46602</v>
      </c>
      <c r="L25" s="20">
        <f>IF(MONTH(DATE(An,8,1)-WEEKDAY(DATE(An,8,1),2)+10)=8,DATE(An,8,1)-WEEKDAY(DATE(An,8,1),2)+10,"")</f>
        <v>46603</v>
      </c>
      <c r="M25" s="20">
        <f>IF(MONTH(DATE(An,8,1)-WEEKDAY(DATE(An,8,1),2)+11)=8,DATE(An,8,1)-WEEKDAY(DATE(An,8,1),2)+11,"")</f>
        <v>46604</v>
      </c>
      <c r="N25" s="20">
        <f>IF(MONTH(DATE(An,8,1)-WEEKDAY(DATE(An,8,1),2)+12)=8,DATE(An,8,1)-WEEKDAY(DATE(An,8,1),2)+12,"")</f>
        <v>46605</v>
      </c>
      <c r="O25" s="21">
        <f>IF(MONTH(DATE(An,8,1)-WEEKDAY(DATE(An,8,1),2)+13)=8,DATE(An,8,1)-WEEKDAY(DATE(An,8,1),2)+13,"")</f>
        <v>46606</v>
      </c>
      <c r="P25" s="22">
        <f>IF(MONTH(DATE(An,8,1)-WEEKDAY(DATE(An,8,1),2)+14)=8,DATE(An,8,1)-WEEKDAY(DATE(An,8,1),2)+14,"")</f>
        <v>46607</v>
      </c>
      <c r="R25" s="19">
        <f>IF(MONTH(DATE(An,9,1)-WEEKDAY(DATE(An,9,1),2)+8)=9,DATE(An,9,1)-WEEKDAY(DATE(An,9,1),2)+8,"")</f>
        <v>46636</v>
      </c>
      <c r="S25" s="20">
        <f>IF(MONTH(DATE(An,9,1)-WEEKDAY(DATE(An,9,1),2)+9)=9,DATE(An,9,1)-WEEKDAY(DATE(An,9,1),2)+9,"")</f>
        <v>46637</v>
      </c>
      <c r="T25" s="20">
        <f>IF(MONTH(DATE(An,9,1)-WEEKDAY(DATE(An,9,1),2)+10)=9,DATE(An,9,1)-WEEKDAY(DATE(An,9,1),2)+10,"")</f>
        <v>46638</v>
      </c>
      <c r="U25" s="20">
        <f>IF(MONTH(DATE(An,9,1)-WEEKDAY(DATE(An,9,1),2)+11)=9,DATE(An,9,1)-WEEKDAY(DATE(An,9,1),2)+11,"")</f>
        <v>46639</v>
      </c>
      <c r="V25" s="20">
        <f>IF(MONTH(DATE(An,9,1)-WEEKDAY(DATE(An,9,1),2)+12)=9,DATE(An,9,1)-WEEKDAY(DATE(An,9,1),2)+12,"")</f>
        <v>46640</v>
      </c>
      <c r="W25" s="21">
        <f>IF(MONTH(DATE(An,9,1)-WEEKDAY(DATE(An,9,1),2)+13)=9,DATE(An,9,1)-WEEKDAY(DATE(An,9,1),2)+13,"")</f>
        <v>46641</v>
      </c>
      <c r="X25" s="22">
        <f>IF(MONTH(DATE(An,9,1)-WEEKDAY(DATE(An,9,1),2)+14)=9,DATE(An,9,1)-WEEKDAY(DATE(An,9,1),2)+14,"")</f>
        <v>46642</v>
      </c>
    </row>
    <row r="26" spans="2:24" x14ac:dyDescent="0.2">
      <c r="B26" s="19">
        <f>IF(MONTH(DATE(An,7,1)-WEEKDAY(DATE(An,7,1),2)+15)=7,DATE(An,7,1)-WEEKDAY(DATE(An,7,1),2)+15,"")</f>
        <v>46580</v>
      </c>
      <c r="C26" s="20">
        <f>IF(MONTH(DATE(An,7,1)-WEEKDAY(DATE(An,7,1),2)+16)=7,DATE(An,7,1)-WEEKDAY(DATE(An,7,1),2)+16,"")</f>
        <v>46581</v>
      </c>
      <c r="D26" s="20">
        <f>IF(MONTH(DATE(An,7,1)-WEEKDAY(DATE(An,7,1),2)+17)=7,DATE(An,7,1)-WEEKDAY(DATE(An,7,1),2)+17,"")</f>
        <v>46582</v>
      </c>
      <c r="E26" s="20">
        <f>IF(MONTH(DATE(An,7,1)-WEEKDAY(DATE(An,7,1),2)+18)=7,DATE(An,7,1)-WEEKDAY(DATE(An,7,1),2)+18,"")</f>
        <v>46583</v>
      </c>
      <c r="F26" s="20">
        <f>IF(MONTH(DATE(An,7,1)-WEEKDAY(DATE(An,7,1),2)+19)=7,DATE(An,7,1)-WEEKDAY(DATE(An,7,1),2)+19,"")</f>
        <v>46584</v>
      </c>
      <c r="G26" s="21">
        <f>IF(MONTH(DATE(An,7,1)-WEEKDAY(DATE(An,7,1),2)+20)=7,DATE(An,7,1)-WEEKDAY(DATE(An,7,1),2)+20,"")</f>
        <v>46585</v>
      </c>
      <c r="H26" s="22">
        <f>IF(MONTH(DATE(An,7,1)-WEEKDAY(DATE(An,7,1),2)+21)=7,DATE(An,7,1)-WEEKDAY(DATE(An,7,1),2)+21,"")</f>
        <v>46586</v>
      </c>
      <c r="J26" s="19">
        <f>IF(MONTH(DATE(An,8,1)-WEEKDAY(DATE(An,8,1),2)+15)=8,DATE(An,8,1)-WEEKDAY(DATE(An,8,1),2)+15,"")</f>
        <v>46608</v>
      </c>
      <c r="K26" s="20">
        <f>IF(MONTH(DATE(An,8,1)-WEEKDAY(DATE(An,8,1),2)+16)=8,DATE(An,8,1)-WEEKDAY(DATE(An,8,1),2)+16,"")</f>
        <v>46609</v>
      </c>
      <c r="L26" s="20">
        <f>IF(MONTH(DATE(An,8,1)-WEEKDAY(DATE(An,8,1),2)+17)=8,DATE(An,8,1)-WEEKDAY(DATE(An,8,1),2)+17,"")</f>
        <v>46610</v>
      </c>
      <c r="M26" s="20">
        <f>IF(MONTH(DATE(An,8,1)-WEEKDAY(DATE(An,8,1),2)+18)=8,DATE(An,8,1)-WEEKDAY(DATE(An,8,1),2)+18,"")</f>
        <v>46611</v>
      </c>
      <c r="N26" s="20">
        <f>IF(MONTH(DATE(An,8,1)-WEEKDAY(DATE(An,8,1),2)+19)=8,DATE(An,8,1)-WEEKDAY(DATE(An,8,1),2)+19,"")</f>
        <v>46612</v>
      </c>
      <c r="O26" s="21">
        <f>IF(MONTH(DATE(An,8,1)-WEEKDAY(DATE(An,8,1),2)+20)=8,DATE(An,8,1)-WEEKDAY(DATE(An,8,1),2)+20,"")</f>
        <v>46613</v>
      </c>
      <c r="P26" s="22">
        <f>IF(MONTH(DATE(An,8,1)-WEEKDAY(DATE(An,8,1),2)+21)=8,DATE(An,8,1)-WEEKDAY(DATE(An,8,1),2)+21,"")</f>
        <v>46614</v>
      </c>
      <c r="R26" s="19">
        <f>IF(MONTH(DATE(An,9,1)-WEEKDAY(DATE(An,9,1),2)+15)=9,DATE(An,9,1)-WEEKDAY(DATE(An,9,1),2)+15,"")</f>
        <v>46643</v>
      </c>
      <c r="S26" s="20">
        <f>IF(MONTH(DATE(An,9,1)-WEEKDAY(DATE(An,9,1),2)+16)=9,DATE(An,9,1)-WEEKDAY(DATE(An,9,1),2)+16,"")</f>
        <v>46644</v>
      </c>
      <c r="T26" s="20">
        <f>IF(MONTH(DATE(An,9,1)-WEEKDAY(DATE(An,9,1),2)+17)=9,DATE(An,9,1)-WEEKDAY(DATE(An,9,1),2)+17,"")</f>
        <v>46645</v>
      </c>
      <c r="U26" s="20">
        <f>IF(MONTH(DATE(An,9,1)-WEEKDAY(DATE(An,9,1),2)+18)=9,DATE(An,9,1)-WEEKDAY(DATE(An,9,1),2)+18,"")</f>
        <v>46646</v>
      </c>
      <c r="V26" s="20">
        <f>IF(MONTH(DATE(An,9,1)-WEEKDAY(DATE(An,9,1),2)+19)=9,DATE(An,9,1)-WEEKDAY(DATE(An,9,1),2)+19,"")</f>
        <v>46647</v>
      </c>
      <c r="W26" s="21">
        <f>IF(MONTH(DATE(An,9,1)-WEEKDAY(DATE(An,9,1),2)+20)=9,DATE(An,9,1)-WEEKDAY(DATE(An,9,1),2)+20,"")</f>
        <v>46648</v>
      </c>
      <c r="X26" s="22">
        <f>IF(MONTH(DATE(An,9,1)-WEEKDAY(DATE(An,9,1),2)+21)=9,DATE(An,9,1)-WEEKDAY(DATE(An,9,1),2)+21,"")</f>
        <v>46649</v>
      </c>
    </row>
    <row r="27" spans="2:24" x14ac:dyDescent="0.2">
      <c r="B27" s="19">
        <f>IF(MONTH(DATE(An,7,1)-WEEKDAY(DATE(An,7,1),2)+22)=7,DATE(An,7,1)-WEEKDAY(DATE(An,7,1),2)+22,"")</f>
        <v>46587</v>
      </c>
      <c r="C27" s="20">
        <f>IF(MONTH(DATE(An,7,1)-WEEKDAY(DATE(An,7,1),2)+23)=7,DATE(An,7,1)-WEEKDAY(DATE(An,7,1),2)+23,"")</f>
        <v>46588</v>
      </c>
      <c r="D27" s="20">
        <f>IF(MONTH(DATE(An,7,1)-WEEKDAY(DATE(An,7,1),2)+24)=7,DATE(An,7,1)-WEEKDAY(DATE(An,7,1),2)+24,"")</f>
        <v>46589</v>
      </c>
      <c r="E27" s="20">
        <f>IF(MONTH(DATE(An,7,1)-WEEKDAY(DATE(An,7,1),2)+25)=7,DATE(An,7,1)-WEEKDAY(DATE(An,7,1),2)+25,"")</f>
        <v>46590</v>
      </c>
      <c r="F27" s="20">
        <f>IF(MONTH(DATE(An,7,1)-WEEKDAY(DATE(An,7,1),2)+26)=7,DATE(An,7,1)-WEEKDAY(DATE(An,7,1),2)+26,"")</f>
        <v>46591</v>
      </c>
      <c r="G27" s="21">
        <f>IF(MONTH(DATE(An,7,1)-WEEKDAY(DATE(An,7,1),2)+27)=7,DATE(An,7,1)-WEEKDAY(DATE(An,7,1),2)+27,"")</f>
        <v>46592</v>
      </c>
      <c r="H27" s="22">
        <f>IF(MONTH(DATE(An,7,1)-WEEKDAY(DATE(An,7,1),2)+28)=7,DATE(An,7,1)-WEEKDAY(DATE(An,7,1),2)+28,"")</f>
        <v>46593</v>
      </c>
      <c r="J27" s="19">
        <f>IF(MONTH(DATE(An,8,1)-WEEKDAY(DATE(An,8,1),2)+22)=8,DATE(An,8,1)-WEEKDAY(DATE(An,8,1),2)+22,"")</f>
        <v>46615</v>
      </c>
      <c r="K27" s="20">
        <f>IF(MONTH(DATE(An,8,1)-WEEKDAY(DATE(An,8,1),2)+23)=8,DATE(An,8,1)-WEEKDAY(DATE(An,8,1),2)+23,"")</f>
        <v>46616</v>
      </c>
      <c r="L27" s="20">
        <f>IF(MONTH(DATE(An,8,1)-WEEKDAY(DATE(An,8,1),2)+24)=8,DATE(An,8,1)-WEEKDAY(DATE(An,8,1),2)+24,"")</f>
        <v>46617</v>
      </c>
      <c r="M27" s="20">
        <f>IF(MONTH(DATE(An,8,1)-WEEKDAY(DATE(An,8,1),2)+25)=8,DATE(An,8,1)-WEEKDAY(DATE(An,8,1),2)+25,"")</f>
        <v>46618</v>
      </c>
      <c r="N27" s="20">
        <f>IF(MONTH(DATE(An,8,1)-WEEKDAY(DATE(An,8,1),2)+26)=8,DATE(An,8,1)-WEEKDAY(DATE(An,8,1),2)+26,"")</f>
        <v>46619</v>
      </c>
      <c r="O27" s="21">
        <f>IF(MONTH(DATE(An,8,1)-WEEKDAY(DATE(An,8,1),2)+27)=8,DATE(An,8,1)-WEEKDAY(DATE(An,8,1),2)+27,"")</f>
        <v>46620</v>
      </c>
      <c r="P27" s="22">
        <f>IF(MONTH(DATE(An,8,1)-WEEKDAY(DATE(An,8,1),2)+28)=8,DATE(An,8,1)-WEEKDAY(DATE(An,8,1),2)+28,"")</f>
        <v>46621</v>
      </c>
      <c r="R27" s="19">
        <f>IF(MONTH(DATE(An,9,1)-WEEKDAY(DATE(An,9,1),2)+22)=9,DATE(An,9,1)-WEEKDAY(DATE(An,9,1),2)+22,"")</f>
        <v>46650</v>
      </c>
      <c r="S27" s="20">
        <f>IF(MONTH(DATE(An,9,1)-WEEKDAY(DATE(An,9,1),2)+23)=9,DATE(An,9,1)-WEEKDAY(DATE(An,9,1),2)+23,"")</f>
        <v>46651</v>
      </c>
      <c r="T27" s="20">
        <f>IF(MONTH(DATE(An,9,1)-WEEKDAY(DATE(An,9,1),2)+24)=9,DATE(An,9,1)-WEEKDAY(DATE(An,9,1),2)+24,"")</f>
        <v>46652</v>
      </c>
      <c r="U27" s="20">
        <f>IF(MONTH(DATE(An,9,1)-WEEKDAY(DATE(An,9,1),2)+25)=9,DATE(An,9,1)-WEEKDAY(DATE(An,9,1),2)+25,"")</f>
        <v>46653</v>
      </c>
      <c r="V27" s="20">
        <f>IF(MONTH(DATE(An,9,1)-WEEKDAY(DATE(An,9,1),2)+26)=9,DATE(An,9,1)-WEEKDAY(DATE(An,9,1),2)+26,"")</f>
        <v>46654</v>
      </c>
      <c r="W27" s="21">
        <f>IF(MONTH(DATE(An,9,1)-WEEKDAY(DATE(An,9,1),2)+27)=9,DATE(An,9,1)-WEEKDAY(DATE(An,9,1),2)+27,"")</f>
        <v>46655</v>
      </c>
      <c r="X27" s="22">
        <f>IF(MONTH(DATE(An,9,1)-WEEKDAY(DATE(An,9,1),2)+28)=9,DATE(An,9,1)-WEEKDAY(DATE(An,9,1),2)+28,"")</f>
        <v>46656</v>
      </c>
    </row>
    <row r="28" spans="2:24" x14ac:dyDescent="0.2">
      <c r="B28" s="19">
        <f>IF(MONTH(DATE(An,7,1)-WEEKDAY(DATE(An,7,1),2)+29)=7,DATE(An,7,1)-WEEKDAY(DATE(An,7,1),2)+29,"")</f>
        <v>46594</v>
      </c>
      <c r="C28" s="20">
        <f>IF(MONTH(DATE(An,7,1)-WEEKDAY(DATE(An,7,1),2)+30)=7,DATE(An,7,1)-WEEKDAY(DATE(An,7,1),2)+30,"")</f>
        <v>46595</v>
      </c>
      <c r="D28" s="20">
        <f>IF(MONTH(DATE(An,7,1)-WEEKDAY(DATE(An,7,1),2)+31)=7,DATE(An,7,1)-WEEKDAY(DATE(An,7,1),2)+31,"")</f>
        <v>46596</v>
      </c>
      <c r="E28" s="20">
        <f>IF(MONTH(DATE(An,7,1)-WEEKDAY(DATE(An,7,1),2)+32)=7,DATE(An,7,1)-WEEKDAY(DATE(An,7,1),2)+32,"")</f>
        <v>46597</v>
      </c>
      <c r="F28" s="20">
        <f>IF(MONTH(DATE(An,7,1)-WEEKDAY(DATE(An,7,1),2)+33)=7,DATE(An,7,1)-WEEKDAY(DATE(An,7,1),2)+33,"")</f>
        <v>46598</v>
      </c>
      <c r="G28" s="21">
        <f>IF(MONTH(DATE(An,7,1)-WEEKDAY(DATE(An,7,1),2)+34)=7,DATE(An,7,1)-WEEKDAY(DATE(An,7,1),2)+34,"")</f>
        <v>46599</v>
      </c>
      <c r="H28" s="22" t="str">
        <f>IF(MONTH(DATE(An,7,1)-WEEKDAY(DATE(An,7,1),2)+35)=7,DATE(An,7,1)-WEEKDAY(DATE(An,7,1),2)+35,"")</f>
        <v/>
      </c>
      <c r="J28" s="19">
        <f>IF(MONTH(DATE(An,8,1)-WEEKDAY(DATE(An,8,1),2)+29)=8,DATE(An,8,1)-WEEKDAY(DATE(An,8,1),2)+29,"")</f>
        <v>46622</v>
      </c>
      <c r="K28" s="20">
        <f>IF(MONTH(DATE(An,8,1)-WEEKDAY(DATE(An,8,1),2)+30)=8,DATE(An,8,1)-WEEKDAY(DATE(An,8,1),2)+30,"")</f>
        <v>46623</v>
      </c>
      <c r="L28" s="20">
        <f>IF(MONTH(DATE(An,8,1)-WEEKDAY(DATE(An,8,1),2)+31)=8,DATE(An,8,1)-WEEKDAY(DATE(An,8,1),2)+31,"")</f>
        <v>46624</v>
      </c>
      <c r="M28" s="20">
        <f>IF(MONTH(DATE(An,8,1)-WEEKDAY(DATE(An,8,1),2)+32)=8,DATE(An,8,1)-WEEKDAY(DATE(An,8,1),2)+32,"")</f>
        <v>46625</v>
      </c>
      <c r="N28" s="20">
        <f>IF(MONTH(DATE(An,8,1)-WEEKDAY(DATE(An,8,1),2)+33)=8,DATE(An,8,1)-WEEKDAY(DATE(An,8,1),2)+33,"")</f>
        <v>46626</v>
      </c>
      <c r="O28" s="21">
        <f>IF(MONTH(DATE(An,8,1)-WEEKDAY(DATE(An,8,1),2)+34)=8,DATE(An,8,1)-WEEKDAY(DATE(An,8,1),2)+34,"")</f>
        <v>46627</v>
      </c>
      <c r="P28" s="22">
        <f>IF(MONTH(DATE(An,8,1)-WEEKDAY(DATE(An,8,1),2)+35)=8,DATE(An,8,1)-WEEKDAY(DATE(An,8,1),2)+35,"")</f>
        <v>46628</v>
      </c>
      <c r="R28" s="19">
        <f>IF(MONTH(DATE(An,9,1)-WEEKDAY(DATE(An,9,1),2)+29)=9,DATE(An,9,1)-WEEKDAY(DATE(An,9,1),2)+29,"")</f>
        <v>46657</v>
      </c>
      <c r="S28" s="20">
        <f>IF(MONTH(DATE(An,9,1)-WEEKDAY(DATE(An,9,1),2)+30)=9,DATE(An,9,1)-WEEKDAY(DATE(An,9,1),2)+30,"")</f>
        <v>46658</v>
      </c>
      <c r="T28" s="20">
        <f>IF(MONTH(DATE(An,9,1)-WEEKDAY(DATE(An,9,1),2)+31)=9,DATE(An,9,1)-WEEKDAY(DATE(An,9,1),2)+31,"")</f>
        <v>46659</v>
      </c>
      <c r="U28" s="20">
        <f>IF(MONTH(DATE(An,9,1)-WEEKDAY(DATE(An,9,1),2)+32)=9,DATE(An,9,1)-WEEKDAY(DATE(An,9,1),2)+32,"")</f>
        <v>46660</v>
      </c>
      <c r="V28" s="20" t="str">
        <f>IF(MONTH(DATE(An,9,1)-WEEKDAY(DATE(An,9,1),2)+33)=9,DATE(An,9,1)-WEEKDAY(DATE(An,9,1),2)+33,"")</f>
        <v/>
      </c>
      <c r="W28" s="21" t="str">
        <f>IF(MONTH(DATE(An,9,1)-WEEKDAY(DATE(An,9,1),2)+34)=9,DATE(An,9,1)-WEEKDAY(DATE(An,9,1),2)+34,"")</f>
        <v/>
      </c>
      <c r="X28" s="22" t="str">
        <f>IF(MONTH(DATE(An,9,1)-WEEKDAY(DATE(An,9,1),2)+35)=9,DATE(An,9,1)-WEEKDAY(DATE(An,9,1),2)+35,"")</f>
        <v/>
      </c>
    </row>
    <row r="29" spans="2:24" x14ac:dyDescent="0.2">
      <c r="B29" s="23" t="str">
        <f>IF(MONTH(DATE(An,7,1)-WEEKDAY(DATE(An,7,1),2)+36)=7,DATE(An,7,1)-WEEKDAY(DATE(An,7,1),2)+36,"")</f>
        <v/>
      </c>
      <c r="C29" s="24" t="str">
        <f>IF(MONTH(DATE(An,7,1)-WEEKDAY(DATE(An,7,1),2)+37)=7,DATE(An,7,1)-WEEKDAY(DATE(An,7,1),2)+37,"")</f>
        <v/>
      </c>
      <c r="D29" s="24" t="str">
        <f>IF(MONTH(DATE(An,7,1)-WEEKDAY(DATE(An,7,1),2)+38)=7,DATE(An,7,1)-WEEKDAY(DATE(An,7,1),2)+38,"")</f>
        <v/>
      </c>
      <c r="E29" s="24" t="str">
        <f>IF(MONTH(DATE(An,7,1)-WEEKDAY(DATE(An,7,1),2)+39)=7,DATE(An,7,1)-WEEKDAY(DATE(An,7,1),2)+39,"")</f>
        <v/>
      </c>
      <c r="F29" s="24" t="str">
        <f>IF(MONTH(DATE(An,7,1)-WEEKDAY(DATE(An,7,1),2)+40)=7,DATE(An,7,1)-WEEKDAY(DATE(An,7,1),2)+40,"")</f>
        <v/>
      </c>
      <c r="G29" s="25" t="str">
        <f>IF(MONTH(DATE(An,7,1)-WEEKDAY(DATE(An,7,1),2)+41)=7,DATE(An,7,1)-WEEKDAY(DATE(An,7,1),2)+41,"")</f>
        <v/>
      </c>
      <c r="H29" s="26" t="str">
        <f>IF(MONTH(DATE(An,7,1)-WEEKDAY(DATE(An,7,1),2)+42)=7,DATE(An,7,1)-WEEKDAY(DATE(An,7,1),2)+42,"")</f>
        <v/>
      </c>
      <c r="J29" s="23">
        <f>IF(MONTH(DATE(An,8,1)-WEEKDAY(DATE(An,8,1),2)+36)=8,DATE(An,8,1)-WEEKDAY(DATE(An,8,1),2)+36,"")</f>
        <v>46629</v>
      </c>
      <c r="K29" s="24">
        <f>IF(MONTH(DATE(An,8,1)-WEEKDAY(DATE(An,8,1),2)+37)=8,DATE(An,8,1)-WEEKDAY(DATE(An,8,1),2)+37,"")</f>
        <v>46630</v>
      </c>
      <c r="L29" s="24" t="str">
        <f>IF(MONTH(DATE(An,8,1)-WEEKDAY(DATE(An,8,1),2)+38)=8,DATE(An,8,1)-WEEKDAY(DATE(An,8,1),2)+38,"")</f>
        <v/>
      </c>
      <c r="M29" s="24" t="str">
        <f>IF(MONTH(DATE(An,8,1)-WEEKDAY(DATE(An,8,1),2)+39)=8,DATE(An,8,1)-WEEKDAY(DATE(An,8,1),2)+39,"")</f>
        <v/>
      </c>
      <c r="N29" s="24" t="str">
        <f>IF(MONTH(DATE(An,8,1)-WEEKDAY(DATE(An,8,1),2)+40)=8,DATE(An,8,1)-WEEKDAY(DATE(An,8,1),2)+40,"")</f>
        <v/>
      </c>
      <c r="O29" s="25" t="str">
        <f>IF(MONTH(DATE(An,8,1)-WEEKDAY(DATE(An,8,1),2)+41)=8,DATE(An,8,1)-WEEKDAY(DATE(An,8,1),2)+41,"")</f>
        <v/>
      </c>
      <c r="P29" s="26" t="str">
        <f>IF(MONTH(DATE(An,8,1)-WEEKDAY(DATE(An,8,1),2)+42)=8,DATE(An,8,1)-WEEKDAY(DATE(An,8,1),2)+42,"")</f>
        <v/>
      </c>
      <c r="R29" s="23" t="str">
        <f>IF(MONTH(DATE(An,9,1)-WEEKDAY(DATE(An,9,1),2)+36)=9,DATE(An,9,1)-WEEKDAY(DATE(An,9,1),2)+36,"")</f>
        <v/>
      </c>
      <c r="S29" s="24" t="str">
        <f>IF(MONTH(DATE(An,9,1)-WEEKDAY(DATE(An,9,1),2)+37)=9,DATE(An,9,1)-WEEKDAY(DATE(An,9,1),2)+37,"")</f>
        <v/>
      </c>
      <c r="T29" s="24" t="str">
        <f>IF(MONTH(DATE(An,9,1)-WEEKDAY(DATE(An,9,1),2)+38)=9,DATE(An,9,1)-WEEKDAY(DATE(An,9,1),2)+38,"")</f>
        <v/>
      </c>
      <c r="U29" s="24" t="str">
        <f>IF(MONTH(DATE(An,9,1)-WEEKDAY(DATE(An,9,1),2)+39)=9,DATE(An,9,1)-WEEKDAY(DATE(An,9,1),2)+39,"")</f>
        <v/>
      </c>
      <c r="V29" s="24" t="str">
        <f>IF(MONTH(DATE(An,9,1)-WEEKDAY(DATE(An,9,1),2)+40)=9,DATE(An,9,1)-WEEKDAY(DATE(An,9,1),2)+40,"")</f>
        <v/>
      </c>
      <c r="W29" s="25" t="str">
        <f>IF(MONTH(DATE(An,9,1)-WEEKDAY(DATE(An,9,1),2)+41)=9,DATE(An,9,1)-WEEKDAY(DATE(An,9,1),2)+41,"")</f>
        <v/>
      </c>
      <c r="X29" s="26" t="str">
        <f>IF(MONTH(DATE(An,9,1)-WEEKDAY(DATE(An,9,1),2)+42)=9,DATE(An,9,1)-WEEKDAY(DATE(An,9,1),2)+42,"")</f>
        <v/>
      </c>
    </row>
    <row r="31" spans="2:24" ht="15.75" x14ac:dyDescent="0.25">
      <c r="B31" s="39" t="s">
        <v>45</v>
      </c>
      <c r="C31" s="40"/>
      <c r="D31" s="40"/>
      <c r="E31" s="40"/>
      <c r="F31" s="40"/>
      <c r="G31" s="40"/>
      <c r="H31" s="41"/>
      <c r="J31" s="39" t="s">
        <v>46</v>
      </c>
      <c r="K31" s="40"/>
      <c r="L31" s="40"/>
      <c r="M31" s="40"/>
      <c r="N31" s="40"/>
      <c r="O31" s="40"/>
      <c r="P31" s="41"/>
      <c r="R31" s="39" t="s">
        <v>47</v>
      </c>
      <c r="S31" s="40"/>
      <c r="T31" s="40"/>
      <c r="U31" s="40"/>
      <c r="V31" s="40"/>
      <c r="W31" s="40"/>
      <c r="X31" s="41"/>
    </row>
    <row r="32" spans="2:24" x14ac:dyDescent="0.2">
      <c r="B32" s="15" t="s">
        <v>30</v>
      </c>
      <c r="C32" s="16" t="s">
        <v>31</v>
      </c>
      <c r="D32" s="16" t="s">
        <v>32</v>
      </c>
      <c r="E32" s="16" t="s">
        <v>33</v>
      </c>
      <c r="F32" s="16" t="s">
        <v>34</v>
      </c>
      <c r="G32" s="17" t="s">
        <v>35</v>
      </c>
      <c r="H32" s="18" t="s">
        <v>36</v>
      </c>
      <c r="J32" s="15" t="s">
        <v>30</v>
      </c>
      <c r="K32" s="16" t="s">
        <v>31</v>
      </c>
      <c r="L32" s="16" t="s">
        <v>32</v>
      </c>
      <c r="M32" s="16" t="s">
        <v>33</v>
      </c>
      <c r="N32" s="16" t="s">
        <v>34</v>
      </c>
      <c r="O32" s="17" t="s">
        <v>35</v>
      </c>
      <c r="P32" s="18" t="s">
        <v>36</v>
      </c>
      <c r="R32" s="15" t="s">
        <v>30</v>
      </c>
      <c r="S32" s="16" t="s">
        <v>31</v>
      </c>
      <c r="T32" s="16" t="s">
        <v>32</v>
      </c>
      <c r="U32" s="16" t="s">
        <v>33</v>
      </c>
      <c r="V32" s="16" t="s">
        <v>34</v>
      </c>
      <c r="W32" s="17" t="s">
        <v>35</v>
      </c>
      <c r="X32" s="18" t="s">
        <v>36</v>
      </c>
    </row>
    <row r="33" spans="2:24" x14ac:dyDescent="0.2">
      <c r="B33" s="19" t="str">
        <f>IF(MONTH(DATE(An,10,1)-WEEKDAY(DATE(An,10,1),2)+1)=10,DATE(An,10,1)-WEEKDAY(DATE(An,10,1),2)+1,"")</f>
        <v/>
      </c>
      <c r="C33" s="20" t="str">
        <f>IF(MONTH(DATE(An,10,1)-WEEKDAY(DATE(An,10,1),2)+2)=10,DATE(An,10,1)-WEEKDAY(DATE(An,10,1),2)+2,"")</f>
        <v/>
      </c>
      <c r="D33" s="20" t="str">
        <f>IF(MONTH(DATE(An,10,1)-WEEKDAY(DATE(An,10,1),2)+3)=10,DATE(An,10,1)-WEEKDAY(DATE(An,10,1),2)+3,"")</f>
        <v/>
      </c>
      <c r="E33" s="20" t="str">
        <f>IF(MONTH(DATE(An,10,1)-WEEKDAY(DATE(An,10,1),2)+4)=10,DATE(An,10,1)-WEEKDAY(DATE(An,10,1),2)+4,"")</f>
        <v/>
      </c>
      <c r="F33" s="20">
        <f>IF(MONTH(DATE(An,10,1)-WEEKDAY(DATE(An,10,1),2)+5)=10,DATE(An,10,1)-WEEKDAY(DATE(An,10,1),2)+5,"")</f>
        <v>46661</v>
      </c>
      <c r="G33" s="21">
        <f>IF(MONTH(DATE(An,10,1)-WEEKDAY(DATE(An,10,1),2)+6)=10,DATE(An,10,1)-WEEKDAY(DATE(An,10,1),2)+6,"")</f>
        <v>46662</v>
      </c>
      <c r="H33" s="22">
        <f>IF(MONTH(DATE(An,10,1)-WEEKDAY(DATE(An,10,1),2)+7)=10,DATE(An,10,1)-WEEKDAY(DATE(An,10,1),2)+7,"")</f>
        <v>46663</v>
      </c>
      <c r="J33" s="19">
        <f>IF(MONTH(DATE(An,11,1)-WEEKDAY(DATE(An,11,1),2)+1)=11,DATE(An,11,1)-WEEKDAY(DATE(An,11,1),2)+1,"")</f>
        <v>46692</v>
      </c>
      <c r="K33" s="20">
        <f>IF(MONTH(DATE(An,11,1)-WEEKDAY(DATE(An,11,1),2)+2)=11,DATE(An,11,1)-WEEKDAY(DATE(An,11,1),2)+2,"")</f>
        <v>46693</v>
      </c>
      <c r="L33" s="20">
        <f>IF(MONTH(DATE(An,11,1)-WEEKDAY(DATE(An,11,1),2)+3)=11,DATE(An,11,1)-WEEKDAY(DATE(An,11,1),2)+3,"")</f>
        <v>46694</v>
      </c>
      <c r="M33" s="20">
        <f>IF(MONTH(DATE(An,11,1)-WEEKDAY(DATE(An,11,1),2)+4)=11,DATE(An,11,1)-WEEKDAY(DATE(An,11,1),2)+4,"")</f>
        <v>46695</v>
      </c>
      <c r="N33" s="20">
        <f>IF(MONTH(DATE(An,11,1)-WEEKDAY(DATE(An,11,1),2)+5)=11,DATE(An,11,1)-WEEKDAY(DATE(An,11,1),2)+5,"")</f>
        <v>46696</v>
      </c>
      <c r="O33" s="21">
        <f>IF(MONTH(DATE(An,11,1)-WEEKDAY(DATE(An,11,1),2)+6)=11,DATE(An,11,1)-WEEKDAY(DATE(An,11,1),2)+6,"")</f>
        <v>46697</v>
      </c>
      <c r="P33" s="22">
        <f>IF(MONTH(DATE(An,11,1)-WEEKDAY(DATE(An,11,1),2)+7)=11,DATE(An,11,1)-WEEKDAY(DATE(An,11,1),2)+7,"")</f>
        <v>46698</v>
      </c>
      <c r="R33" s="19" t="str">
        <f>IF(MONTH(DATE(An,12,1)-WEEKDAY(DATE(An,12,1),2)+1)=12,DATE(An,12,1)-WEEKDAY(DATE(An,12,1),2)+1,"")</f>
        <v/>
      </c>
      <c r="S33" s="20" t="str">
        <f>IF(MONTH(DATE(An,12,1)-WEEKDAY(DATE(An,12,1),2)+2)=12,DATE(An,12,1)-WEEKDAY(DATE(An,12,1),2)+2,"")</f>
        <v/>
      </c>
      <c r="T33" s="20">
        <f>IF(MONTH(DATE(An,12,1)-WEEKDAY(DATE(An,12,1),2)+3)=12,DATE(An,12,1)-WEEKDAY(DATE(An,12,1),2)+3,"")</f>
        <v>46722</v>
      </c>
      <c r="U33" s="20">
        <f>IF(MONTH(DATE(An,12,1)-WEEKDAY(DATE(An,12,1),2)+4)=12,DATE(An,12,1)-WEEKDAY(DATE(An,12,1),2)+4,"")</f>
        <v>46723</v>
      </c>
      <c r="V33" s="20">
        <f>IF(MONTH(DATE(An,12,1)-WEEKDAY(DATE(An,12,1),2)+5)=12,DATE(An,12,1)-WEEKDAY(DATE(An,12,1),2)+5,"")</f>
        <v>46724</v>
      </c>
      <c r="W33" s="21">
        <f>IF(MONTH(DATE(An,12,1)-WEEKDAY(DATE(An,12,1),2)+6)=12,DATE(An,12,1)-WEEKDAY(DATE(An,12,1),2)+6,"")</f>
        <v>46725</v>
      </c>
      <c r="X33" s="22">
        <f>IF(MONTH(DATE(An,12,1)-WEEKDAY(DATE(An,12,1),2)+7)=12,DATE(An,12,1)-WEEKDAY(DATE(An,12,1),2)+7,"")</f>
        <v>46726</v>
      </c>
    </row>
    <row r="34" spans="2:24" x14ac:dyDescent="0.2">
      <c r="B34" s="19">
        <f>IF(MONTH(DATE(An,10,1)-WEEKDAY(DATE(An,10,1),2)+8)=10,DATE(An,10,1)-WEEKDAY(DATE(An,10,1),2)+8,"")</f>
        <v>46664</v>
      </c>
      <c r="C34" s="20">
        <f>IF(MONTH(DATE(An,10,1)-WEEKDAY(DATE(An,10,1),2)+9)=10,DATE(An,10,1)-WEEKDAY(DATE(An,10,1),2)+9,"")</f>
        <v>46665</v>
      </c>
      <c r="D34" s="20">
        <f>IF(MONTH(DATE(An,10,1)-WEEKDAY(DATE(An,10,1),2)+10)=10,DATE(An,10,1)-WEEKDAY(DATE(An,10,1),2)+10,"")</f>
        <v>46666</v>
      </c>
      <c r="E34" s="20">
        <f>IF(MONTH(DATE(An,10,1)-WEEKDAY(DATE(An,10,1),2)+11)=10,DATE(An,10,1)-WEEKDAY(DATE(An,10,1),2)+11,"")</f>
        <v>46667</v>
      </c>
      <c r="F34" s="20">
        <f>IF(MONTH(DATE(An,10,1)-WEEKDAY(DATE(An,10,1),2)+12)=10,DATE(An,10,1)-WEEKDAY(DATE(An,10,1),2)+12,"")</f>
        <v>46668</v>
      </c>
      <c r="G34" s="21">
        <f>IF(MONTH(DATE(An,10,1)-WEEKDAY(DATE(An,10,1),2)+13)=10,DATE(An,10,1)-WEEKDAY(DATE(An,10,1),2)+13,"")</f>
        <v>46669</v>
      </c>
      <c r="H34" s="22">
        <f>IF(MONTH(DATE(An,10,1)-WEEKDAY(DATE(An,10,1),2)+14)=10,DATE(An,10,1)-WEEKDAY(DATE(An,10,1),2)+14,"")</f>
        <v>46670</v>
      </c>
      <c r="J34" s="19">
        <f>IF(MONTH(DATE(An,11,1)-WEEKDAY(DATE(An,11,1),2)+8)=11,DATE(An,11,1)-WEEKDAY(DATE(An,11,1),2)+8,"")</f>
        <v>46699</v>
      </c>
      <c r="K34" s="20">
        <f>IF(MONTH(DATE(An,11,1)-WEEKDAY(DATE(An,11,1),2)+9)=11,DATE(An,11,1)-WEEKDAY(DATE(An,11,1),2)+9,"")</f>
        <v>46700</v>
      </c>
      <c r="L34" s="20">
        <f>IF(MONTH(DATE(An,11,1)-WEEKDAY(DATE(An,11,1),2)+10)=11,DATE(An,11,1)-WEEKDAY(DATE(An,11,1),2)+10,"")</f>
        <v>46701</v>
      </c>
      <c r="M34" s="20">
        <f>IF(MONTH(DATE(An,11,1)-WEEKDAY(DATE(An,11,1),2)+11)=11,DATE(An,11,1)-WEEKDAY(DATE(An,11,1),2)+11,"")</f>
        <v>46702</v>
      </c>
      <c r="N34" s="20">
        <f>IF(MONTH(DATE(An,11,1)-WEEKDAY(DATE(An,11,1),2)+12)=11,DATE(An,11,1)-WEEKDAY(DATE(An,11,1),2)+12,"")</f>
        <v>46703</v>
      </c>
      <c r="O34" s="21">
        <f>IF(MONTH(DATE(An,11,1)-WEEKDAY(DATE(An,11,1),2)+13)=11,DATE(An,11,1)-WEEKDAY(DATE(An,11,1),2)+13,"")</f>
        <v>46704</v>
      </c>
      <c r="P34" s="22">
        <f>IF(MONTH(DATE(An,11,1)-WEEKDAY(DATE(An,11,1),2)+14)=11,DATE(An,11,1)-WEEKDAY(DATE(An,11,1),2)+14,"")</f>
        <v>46705</v>
      </c>
      <c r="R34" s="19">
        <f>IF(MONTH(DATE(An,12,1)-WEEKDAY(DATE(An,12,1),2)+8)=12,DATE(An,12,1)-WEEKDAY(DATE(An,12,1),2)+8,"")</f>
        <v>46727</v>
      </c>
      <c r="S34" s="20">
        <f>IF(MONTH(DATE(An,12,1)-WEEKDAY(DATE(An,12,1),2)+9)=12,DATE(An,12,1)-WEEKDAY(DATE(An,12,1),2)+9,"")</f>
        <v>46728</v>
      </c>
      <c r="T34" s="20">
        <f>IF(MONTH(DATE(An,12,1)-WEEKDAY(DATE(An,12,1),2)+10)=12,DATE(An,12,1)-WEEKDAY(DATE(An,12,1),2)+10,"")</f>
        <v>46729</v>
      </c>
      <c r="U34" s="20">
        <f>IF(MONTH(DATE(An,12,1)-WEEKDAY(DATE(An,12,1),2)+11)=12,DATE(An,12,1)-WEEKDAY(DATE(An,12,1),2)+11,"")</f>
        <v>46730</v>
      </c>
      <c r="V34" s="20">
        <f>IF(MONTH(DATE(An,12,1)-WEEKDAY(DATE(An,12,1),2)+12)=12,DATE(An,12,1)-WEEKDAY(DATE(An,12,1),2)+12,"")</f>
        <v>46731</v>
      </c>
      <c r="W34" s="21">
        <f>IF(MONTH(DATE(An,12,1)-WEEKDAY(DATE(An,12,1),2)+13)=12,DATE(An,12,1)-WEEKDAY(DATE(An,12,1),2)+13,"")</f>
        <v>46732</v>
      </c>
      <c r="X34" s="22">
        <f>IF(MONTH(DATE(An,12,1)-WEEKDAY(DATE(An,12,1),2)+14)=12,DATE(An,12,1)-WEEKDAY(DATE(An,12,1),2)+14,"")</f>
        <v>46733</v>
      </c>
    </row>
    <row r="35" spans="2:24" x14ac:dyDescent="0.2">
      <c r="B35" s="19">
        <f>IF(MONTH(DATE(An,10,1)-WEEKDAY(DATE(An,10,1),2)+15)=10,DATE(An,10,1)-WEEKDAY(DATE(An,10,1),2)+15,"")</f>
        <v>46671</v>
      </c>
      <c r="C35" s="20">
        <f>IF(MONTH(DATE(An,10,1)-WEEKDAY(DATE(An,10,1),2)+16)=10,DATE(An,10,1)-WEEKDAY(DATE(An,10,1),2)+16,"")</f>
        <v>46672</v>
      </c>
      <c r="D35" s="20">
        <f>IF(MONTH(DATE(An,10,1)-WEEKDAY(DATE(An,10,1),2)+17)=10,DATE(An,10,1)-WEEKDAY(DATE(An,10,1),2)+17,"")</f>
        <v>46673</v>
      </c>
      <c r="E35" s="20">
        <f>IF(MONTH(DATE(An,10,1)-WEEKDAY(DATE(An,10,1),2)+18)=10,DATE(An,10,1)-WEEKDAY(DATE(An,10,1),2)+18,"")</f>
        <v>46674</v>
      </c>
      <c r="F35" s="20">
        <f>IF(MONTH(DATE(An,10,1)-WEEKDAY(DATE(An,10,1),2)+19)=10,DATE(An,10,1)-WEEKDAY(DATE(An,10,1),2)+19,"")</f>
        <v>46675</v>
      </c>
      <c r="G35" s="21">
        <f>IF(MONTH(DATE(An,10,1)-WEEKDAY(DATE(An,10,1),2)+20)=10,DATE(An,10,1)-WEEKDAY(DATE(An,10,1),2)+20,"")</f>
        <v>46676</v>
      </c>
      <c r="H35" s="22">
        <f>IF(MONTH(DATE(An,10,1)-WEEKDAY(DATE(An,10,1),2)+21)=10,DATE(An,10,1)-WEEKDAY(DATE(An,10,1),2)+21,"")</f>
        <v>46677</v>
      </c>
      <c r="J35" s="19">
        <f>IF(MONTH(DATE(An,11,1)-WEEKDAY(DATE(An,11,1),2)+15)=11,DATE(An,11,1)-WEEKDAY(DATE(An,11,1),2)+15,"")</f>
        <v>46706</v>
      </c>
      <c r="K35" s="20">
        <f>IF(MONTH(DATE(An,11,1)-WEEKDAY(DATE(An,11,1),2)+16)=11,DATE(An,11,1)-WEEKDAY(DATE(An,11,1),2)+16,"")</f>
        <v>46707</v>
      </c>
      <c r="L35" s="20">
        <f>IF(MONTH(DATE(An,11,1)-WEEKDAY(DATE(An,11,1),2)+17)=11,DATE(An,11,1)-WEEKDAY(DATE(An,11,1),2)+17,"")</f>
        <v>46708</v>
      </c>
      <c r="M35" s="20">
        <f>IF(MONTH(DATE(An,11,1)-WEEKDAY(DATE(An,11,1),2)+18)=11,DATE(An,11,1)-WEEKDAY(DATE(An,11,1),2)+18,"")</f>
        <v>46709</v>
      </c>
      <c r="N35" s="20">
        <f>IF(MONTH(DATE(An,11,1)-WEEKDAY(DATE(An,11,1),2)+19)=11,DATE(An,11,1)-WEEKDAY(DATE(An,11,1),2)+19,"")</f>
        <v>46710</v>
      </c>
      <c r="O35" s="21">
        <f>IF(MONTH(DATE(An,11,1)-WEEKDAY(DATE(An,11,1),2)+20)=11,DATE(An,11,1)-WEEKDAY(DATE(An,11,1),2)+20,"")</f>
        <v>46711</v>
      </c>
      <c r="P35" s="22">
        <f>IF(MONTH(DATE(An,11,1)-WEEKDAY(DATE(An,11,1),2)+21)=11,DATE(An,11,1)-WEEKDAY(DATE(An,11,1),2)+21,"")</f>
        <v>46712</v>
      </c>
      <c r="R35" s="19">
        <f>IF(MONTH(DATE(An,12,1)-WEEKDAY(DATE(An,12,1),2)+15)=12,DATE(An,12,1)-WEEKDAY(DATE(An,12,1),2)+15,"")</f>
        <v>46734</v>
      </c>
      <c r="S35" s="20">
        <f>IF(MONTH(DATE(An,12,1)-WEEKDAY(DATE(An,12,1),2)+16)=12,DATE(An,12,1)-WEEKDAY(DATE(An,12,1),2)+16,"")</f>
        <v>46735</v>
      </c>
      <c r="T35" s="20">
        <f>IF(MONTH(DATE(An,12,1)-WEEKDAY(DATE(An,12,1),2)+17)=12,DATE(An,12,1)-WEEKDAY(DATE(An,12,1),2)+17,"")</f>
        <v>46736</v>
      </c>
      <c r="U35" s="20">
        <f>IF(MONTH(DATE(An,12,1)-WEEKDAY(DATE(An,12,1),2)+18)=12,DATE(An,12,1)-WEEKDAY(DATE(An,12,1),2)+18,"")</f>
        <v>46737</v>
      </c>
      <c r="V35" s="20">
        <f>IF(MONTH(DATE(An,12,1)-WEEKDAY(DATE(An,12,1),2)+19)=12,DATE(An,12,1)-WEEKDAY(DATE(An,12,1),2)+19,"")</f>
        <v>46738</v>
      </c>
      <c r="W35" s="21">
        <f>IF(MONTH(DATE(An,12,1)-WEEKDAY(DATE(An,12,1),2)+20)=12,DATE(An,12,1)-WEEKDAY(DATE(An,12,1),2)+20,"")</f>
        <v>46739</v>
      </c>
      <c r="X35" s="22">
        <f>IF(MONTH(DATE(An,12,1)-WEEKDAY(DATE(An,12,1),2)+21)=12,DATE(An,12,1)-WEEKDAY(DATE(An,12,1),2)+21,"")</f>
        <v>46740</v>
      </c>
    </row>
    <row r="36" spans="2:24" x14ac:dyDescent="0.2">
      <c r="B36" s="19">
        <f>IF(MONTH(DATE(An,10,1)-WEEKDAY(DATE(An,10,1),2)+22)=10,DATE(An,10,1)-WEEKDAY(DATE(An,10,1),2)+22,"")</f>
        <v>46678</v>
      </c>
      <c r="C36" s="20">
        <f>IF(MONTH(DATE(An,10,1)-WEEKDAY(DATE(An,10,1),2)+23)=10,DATE(An,10,1)-WEEKDAY(DATE(An,10,1),2)+23,"")</f>
        <v>46679</v>
      </c>
      <c r="D36" s="20">
        <f>IF(MONTH(DATE(An,10,1)-WEEKDAY(DATE(An,10,1),2)+24)=10,DATE(An,10,1)-WEEKDAY(DATE(An,10,1),2)+24,"")</f>
        <v>46680</v>
      </c>
      <c r="E36" s="20">
        <f>IF(MONTH(DATE(An,10,1)-WEEKDAY(DATE(An,10,1),2)+25)=10,DATE(An,10,1)-WEEKDAY(DATE(An,10,1),2)+25,"")</f>
        <v>46681</v>
      </c>
      <c r="F36" s="20">
        <f>IF(MONTH(DATE(An,10,1)-WEEKDAY(DATE(An,10,1),2)+26)=10,DATE(An,10,1)-WEEKDAY(DATE(An,10,1),2)+26,"")</f>
        <v>46682</v>
      </c>
      <c r="G36" s="21">
        <f>IF(MONTH(DATE(An,10,1)-WEEKDAY(DATE(An,10,1),2)+27)=10,DATE(An,10,1)-WEEKDAY(DATE(An,10,1),2)+27,"")</f>
        <v>46683</v>
      </c>
      <c r="H36" s="22">
        <f>IF(MONTH(DATE(An,10,1)-WEEKDAY(DATE(An,10,1),2)+28)=10,DATE(An,10,1)-WEEKDAY(DATE(An,10,1),2)+28,"")</f>
        <v>46684</v>
      </c>
      <c r="J36" s="19">
        <f>IF(MONTH(DATE(An,11,1)-WEEKDAY(DATE(An,11,1),2)+22)=11,DATE(An,11,1)-WEEKDAY(DATE(An,11,1),2)+22,"")</f>
        <v>46713</v>
      </c>
      <c r="K36" s="20">
        <f>IF(MONTH(DATE(An,11,1)-WEEKDAY(DATE(An,11,1),2)+23)=11,DATE(An,11,1)-WEEKDAY(DATE(An,11,1),2)+23,"")</f>
        <v>46714</v>
      </c>
      <c r="L36" s="20">
        <f>IF(MONTH(DATE(An,11,1)-WEEKDAY(DATE(An,11,1),2)+24)=11,DATE(An,11,1)-WEEKDAY(DATE(An,11,1),2)+24,"")</f>
        <v>46715</v>
      </c>
      <c r="M36" s="20">
        <f>IF(MONTH(DATE(An,11,1)-WEEKDAY(DATE(An,11,1),2)+25)=11,DATE(An,11,1)-WEEKDAY(DATE(An,11,1),2)+25,"")</f>
        <v>46716</v>
      </c>
      <c r="N36" s="20">
        <f>IF(MONTH(DATE(An,11,1)-WEEKDAY(DATE(An,11,1),2)+26)=11,DATE(An,11,1)-WEEKDAY(DATE(An,11,1),2)+26,"")</f>
        <v>46717</v>
      </c>
      <c r="O36" s="21">
        <f>IF(MONTH(DATE(An,11,1)-WEEKDAY(DATE(An,11,1),2)+27)=11,DATE(An,11,1)-WEEKDAY(DATE(An,11,1),2)+27,"")</f>
        <v>46718</v>
      </c>
      <c r="P36" s="22">
        <f>IF(MONTH(DATE(An,11,1)-WEEKDAY(DATE(An,11,1),2)+28)=11,DATE(An,11,1)-WEEKDAY(DATE(An,11,1),2)+28,"")</f>
        <v>46719</v>
      </c>
      <c r="R36" s="19">
        <f>IF(MONTH(DATE(An,12,1)-WEEKDAY(DATE(An,12,1),2)+22)=12,DATE(An,12,1)-WEEKDAY(DATE(An,12,1),2)+22,"")</f>
        <v>46741</v>
      </c>
      <c r="S36" s="20">
        <f>IF(MONTH(DATE(An,12,1)-WEEKDAY(DATE(An,12,1),2)+23)=12,DATE(An,12,1)-WEEKDAY(DATE(An,12,1),2)+23,"")</f>
        <v>46742</v>
      </c>
      <c r="T36" s="20">
        <f>IF(MONTH(DATE(An,12,1)-WEEKDAY(DATE(An,12,1),2)+24)=12,DATE(An,12,1)-WEEKDAY(DATE(An,12,1),2)+24,"")</f>
        <v>46743</v>
      </c>
      <c r="U36" s="20">
        <f>IF(MONTH(DATE(An,12,1)-WEEKDAY(DATE(An,12,1),2)+25)=12,DATE(An,12,1)-WEEKDAY(DATE(An,12,1),2)+25,"")</f>
        <v>46744</v>
      </c>
      <c r="V36" s="20">
        <f>IF(MONTH(DATE(An,12,1)-WEEKDAY(DATE(An,12,1),2)+26)=12,DATE(An,12,1)-WEEKDAY(DATE(An,12,1),2)+26,"")</f>
        <v>46745</v>
      </c>
      <c r="W36" s="21">
        <f>IF(MONTH(DATE(An,12,1)-WEEKDAY(DATE(An,12,1),2)+27)=12,DATE(An,12,1)-WEEKDAY(DATE(An,12,1),2)+27,"")</f>
        <v>46746</v>
      </c>
      <c r="X36" s="22">
        <f>IF(MONTH(DATE(An,12,1)-WEEKDAY(DATE(An,12,1),2)+28)=12,DATE(An,12,1)-WEEKDAY(DATE(An,12,1),2)+28,"")</f>
        <v>46747</v>
      </c>
    </row>
    <row r="37" spans="2:24" x14ac:dyDescent="0.2">
      <c r="B37" s="19">
        <f>IF(MONTH(DATE(An,10,1)-WEEKDAY(DATE(An,10,1),2)+29)=10,DATE(An,10,1)-WEEKDAY(DATE(An,10,1),2)+29,"")</f>
        <v>46685</v>
      </c>
      <c r="C37" s="20">
        <f>IF(MONTH(DATE(An,10,1)-WEEKDAY(DATE(An,10,1),2)+30)=10,DATE(An,10,1)-WEEKDAY(DATE(An,10,1),2)+30,"")</f>
        <v>46686</v>
      </c>
      <c r="D37" s="20">
        <f>IF(MONTH(DATE(An,10,1)-WEEKDAY(DATE(An,10,1),2)+31)=10,DATE(An,10,1)-WEEKDAY(DATE(An,10,1),2)+31,"")</f>
        <v>46687</v>
      </c>
      <c r="E37" s="20">
        <f>IF(MONTH(DATE(An,10,1)-WEEKDAY(DATE(An,10,1),2)+32)=10,DATE(An,10,1)-WEEKDAY(DATE(An,10,1),2)+32,"")</f>
        <v>46688</v>
      </c>
      <c r="F37" s="20">
        <f>IF(MONTH(DATE(An,10,1)-WEEKDAY(DATE(An,10,1),2)+33)=10,DATE(An,10,1)-WEEKDAY(DATE(An,10,1),2)+33,"")</f>
        <v>46689</v>
      </c>
      <c r="G37" s="21">
        <f>IF(MONTH(DATE(An,10,1)-WEEKDAY(DATE(An,10,1),2)+34)=10,DATE(An,10,1)-WEEKDAY(DATE(An,10,1),2)+34,"")</f>
        <v>46690</v>
      </c>
      <c r="H37" s="22">
        <f>IF(MONTH(DATE(An,10,1)-WEEKDAY(DATE(An,10,1),2)+35)=10,DATE(An,10,1)-WEEKDAY(DATE(An,10,1),2)+35,"")</f>
        <v>46691</v>
      </c>
      <c r="J37" s="19">
        <f>IF(MONTH(DATE(An,11,1)-WEEKDAY(DATE(An,11,1),2)+29)=11,DATE(An,11,1)-WEEKDAY(DATE(An,11,1),2)+29,"")</f>
        <v>46720</v>
      </c>
      <c r="K37" s="20">
        <f>IF(MONTH(DATE(An,11,1)-WEEKDAY(DATE(An,11,1),2)+30)=11,DATE(An,11,1)-WEEKDAY(DATE(An,11,1),2)+30,"")</f>
        <v>46721</v>
      </c>
      <c r="L37" s="20" t="str">
        <f>IF(MONTH(DATE(An,11,1)-WEEKDAY(DATE(An,11,1),2)+31)=11,DATE(An,11,1)-WEEKDAY(DATE(An,11,1),2)+31,"")</f>
        <v/>
      </c>
      <c r="M37" s="20" t="str">
        <f>IF(MONTH(DATE(An,11,1)-WEEKDAY(DATE(An,11,1),2)+32)=11,DATE(An,11,1)-WEEKDAY(DATE(An,11,1),2)+32,"")</f>
        <v/>
      </c>
      <c r="N37" s="20" t="str">
        <f>IF(MONTH(DATE(An,11,1)-WEEKDAY(DATE(An,11,1),2)+33)=11,DATE(An,11,1)-WEEKDAY(DATE(An,11,1),2)+33,"")</f>
        <v/>
      </c>
      <c r="O37" s="21" t="str">
        <f>IF(MONTH(DATE(An,11,1)-WEEKDAY(DATE(An,11,1),2)+34)=11,DATE(An,11,1)-WEEKDAY(DATE(An,11,1),2)+34,"")</f>
        <v/>
      </c>
      <c r="P37" s="22" t="str">
        <f>IF(MONTH(DATE(An,11,1)-WEEKDAY(DATE(An,11,1),2)+35)=11,DATE(An,11,1)-WEEKDAY(DATE(An,11,1),2)+35,"")</f>
        <v/>
      </c>
      <c r="R37" s="19">
        <f>IF(MONTH(DATE(An,12,1)-WEEKDAY(DATE(An,12,1),2)+29)=12,DATE(An,12,1)-WEEKDAY(DATE(An,12,1),2)+29,"")</f>
        <v>46748</v>
      </c>
      <c r="S37" s="20">
        <f>IF(MONTH(DATE(An,12,1)-WEEKDAY(DATE(An,12,1),2)+30)=12,DATE(An,12,1)-WEEKDAY(DATE(An,12,1),2)+30,"")</f>
        <v>46749</v>
      </c>
      <c r="T37" s="20">
        <f>IF(MONTH(DATE(An,12,1)-WEEKDAY(DATE(An,12,1),2)+31)=12,DATE(An,12,1)-WEEKDAY(DATE(An,12,1),2)+31,"")</f>
        <v>46750</v>
      </c>
      <c r="U37" s="20">
        <f>IF(MONTH(DATE(An,12,1)-WEEKDAY(DATE(An,12,1),2)+32)=12,DATE(An,12,1)-WEEKDAY(DATE(An,12,1),2)+32,"")</f>
        <v>46751</v>
      </c>
      <c r="V37" s="20">
        <f>IF(MONTH(DATE(An,12,1)-WEEKDAY(DATE(An,12,1),2)+33)=12,DATE(An,12,1)-WEEKDAY(DATE(An,12,1),2)+33,"")</f>
        <v>46752</v>
      </c>
      <c r="W37" s="21" t="str">
        <f>IF(MONTH(DATE(An,12,1)-WEEKDAY(DATE(An,12,1),2)+34)=12,DATE(An,12,1)-WEEKDAY(DATE(An,12,1),2)+34,"")</f>
        <v/>
      </c>
      <c r="X37" s="22" t="str">
        <f>IF(MONTH(DATE(An,12,1)-WEEKDAY(DATE(An,12,1),2)+35)=12,DATE(An,12,1)-WEEKDAY(DATE(An,12,1),2)+35,"")</f>
        <v/>
      </c>
    </row>
    <row r="38" spans="2:24" x14ac:dyDescent="0.2">
      <c r="B38" s="23" t="str">
        <f>IF(MONTH(DATE(An,10,1)-WEEKDAY(DATE(An,10,1),2)+36)=10,DATE(An,10,1)-WEEKDAY(DATE(An,10,1),2)+36,"")</f>
        <v/>
      </c>
      <c r="C38" s="24" t="str">
        <f>IF(MONTH(DATE(An,10,1)-WEEKDAY(DATE(An,10,1),2)+37)=10,DATE(An,10,1)-WEEKDAY(DATE(An,10,1),2)+37,"")</f>
        <v/>
      </c>
      <c r="D38" s="24" t="str">
        <f>IF(MONTH(DATE(An,10,1)-WEEKDAY(DATE(An,10,1),2)+38)=10,DATE(An,10,1)-WEEKDAY(DATE(An,10,1),2)+38,"")</f>
        <v/>
      </c>
      <c r="E38" s="24" t="str">
        <f>IF(MONTH(DATE(An,10,1)-WEEKDAY(DATE(An,10,1),2)+39)=10,DATE(An,10,1)-WEEKDAY(DATE(An,10,1),2)+39,"")</f>
        <v/>
      </c>
      <c r="F38" s="24" t="str">
        <f>IF(MONTH(DATE(An,10,1)-WEEKDAY(DATE(An,10,1),2)+40)=10,DATE(An,10,1)-WEEKDAY(DATE(An,10,1),2)+40,"")</f>
        <v/>
      </c>
      <c r="G38" s="25" t="str">
        <f>IF(MONTH(DATE(An,10,1)-WEEKDAY(DATE(An,10,1),2)+41)=10,DATE(An,10,1)-WEEKDAY(DATE(An,10,1),2)+41,"")</f>
        <v/>
      </c>
      <c r="H38" s="26" t="str">
        <f>IF(MONTH(DATE(An,10,1)-WEEKDAY(DATE(An,10,1),2)+42)=10,DATE(An,10,1)-WEEKDAY(DATE(An,10,1),2)+42,"")</f>
        <v/>
      </c>
      <c r="J38" s="23" t="str">
        <f>IF(MONTH(DATE(An,11,1)-WEEKDAY(DATE(An,11,1),2)+36)=11,DATE(An,11,1)-WEEKDAY(DATE(An,11,1),2)+36,"")</f>
        <v/>
      </c>
      <c r="K38" s="24" t="str">
        <f>IF(MONTH(DATE(An,11,1)-WEEKDAY(DATE(An,11,1),2)+37)=11,DATE(An,11,1)-WEEKDAY(DATE(An,11,1),2)+37,"")</f>
        <v/>
      </c>
      <c r="L38" s="24" t="str">
        <f>IF(MONTH(DATE(An,11,1)-WEEKDAY(DATE(An,11,1),2)+38)=11,DATE(An,11,1)-WEEKDAY(DATE(An,11,1),2)+38,"")</f>
        <v/>
      </c>
      <c r="M38" s="24" t="str">
        <f>IF(MONTH(DATE(An,11,1)-WEEKDAY(DATE(An,11,1),2)+39)=11,DATE(An,11,1)-WEEKDAY(DATE(An,11,1),2)+39,"")</f>
        <v/>
      </c>
      <c r="N38" s="24" t="str">
        <f>IF(MONTH(DATE(An,11,1)-WEEKDAY(DATE(An,11,1),2)+40)=11,DATE(An,11,1)-WEEKDAY(DATE(An,11,1),2)+40,"")</f>
        <v/>
      </c>
      <c r="O38" s="25" t="str">
        <f>IF(MONTH(DATE(An,11,1)-WEEKDAY(DATE(An,11,1),2)+41)=11,DATE(An,11,1)-WEEKDAY(DATE(An,11,1),2)+41,"")</f>
        <v/>
      </c>
      <c r="P38" s="26" t="str">
        <f>IF(MONTH(DATE(An,11,1)-WEEKDAY(DATE(An,11,1),2)+42)=11,DATE(An,11,1)-WEEKDAY(DATE(An,11,1),2)+42,"")</f>
        <v/>
      </c>
      <c r="R38" s="23" t="str">
        <f>IF(MONTH(DATE(An,12,1)-WEEKDAY(DATE(An,12,1),2)+36)=12,DATE(An,12,1)-WEEKDAY(DATE(An,12,1),2)+36,"")</f>
        <v/>
      </c>
      <c r="S38" s="24" t="str">
        <f>IF(MONTH(DATE(An,12,1)-WEEKDAY(DATE(An,12,1),2)+37)=12,DATE(An,12,1)-WEEKDAY(DATE(An,12,1),2)+37,"")</f>
        <v/>
      </c>
      <c r="T38" s="24" t="str">
        <f>IF(MONTH(DATE(An,12,1)-WEEKDAY(DATE(An,12,1),2)+38)=12,DATE(An,12,1)-WEEKDAY(DATE(An,12,1),2)+38,"")</f>
        <v/>
      </c>
      <c r="U38" s="24" t="str">
        <f>IF(MONTH(DATE(An,12,1)-WEEKDAY(DATE(An,12,1),2)+39)=12,DATE(An,12,1)-WEEKDAY(DATE(An,12,1),2)+39,"")</f>
        <v/>
      </c>
      <c r="V38" s="24" t="str">
        <f>IF(MONTH(DATE(An,12,1)-WEEKDAY(DATE(An,12,1),2)+40)=12,DATE(An,12,1)-WEEKDAY(DATE(An,12,1),2)+40,"")</f>
        <v/>
      </c>
      <c r="W38" s="25" t="str">
        <f>IF(MONTH(DATE(An,12,1)-WEEKDAY(DATE(An,12,1),2)+41)=12,DATE(An,12,1)-WEEKDAY(DATE(An,12,1),2)+41,"")</f>
        <v/>
      </c>
      <c r="X38" s="26" t="str">
        <f>IF(MONTH(DATE(An,12,1)-WEEKDAY(DATE(An,12,1),2)+42)=12,DATE(An,12,1)-WEEKDAY(DATE(An,12,1),2)+42,"")</f>
        <v/>
      </c>
    </row>
    <row r="40" spans="2:24" x14ac:dyDescent="0.2">
      <c r="B40" s="27"/>
      <c r="C40" s="1" t="s">
        <v>48</v>
      </c>
      <c r="J40" s="28" t="s">
        <v>49</v>
      </c>
      <c r="K40" s="1" t="s">
        <v>50</v>
      </c>
      <c r="R40" s="3" t="s">
        <v>51</v>
      </c>
    </row>
    <row r="41" spans="2:24" x14ac:dyDescent="0.2">
      <c r="B41" s="29" t="s">
        <v>52</v>
      </c>
    </row>
    <row r="1000" spans="702:702" ht="15" x14ac:dyDescent="0.25">
      <c r="ZZ1000"/>
    </row>
  </sheetData>
  <mergeCells count="13">
    <mergeCell ref="F2:H2"/>
    <mergeCell ref="B4:H4"/>
    <mergeCell ref="J4:P4"/>
    <mergeCell ref="R4:X4"/>
    <mergeCell ref="B13:H13"/>
    <mergeCell ref="J13:P13"/>
    <mergeCell ref="R13:X13"/>
    <mergeCell ref="B22:H22"/>
    <mergeCell ref="J22:P22"/>
    <mergeCell ref="R22:X22"/>
    <mergeCell ref="B31:H31"/>
    <mergeCell ref="J31:P31"/>
    <mergeCell ref="R31:X31"/>
  </mergeCells>
  <conditionalFormatting sqref="B6:H11">
    <cfRule type="expression" dxfId="13" priority="1" stopIfTrue="1">
      <formula>AND(B6&lt;&gt;"",COUNTIF(Sarbatori,B6)&gt;0)</formula>
    </cfRule>
  </conditionalFormatting>
  <conditionalFormatting sqref="B15:H20">
    <cfRule type="expression" dxfId="12" priority="4" stopIfTrue="1">
      <formula>AND(B15&lt;&gt;"",COUNTIF(Sarbatori,B15)&gt;0)</formula>
    </cfRule>
  </conditionalFormatting>
  <conditionalFormatting sqref="B24:H29">
    <cfRule type="expression" dxfId="11" priority="7" stopIfTrue="1">
      <formula>AND(B24&lt;&gt;"",COUNTIF(Sarbatori,B24)&gt;0)</formula>
    </cfRule>
  </conditionalFormatting>
  <conditionalFormatting sqref="B33:H38">
    <cfRule type="expression" dxfId="10" priority="10" stopIfTrue="1">
      <formula>AND(B33&lt;&gt;"",COUNTIF(Sarbatori,B33)&gt;0)</formula>
    </cfRule>
  </conditionalFormatting>
  <conditionalFormatting sqref="J6:P11">
    <cfRule type="expression" dxfId="9" priority="2" stopIfTrue="1">
      <formula>AND(J6&lt;&gt;"",COUNTIF(Sarbatori,J6)&gt;0)</formula>
    </cfRule>
  </conditionalFormatting>
  <conditionalFormatting sqref="J15:P20">
    <cfRule type="expression" dxfId="8" priority="5" stopIfTrue="1">
      <formula>AND(J15&lt;&gt;"",COUNTIF(Sarbatori,J15)&gt;0)</formula>
    </cfRule>
  </conditionalFormatting>
  <conditionalFormatting sqref="J24:P29">
    <cfRule type="expression" dxfId="7" priority="8" stopIfTrue="1">
      <formula>AND(J24&lt;&gt;"",COUNTIF(Sarbatori,J24)&gt;0)</formula>
    </cfRule>
  </conditionalFormatting>
  <conditionalFormatting sqref="J33:P38">
    <cfRule type="expression" dxfId="6" priority="11" stopIfTrue="1">
      <formula>AND(J33&lt;&gt;"",COUNTIF(Sarbatori,J33)&gt;0)</formula>
    </cfRule>
  </conditionalFormatting>
  <conditionalFormatting sqref="R6:X11">
    <cfRule type="expression" dxfId="5" priority="3" stopIfTrue="1">
      <formula>AND(R6&lt;&gt;"",COUNTIF(Sarbatori,R6)&gt;0)</formula>
    </cfRule>
  </conditionalFormatting>
  <conditionalFormatting sqref="R15:X20">
    <cfRule type="expression" dxfId="4" priority="6" stopIfTrue="1">
      <formula>AND(R15&lt;&gt;"",COUNTIF(Sarbatori,R15)&gt;0)</formula>
    </cfRule>
  </conditionalFormatting>
  <conditionalFormatting sqref="R24:X29">
    <cfRule type="expression" dxfId="3" priority="9" stopIfTrue="1">
      <formula>AND(R24&lt;&gt;"",COUNTIF(Sarbatori,R24)&gt;0)</formula>
    </cfRule>
  </conditionalFormatting>
  <conditionalFormatting sqref="R33:X38">
    <cfRule type="expression" dxfId="2" priority="12" stopIfTrue="1">
      <formula>AND(R33&lt;&gt;"",COUNTIF(Sarbatori,R33)&gt;0)</formula>
    </cfRule>
  </conditionalFormatting>
  <printOptions horizontalCentered="1"/>
  <pageMargins left="0.7" right="0.7" top="0.75" bottom="0.75" header="0.3" footer="0.3"/>
  <pageSetup scale="89" orientation="landscape" r:id="rId1"/>
  <headerFooter>
    <oddFooter>&amp;Cmodelexcel.ro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061AD-21F7-41F1-BBC8-03C6134BCE0E}">
  <sheetPr>
    <pageSetUpPr fitToPage="1"/>
  </sheetPr>
  <dimension ref="B2:ZZ1000"/>
  <sheetViews>
    <sheetView showGridLines="0" workbookViewId="0"/>
  </sheetViews>
  <sheetFormatPr baseColWidth="10" defaultRowHeight="12.75" x14ac:dyDescent="0.2"/>
  <cols>
    <col min="1" max="1" width="2.7109375" style="1" customWidth="1"/>
    <col min="2" max="8" width="17.7109375" style="1" customWidth="1"/>
    <col min="9" max="11" width="11.42578125" style="1"/>
    <col min="12" max="12" width="0" style="1" hidden="1" customWidth="1"/>
    <col min="13" max="16384" width="11.42578125" style="1"/>
  </cols>
  <sheetData>
    <row r="2" spans="2:10" ht="26.25" x14ac:dyDescent="0.4">
      <c r="B2" s="5" t="s">
        <v>53</v>
      </c>
    </row>
    <row r="3" spans="2:10" ht="18.75" x14ac:dyDescent="0.3">
      <c r="B3" s="8" t="s">
        <v>54</v>
      </c>
      <c r="C3" s="30" t="s">
        <v>29</v>
      </c>
      <c r="E3" s="8" t="s">
        <v>55</v>
      </c>
      <c r="F3" s="31">
        <f>An</f>
        <v>2027</v>
      </c>
      <c r="J3" s="32">
        <f>MATCH(C3,{"Ianuarie","Februarie","Martie","Aprilie","Mai","Iunie","Iulie","August","Septembrie","Octombrie","Noiembrie","Decembrie"},0)</f>
        <v>1</v>
      </c>
    </row>
    <row r="5" spans="2:10" x14ac:dyDescent="0.2">
      <c r="B5" s="33" t="s">
        <v>56</v>
      </c>
      <c r="C5" s="33" t="s">
        <v>57</v>
      </c>
      <c r="D5" s="33" t="s">
        <v>58</v>
      </c>
      <c r="E5" s="33" t="s">
        <v>59</v>
      </c>
      <c r="F5" s="33" t="s">
        <v>60</v>
      </c>
      <c r="G5" s="33" t="s">
        <v>61</v>
      </c>
      <c r="H5" s="33" t="s">
        <v>62</v>
      </c>
    </row>
    <row r="6" spans="2:10" ht="62.1" customHeight="1" x14ac:dyDescent="0.2">
      <c r="B6" s="34" t="str">
        <f>IF(MONTH(DATE(An,LunaSel,1)-WEEKDAY(DATE(An,LunaSel,1),2)+1)=LunaSel,DATE(An,LunaSel,1)-WEEKDAY(DATE(An,LunaSel,1),2)+1,"")</f>
        <v/>
      </c>
      <c r="C6" s="34" t="str">
        <f>IF(MONTH(DATE(An,LunaSel,1)-WEEKDAY(DATE(An,LunaSel,1),2)+2)=LunaSel,DATE(An,LunaSel,1)-WEEKDAY(DATE(An,LunaSel,1),2)+2,"")</f>
        <v/>
      </c>
      <c r="D6" s="34" t="str">
        <f>IF(MONTH(DATE(An,LunaSel,1)-WEEKDAY(DATE(An,LunaSel,1),2)+3)=LunaSel,DATE(An,LunaSel,1)-WEEKDAY(DATE(An,LunaSel,1),2)+3,"")</f>
        <v/>
      </c>
      <c r="E6" s="34" t="str">
        <f>IF(MONTH(DATE(An,LunaSel,1)-WEEKDAY(DATE(An,LunaSel,1),2)+4)=LunaSel,DATE(An,LunaSel,1)-WEEKDAY(DATE(An,LunaSel,1),2)+4,"")</f>
        <v/>
      </c>
      <c r="F6" s="34">
        <f>IF(MONTH(DATE(An,LunaSel,1)-WEEKDAY(DATE(An,LunaSel,1),2)+5)=LunaSel,DATE(An,LunaSel,1)-WEEKDAY(DATE(An,LunaSel,1),2)+5,"")</f>
        <v>46388</v>
      </c>
      <c r="G6" s="35">
        <f>IF(MONTH(DATE(An,LunaSel,1)-WEEKDAY(DATE(An,LunaSel,1),2)+6)=LunaSel,DATE(An,LunaSel,1)-WEEKDAY(DATE(An,LunaSel,1),2)+6,"")</f>
        <v>46389</v>
      </c>
      <c r="H6" s="35">
        <f>IF(MONTH(DATE(An,LunaSel,1)-WEEKDAY(DATE(An,LunaSel,1),2)+7)=LunaSel,DATE(An,LunaSel,1)-WEEKDAY(DATE(An,LunaSel,1),2)+7,"")</f>
        <v>46390</v>
      </c>
    </row>
    <row r="7" spans="2:10" ht="62.1" customHeight="1" x14ac:dyDescent="0.2">
      <c r="B7" s="34">
        <f>IF(MONTH(DATE(An,LunaSel,1)-WEEKDAY(DATE(An,LunaSel,1),2)+8)=LunaSel,DATE(An,LunaSel,1)-WEEKDAY(DATE(An,LunaSel,1),2)+8,"")</f>
        <v>46391</v>
      </c>
      <c r="C7" s="34">
        <f>IF(MONTH(DATE(An,LunaSel,1)-WEEKDAY(DATE(An,LunaSel,1),2)+9)=LunaSel,DATE(An,LunaSel,1)-WEEKDAY(DATE(An,LunaSel,1),2)+9,"")</f>
        <v>46392</v>
      </c>
      <c r="D7" s="34">
        <f>IF(MONTH(DATE(An,LunaSel,1)-WEEKDAY(DATE(An,LunaSel,1),2)+10)=LunaSel,DATE(An,LunaSel,1)-WEEKDAY(DATE(An,LunaSel,1),2)+10,"")</f>
        <v>46393</v>
      </c>
      <c r="E7" s="34">
        <f>IF(MONTH(DATE(An,LunaSel,1)-WEEKDAY(DATE(An,LunaSel,1),2)+11)=LunaSel,DATE(An,LunaSel,1)-WEEKDAY(DATE(An,LunaSel,1),2)+11,"")</f>
        <v>46394</v>
      </c>
      <c r="F7" s="34">
        <f>IF(MONTH(DATE(An,LunaSel,1)-WEEKDAY(DATE(An,LunaSel,1),2)+12)=LunaSel,DATE(An,LunaSel,1)-WEEKDAY(DATE(An,LunaSel,1),2)+12,"")</f>
        <v>46395</v>
      </c>
      <c r="G7" s="35">
        <f>IF(MONTH(DATE(An,LunaSel,1)-WEEKDAY(DATE(An,LunaSel,1),2)+13)=LunaSel,DATE(An,LunaSel,1)-WEEKDAY(DATE(An,LunaSel,1),2)+13,"")</f>
        <v>46396</v>
      </c>
      <c r="H7" s="35">
        <f>IF(MONTH(DATE(An,LunaSel,1)-WEEKDAY(DATE(An,LunaSel,1),2)+14)=LunaSel,DATE(An,LunaSel,1)-WEEKDAY(DATE(An,LunaSel,1),2)+14,"")</f>
        <v>46397</v>
      </c>
    </row>
    <row r="8" spans="2:10" ht="62.1" customHeight="1" x14ac:dyDescent="0.2">
      <c r="B8" s="34">
        <f>IF(MONTH(DATE(An,LunaSel,1)-WEEKDAY(DATE(An,LunaSel,1),2)+15)=LunaSel,DATE(An,LunaSel,1)-WEEKDAY(DATE(An,LunaSel,1),2)+15,"")</f>
        <v>46398</v>
      </c>
      <c r="C8" s="34">
        <f>IF(MONTH(DATE(An,LunaSel,1)-WEEKDAY(DATE(An,LunaSel,1),2)+16)=LunaSel,DATE(An,LunaSel,1)-WEEKDAY(DATE(An,LunaSel,1),2)+16,"")</f>
        <v>46399</v>
      </c>
      <c r="D8" s="34">
        <f>IF(MONTH(DATE(An,LunaSel,1)-WEEKDAY(DATE(An,LunaSel,1),2)+17)=LunaSel,DATE(An,LunaSel,1)-WEEKDAY(DATE(An,LunaSel,1),2)+17,"")</f>
        <v>46400</v>
      </c>
      <c r="E8" s="34">
        <f>IF(MONTH(DATE(An,LunaSel,1)-WEEKDAY(DATE(An,LunaSel,1),2)+18)=LunaSel,DATE(An,LunaSel,1)-WEEKDAY(DATE(An,LunaSel,1),2)+18,"")</f>
        <v>46401</v>
      </c>
      <c r="F8" s="34">
        <f>IF(MONTH(DATE(An,LunaSel,1)-WEEKDAY(DATE(An,LunaSel,1),2)+19)=LunaSel,DATE(An,LunaSel,1)-WEEKDAY(DATE(An,LunaSel,1),2)+19,"")</f>
        <v>46402</v>
      </c>
      <c r="G8" s="35">
        <f>IF(MONTH(DATE(An,LunaSel,1)-WEEKDAY(DATE(An,LunaSel,1),2)+20)=LunaSel,DATE(An,LunaSel,1)-WEEKDAY(DATE(An,LunaSel,1),2)+20,"")</f>
        <v>46403</v>
      </c>
      <c r="H8" s="35">
        <f>IF(MONTH(DATE(An,LunaSel,1)-WEEKDAY(DATE(An,LunaSel,1),2)+21)=LunaSel,DATE(An,LunaSel,1)-WEEKDAY(DATE(An,LunaSel,1),2)+21,"")</f>
        <v>46404</v>
      </c>
    </row>
    <row r="9" spans="2:10" ht="62.1" customHeight="1" x14ac:dyDescent="0.2">
      <c r="B9" s="34">
        <f>IF(MONTH(DATE(An,LunaSel,1)-WEEKDAY(DATE(An,LunaSel,1),2)+22)=LunaSel,DATE(An,LunaSel,1)-WEEKDAY(DATE(An,LunaSel,1),2)+22,"")</f>
        <v>46405</v>
      </c>
      <c r="C9" s="34">
        <f>IF(MONTH(DATE(An,LunaSel,1)-WEEKDAY(DATE(An,LunaSel,1),2)+23)=LunaSel,DATE(An,LunaSel,1)-WEEKDAY(DATE(An,LunaSel,1),2)+23,"")</f>
        <v>46406</v>
      </c>
      <c r="D9" s="34">
        <f>IF(MONTH(DATE(An,LunaSel,1)-WEEKDAY(DATE(An,LunaSel,1),2)+24)=LunaSel,DATE(An,LunaSel,1)-WEEKDAY(DATE(An,LunaSel,1),2)+24,"")</f>
        <v>46407</v>
      </c>
      <c r="E9" s="34">
        <f>IF(MONTH(DATE(An,LunaSel,1)-WEEKDAY(DATE(An,LunaSel,1),2)+25)=LunaSel,DATE(An,LunaSel,1)-WEEKDAY(DATE(An,LunaSel,1),2)+25,"")</f>
        <v>46408</v>
      </c>
      <c r="F9" s="34">
        <f>IF(MONTH(DATE(An,LunaSel,1)-WEEKDAY(DATE(An,LunaSel,1),2)+26)=LunaSel,DATE(An,LunaSel,1)-WEEKDAY(DATE(An,LunaSel,1),2)+26,"")</f>
        <v>46409</v>
      </c>
      <c r="G9" s="35">
        <f>IF(MONTH(DATE(An,LunaSel,1)-WEEKDAY(DATE(An,LunaSel,1),2)+27)=LunaSel,DATE(An,LunaSel,1)-WEEKDAY(DATE(An,LunaSel,1),2)+27,"")</f>
        <v>46410</v>
      </c>
      <c r="H9" s="35">
        <f>IF(MONTH(DATE(An,LunaSel,1)-WEEKDAY(DATE(An,LunaSel,1),2)+28)=LunaSel,DATE(An,LunaSel,1)-WEEKDAY(DATE(An,LunaSel,1),2)+28,"")</f>
        <v>46411</v>
      </c>
    </row>
    <row r="10" spans="2:10" ht="62.1" customHeight="1" x14ac:dyDescent="0.2">
      <c r="B10" s="34">
        <f>IF(MONTH(DATE(An,LunaSel,1)-WEEKDAY(DATE(An,LunaSel,1),2)+29)=LunaSel,DATE(An,LunaSel,1)-WEEKDAY(DATE(An,LunaSel,1),2)+29,"")</f>
        <v>46412</v>
      </c>
      <c r="C10" s="34">
        <f>IF(MONTH(DATE(An,LunaSel,1)-WEEKDAY(DATE(An,LunaSel,1),2)+30)=LunaSel,DATE(An,LunaSel,1)-WEEKDAY(DATE(An,LunaSel,1),2)+30,"")</f>
        <v>46413</v>
      </c>
      <c r="D10" s="34">
        <f>IF(MONTH(DATE(An,LunaSel,1)-WEEKDAY(DATE(An,LunaSel,1),2)+31)=LunaSel,DATE(An,LunaSel,1)-WEEKDAY(DATE(An,LunaSel,1),2)+31,"")</f>
        <v>46414</v>
      </c>
      <c r="E10" s="34">
        <f>IF(MONTH(DATE(An,LunaSel,1)-WEEKDAY(DATE(An,LunaSel,1),2)+32)=LunaSel,DATE(An,LunaSel,1)-WEEKDAY(DATE(An,LunaSel,1),2)+32,"")</f>
        <v>46415</v>
      </c>
      <c r="F10" s="34">
        <f>IF(MONTH(DATE(An,LunaSel,1)-WEEKDAY(DATE(An,LunaSel,1),2)+33)=LunaSel,DATE(An,LunaSel,1)-WEEKDAY(DATE(An,LunaSel,1),2)+33,"")</f>
        <v>46416</v>
      </c>
      <c r="G10" s="35">
        <f>IF(MONTH(DATE(An,LunaSel,1)-WEEKDAY(DATE(An,LunaSel,1),2)+34)=LunaSel,DATE(An,LunaSel,1)-WEEKDAY(DATE(An,LunaSel,1),2)+34,"")</f>
        <v>46417</v>
      </c>
      <c r="H10" s="35">
        <f>IF(MONTH(DATE(An,LunaSel,1)-WEEKDAY(DATE(An,LunaSel,1),2)+35)=LunaSel,DATE(An,LunaSel,1)-WEEKDAY(DATE(An,LunaSel,1),2)+35,"")</f>
        <v>46418</v>
      </c>
    </row>
    <row r="11" spans="2:10" ht="62.1" customHeight="1" x14ac:dyDescent="0.2">
      <c r="B11" s="34" t="str">
        <f>IF(MONTH(DATE(An,LunaSel,1)-WEEKDAY(DATE(An,LunaSel,1),2)+36)=LunaSel,DATE(An,LunaSel,1)-WEEKDAY(DATE(An,LunaSel,1),2)+36,"")</f>
        <v/>
      </c>
      <c r="C11" s="34" t="str">
        <f>IF(MONTH(DATE(An,LunaSel,1)-WEEKDAY(DATE(An,LunaSel,1),2)+37)=LunaSel,DATE(An,LunaSel,1)-WEEKDAY(DATE(An,LunaSel,1),2)+37,"")</f>
        <v/>
      </c>
      <c r="D11" s="34" t="str">
        <f>IF(MONTH(DATE(An,LunaSel,1)-WEEKDAY(DATE(An,LunaSel,1),2)+38)=LunaSel,DATE(An,LunaSel,1)-WEEKDAY(DATE(An,LunaSel,1),2)+38,"")</f>
        <v/>
      </c>
      <c r="E11" s="34" t="str">
        <f>IF(MONTH(DATE(An,LunaSel,1)-WEEKDAY(DATE(An,LunaSel,1),2)+39)=LunaSel,DATE(An,LunaSel,1)-WEEKDAY(DATE(An,LunaSel,1),2)+39,"")</f>
        <v/>
      </c>
      <c r="F11" s="34" t="str">
        <f>IF(MONTH(DATE(An,LunaSel,1)-WEEKDAY(DATE(An,LunaSel,1),2)+40)=LunaSel,DATE(An,LunaSel,1)-WEEKDAY(DATE(An,LunaSel,1),2)+40,"")</f>
        <v/>
      </c>
      <c r="G11" s="35" t="str">
        <f>IF(MONTH(DATE(An,LunaSel,1)-WEEKDAY(DATE(An,LunaSel,1),2)+41)=LunaSel,DATE(An,LunaSel,1)-WEEKDAY(DATE(An,LunaSel,1),2)+41,"")</f>
        <v/>
      </c>
      <c r="H11" s="35" t="str">
        <f>IF(MONTH(DATE(An,LunaSel,1)-WEEKDAY(DATE(An,LunaSel,1),2)+42)=LunaSel,DATE(An,LunaSel,1)-WEEKDAY(DATE(An,LunaSel,1),2)+42,"")</f>
        <v/>
      </c>
    </row>
    <row r="13" spans="2:10" x14ac:dyDescent="0.2">
      <c r="B13" s="36" t="s">
        <v>63</v>
      </c>
    </row>
    <row r="14" spans="2:10" ht="20.100000000000001" customHeight="1" x14ac:dyDescent="0.2"/>
    <row r="15" spans="2:10" ht="20.100000000000001" customHeight="1" x14ac:dyDescent="0.2">
      <c r="B15" s="38"/>
      <c r="C15" s="38"/>
      <c r="D15" s="38"/>
      <c r="E15" s="38"/>
      <c r="F15" s="38"/>
      <c r="G15" s="38"/>
      <c r="H15" s="38"/>
    </row>
    <row r="16" spans="2:10" ht="20.100000000000001" customHeight="1" x14ac:dyDescent="0.2">
      <c r="B16" s="38"/>
      <c r="C16" s="38"/>
      <c r="D16" s="38"/>
      <c r="E16" s="38"/>
      <c r="F16" s="38"/>
      <c r="G16" s="38"/>
      <c r="H16" s="38"/>
    </row>
    <row r="17" spans="2:12" ht="20.100000000000001" customHeight="1" x14ac:dyDescent="0.2">
      <c r="B17" s="38"/>
      <c r="C17" s="38"/>
      <c r="D17" s="38"/>
      <c r="E17" s="38"/>
      <c r="F17" s="38"/>
      <c r="G17" s="38"/>
      <c r="H17" s="38"/>
    </row>
    <row r="18" spans="2:12" ht="20.100000000000001" customHeight="1" x14ac:dyDescent="0.2">
      <c r="B18" s="37"/>
      <c r="C18" s="37"/>
      <c r="D18" s="37"/>
      <c r="E18" s="37"/>
      <c r="F18" s="37"/>
      <c r="G18" s="37"/>
      <c r="H18" s="37"/>
    </row>
    <row r="20" spans="2:12" x14ac:dyDescent="0.2">
      <c r="B20" s="4" t="s">
        <v>64</v>
      </c>
    </row>
    <row r="30" spans="2:12" x14ac:dyDescent="0.2">
      <c r="L30" s="1" t="s">
        <v>29</v>
      </c>
    </row>
    <row r="31" spans="2:12" x14ac:dyDescent="0.2">
      <c r="L31" s="1" t="s">
        <v>37</v>
      </c>
    </row>
    <row r="32" spans="2:12" x14ac:dyDescent="0.2">
      <c r="L32" s="1" t="s">
        <v>38</v>
      </c>
    </row>
    <row r="33" spans="12:12" x14ac:dyDescent="0.2">
      <c r="L33" s="1" t="s">
        <v>39</v>
      </c>
    </row>
    <row r="34" spans="12:12" x14ac:dyDescent="0.2">
      <c r="L34" s="1" t="s">
        <v>40</v>
      </c>
    </row>
    <row r="35" spans="12:12" x14ac:dyDescent="0.2">
      <c r="L35" s="1" t="s">
        <v>41</v>
      </c>
    </row>
    <row r="36" spans="12:12" x14ac:dyDescent="0.2">
      <c r="L36" s="1" t="s">
        <v>42</v>
      </c>
    </row>
    <row r="37" spans="12:12" x14ac:dyDescent="0.2">
      <c r="L37" s="1" t="s">
        <v>43</v>
      </c>
    </row>
    <row r="38" spans="12:12" x14ac:dyDescent="0.2">
      <c r="L38" s="1" t="s">
        <v>44</v>
      </c>
    </row>
    <row r="39" spans="12:12" x14ac:dyDescent="0.2">
      <c r="L39" s="1" t="s">
        <v>45</v>
      </c>
    </row>
    <row r="40" spans="12:12" x14ac:dyDescent="0.2">
      <c r="L40" s="1" t="s">
        <v>46</v>
      </c>
    </row>
    <row r="41" spans="12:12" x14ac:dyDescent="0.2">
      <c r="L41" s="1" t="s">
        <v>47</v>
      </c>
    </row>
    <row r="1000" spans="702:702" ht="15" x14ac:dyDescent="0.25">
      <c r="ZZ1000"/>
    </row>
  </sheetData>
  <conditionalFormatting sqref="B6:H11">
    <cfRule type="expression" dxfId="1" priority="1" stopIfTrue="1">
      <formula>AND(B6&lt;&gt;"",COUNTIF(Sarbatori,B6)&gt;0)</formula>
    </cfRule>
  </conditionalFormatting>
  <dataValidations count="1">
    <dataValidation type="list" allowBlank="1" showInputMessage="1" showErrorMessage="1" sqref="C3" xr:uid="{ED498B6D-825C-4225-95B9-6729FC028CEB}">
      <formula1>ListaLuni</formula1>
    </dataValidation>
  </dataValidations>
  <printOptions horizontalCentered="1"/>
  <pageMargins left="0.7" right="0.7" top="0.75" bottom="0.75" header="0.3" footer="0.3"/>
  <pageSetup scale="81" orientation="landscape" r:id="rId1"/>
  <headerFooter>
    <oddFooter>&amp;Cmodelexcel.ro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90C41-323F-4867-BDCC-EA7DC3BE69D1}">
  <sheetPr>
    <pageSetUpPr fitToPage="1"/>
  </sheetPr>
  <dimension ref="B2:G29"/>
  <sheetViews>
    <sheetView showGridLines="0" workbookViewId="0"/>
  </sheetViews>
  <sheetFormatPr baseColWidth="10" defaultRowHeight="12.75" x14ac:dyDescent="0.2"/>
  <cols>
    <col min="1" max="1" width="2.7109375" style="1" customWidth="1"/>
    <col min="2" max="2" width="40.7109375" style="1" customWidth="1"/>
    <col min="3" max="3" width="13.7109375" style="1" customWidth="1"/>
    <col min="4" max="4" width="16.7109375" style="1" customWidth="1"/>
    <col min="5" max="5" width="15.7109375" style="1" customWidth="1"/>
    <col min="6" max="6" width="11.42578125" style="1"/>
    <col min="7" max="7" width="0" style="1" hidden="1" customWidth="1"/>
    <col min="8" max="16384" width="11.42578125" style="1"/>
  </cols>
  <sheetData>
    <row r="2" spans="2:7" ht="26.25" x14ac:dyDescent="0.4">
      <c r="B2" s="5" t="s">
        <v>2</v>
      </c>
      <c r="E2" s="6">
        <f>An</f>
        <v>2027</v>
      </c>
    </row>
    <row r="3" spans="2:7" ht="27.95" customHeight="1" x14ac:dyDescent="0.2">
      <c r="B3" s="44" t="s">
        <v>3</v>
      </c>
      <c r="C3" s="45"/>
      <c r="D3" s="45"/>
      <c r="E3" s="45"/>
    </row>
    <row r="5" spans="2:7" x14ac:dyDescent="0.2">
      <c r="B5" s="1" t="s">
        <v>4</v>
      </c>
      <c r="E5" s="9" t="str">
        <f>RIGHT("0"&amp;DAY(G5),2)&amp;"."&amp;RIGHT("0"&amp;MONTH(G5),2)&amp;"."&amp;YEAR(G5)</f>
        <v>02.05.2027</v>
      </c>
      <c r="G5" s="7">
        <f>DATE(An,INT((MOD(19*MOD(An,19)+15,30)+MOD(2*MOD(An,4)+4*MOD(An,7)-MOD(19*MOD(An,19)+15,30)+34,7)+114)/31),MOD(MOD(19*MOD(An,19)+15,30)+MOD(2*MOD(An,4)+4*MOD(An,7)-MOD(19*MOD(An,19)+15,30)+34,7)+114,31)+1)+13</f>
        <v>46509</v>
      </c>
    </row>
    <row r="7" spans="2:7" x14ac:dyDescent="0.2">
      <c r="B7" s="10" t="s">
        <v>5</v>
      </c>
      <c r="C7" s="10" t="s">
        <v>6</v>
      </c>
      <c r="D7" s="10" t="s">
        <v>7</v>
      </c>
      <c r="E7" s="10" t="s">
        <v>8</v>
      </c>
    </row>
    <row r="8" spans="2:7" x14ac:dyDescent="0.2">
      <c r="B8" s="13" t="s">
        <v>9</v>
      </c>
      <c r="C8" s="14" t="str">
        <f t="shared" ref="C8:C24" si="0">RIGHT("0"&amp;DAY(G8),2)&amp;"."&amp;RIGHT("0"&amp;MONTH(G8),2)&amp;"."&amp;YEAR(G8)</f>
        <v>01.01.2027</v>
      </c>
      <c r="D8" s="13" t="str">
        <f t="shared" ref="D8:D24" si="1">CHOOSE(WEEKDAY(G8,2),"luni","marți","miercuri","joi","vineri","sâmbătă","duminică")</f>
        <v>vineri</v>
      </c>
      <c r="E8" s="13" t="str">
        <f t="shared" ref="E8:E24" si="2">IF(WEEKDAY(G8,2)&gt;5,"weekend","zi lucrătoare")</f>
        <v>zi lucrătoare</v>
      </c>
      <c r="G8" s="7">
        <f>DATE(An,1,1)</f>
        <v>46388</v>
      </c>
    </row>
    <row r="9" spans="2:7" x14ac:dyDescent="0.2">
      <c r="B9" s="11" t="s">
        <v>10</v>
      </c>
      <c r="C9" s="12" t="str">
        <f t="shared" si="0"/>
        <v>02.01.2027</v>
      </c>
      <c r="D9" s="11" t="str">
        <f t="shared" si="1"/>
        <v>sâmbătă</v>
      </c>
      <c r="E9" s="11" t="str">
        <f t="shared" si="2"/>
        <v>weekend</v>
      </c>
      <c r="G9" s="7">
        <f>DATE(An,1,2)</f>
        <v>46389</v>
      </c>
    </row>
    <row r="10" spans="2:7" x14ac:dyDescent="0.2">
      <c r="B10" s="13" t="s">
        <v>11</v>
      </c>
      <c r="C10" s="14" t="str">
        <f t="shared" si="0"/>
        <v>06.01.2027</v>
      </c>
      <c r="D10" s="13" t="str">
        <f t="shared" si="1"/>
        <v>miercuri</v>
      </c>
      <c r="E10" s="13" t="str">
        <f t="shared" si="2"/>
        <v>zi lucrătoare</v>
      </c>
      <c r="G10" s="7">
        <f>DATE(An,1,6)</f>
        <v>46393</v>
      </c>
    </row>
    <row r="11" spans="2:7" x14ac:dyDescent="0.2">
      <c r="B11" s="11" t="s">
        <v>12</v>
      </c>
      <c r="C11" s="12" t="str">
        <f t="shared" si="0"/>
        <v>07.01.2027</v>
      </c>
      <c r="D11" s="11" t="str">
        <f t="shared" si="1"/>
        <v>joi</v>
      </c>
      <c r="E11" s="11" t="str">
        <f t="shared" si="2"/>
        <v>zi lucrătoare</v>
      </c>
      <c r="G11" s="7">
        <f>DATE(An,1,7)</f>
        <v>46394</v>
      </c>
    </row>
    <row r="12" spans="2:7" x14ac:dyDescent="0.2">
      <c r="B12" s="13" t="s">
        <v>13</v>
      </c>
      <c r="C12" s="14" t="str">
        <f t="shared" si="0"/>
        <v>24.01.2027</v>
      </c>
      <c r="D12" s="13" t="str">
        <f t="shared" si="1"/>
        <v>duminică</v>
      </c>
      <c r="E12" s="13" t="str">
        <f t="shared" si="2"/>
        <v>weekend</v>
      </c>
      <c r="G12" s="7">
        <f>DATE(An,1,24)</f>
        <v>46411</v>
      </c>
    </row>
    <row r="13" spans="2:7" x14ac:dyDescent="0.2">
      <c r="B13" s="11" t="s">
        <v>14</v>
      </c>
      <c r="C13" s="12" t="str">
        <f t="shared" si="0"/>
        <v>30.04.2027</v>
      </c>
      <c r="D13" s="11" t="str">
        <f t="shared" si="1"/>
        <v>vineri</v>
      </c>
      <c r="E13" s="11" t="str">
        <f t="shared" si="2"/>
        <v>zi lucrătoare</v>
      </c>
      <c r="G13" s="7">
        <f>$G$5-2</f>
        <v>46507</v>
      </c>
    </row>
    <row r="14" spans="2:7" x14ac:dyDescent="0.2">
      <c r="B14" s="13" t="s">
        <v>15</v>
      </c>
      <c r="C14" s="14" t="str">
        <f t="shared" si="0"/>
        <v>02.05.2027</v>
      </c>
      <c r="D14" s="13" t="str">
        <f t="shared" si="1"/>
        <v>duminică</v>
      </c>
      <c r="E14" s="13" t="str">
        <f t="shared" si="2"/>
        <v>weekend</v>
      </c>
      <c r="G14" s="7">
        <f>$G$5</f>
        <v>46509</v>
      </c>
    </row>
    <row r="15" spans="2:7" x14ac:dyDescent="0.2">
      <c r="B15" s="11" t="s">
        <v>16</v>
      </c>
      <c r="C15" s="12" t="str">
        <f t="shared" si="0"/>
        <v>03.05.2027</v>
      </c>
      <c r="D15" s="11" t="str">
        <f t="shared" si="1"/>
        <v>luni</v>
      </c>
      <c r="E15" s="11" t="str">
        <f t="shared" si="2"/>
        <v>zi lucrătoare</v>
      </c>
      <c r="G15" s="7">
        <f>$G$5+1</f>
        <v>46510</v>
      </c>
    </row>
    <row r="16" spans="2:7" x14ac:dyDescent="0.2">
      <c r="B16" s="13" t="s">
        <v>17</v>
      </c>
      <c r="C16" s="14" t="str">
        <f t="shared" si="0"/>
        <v>01.05.2027</v>
      </c>
      <c r="D16" s="13" t="str">
        <f t="shared" si="1"/>
        <v>sâmbătă</v>
      </c>
      <c r="E16" s="13" t="str">
        <f t="shared" si="2"/>
        <v>weekend</v>
      </c>
      <c r="G16" s="7">
        <f>DATE(An,5,1)</f>
        <v>46508</v>
      </c>
    </row>
    <row r="17" spans="2:7" x14ac:dyDescent="0.2">
      <c r="B17" s="11" t="s">
        <v>18</v>
      </c>
      <c r="C17" s="12" t="str">
        <f t="shared" si="0"/>
        <v>01.06.2027</v>
      </c>
      <c r="D17" s="11" t="str">
        <f t="shared" si="1"/>
        <v>marți</v>
      </c>
      <c r="E17" s="11" t="str">
        <f t="shared" si="2"/>
        <v>zi lucrătoare</v>
      </c>
      <c r="G17" s="7">
        <f>DATE(An,6,1)</f>
        <v>46539</v>
      </c>
    </row>
    <row r="18" spans="2:7" x14ac:dyDescent="0.2">
      <c r="B18" s="13" t="s">
        <v>19</v>
      </c>
      <c r="C18" s="14" t="str">
        <f t="shared" si="0"/>
        <v>20.06.2027</v>
      </c>
      <c r="D18" s="13" t="str">
        <f t="shared" si="1"/>
        <v>duminică</v>
      </c>
      <c r="E18" s="13" t="str">
        <f t="shared" si="2"/>
        <v>weekend</v>
      </c>
      <c r="G18" s="7">
        <f>$G$5+49</f>
        <v>46558</v>
      </c>
    </row>
    <row r="19" spans="2:7" x14ac:dyDescent="0.2">
      <c r="B19" s="11" t="s">
        <v>20</v>
      </c>
      <c r="C19" s="12" t="str">
        <f t="shared" si="0"/>
        <v>21.06.2027</v>
      </c>
      <c r="D19" s="11" t="str">
        <f t="shared" si="1"/>
        <v>luni</v>
      </c>
      <c r="E19" s="11" t="str">
        <f t="shared" si="2"/>
        <v>zi lucrătoare</v>
      </c>
      <c r="G19" s="7">
        <f>$G$5+50</f>
        <v>46559</v>
      </c>
    </row>
    <row r="20" spans="2:7" x14ac:dyDescent="0.2">
      <c r="B20" s="13" t="s">
        <v>21</v>
      </c>
      <c r="C20" s="14" t="str">
        <f t="shared" si="0"/>
        <v>15.08.2027</v>
      </c>
      <c r="D20" s="13" t="str">
        <f t="shared" si="1"/>
        <v>duminică</v>
      </c>
      <c r="E20" s="13" t="str">
        <f t="shared" si="2"/>
        <v>weekend</v>
      </c>
      <c r="G20" s="7">
        <f>DATE(An,8,15)</f>
        <v>46614</v>
      </c>
    </row>
    <row r="21" spans="2:7" x14ac:dyDescent="0.2">
      <c r="B21" s="11" t="s">
        <v>22</v>
      </c>
      <c r="C21" s="12" t="str">
        <f t="shared" si="0"/>
        <v>30.11.2027</v>
      </c>
      <c r="D21" s="11" t="str">
        <f t="shared" si="1"/>
        <v>marți</v>
      </c>
      <c r="E21" s="11" t="str">
        <f t="shared" si="2"/>
        <v>zi lucrătoare</v>
      </c>
      <c r="G21" s="7">
        <f>DATE(An,11,30)</f>
        <v>46721</v>
      </c>
    </row>
    <row r="22" spans="2:7" x14ac:dyDescent="0.2">
      <c r="B22" s="13" t="s">
        <v>23</v>
      </c>
      <c r="C22" s="14" t="str">
        <f t="shared" si="0"/>
        <v>01.12.2027</v>
      </c>
      <c r="D22" s="13" t="str">
        <f t="shared" si="1"/>
        <v>miercuri</v>
      </c>
      <c r="E22" s="13" t="str">
        <f t="shared" si="2"/>
        <v>zi lucrătoare</v>
      </c>
      <c r="G22" s="7">
        <f>DATE(An,12,1)</f>
        <v>46722</v>
      </c>
    </row>
    <row r="23" spans="2:7" x14ac:dyDescent="0.2">
      <c r="B23" s="11" t="s">
        <v>24</v>
      </c>
      <c r="C23" s="12" t="str">
        <f t="shared" si="0"/>
        <v>25.12.2027</v>
      </c>
      <c r="D23" s="11" t="str">
        <f t="shared" si="1"/>
        <v>sâmbătă</v>
      </c>
      <c r="E23" s="11" t="str">
        <f t="shared" si="2"/>
        <v>weekend</v>
      </c>
      <c r="G23" s="7">
        <f>DATE(An,12,25)</f>
        <v>46746</v>
      </c>
    </row>
    <row r="24" spans="2:7" x14ac:dyDescent="0.2">
      <c r="B24" s="13" t="s">
        <v>25</v>
      </c>
      <c r="C24" s="14" t="str">
        <f t="shared" si="0"/>
        <v>26.12.2027</v>
      </c>
      <c r="D24" s="13" t="str">
        <f t="shared" si="1"/>
        <v>duminică</v>
      </c>
      <c r="E24" s="13" t="str">
        <f t="shared" si="2"/>
        <v>weekend</v>
      </c>
      <c r="G24" s="7">
        <f>DATE(An,12,26)</f>
        <v>46747</v>
      </c>
    </row>
    <row r="26" spans="2:7" x14ac:dyDescent="0.2">
      <c r="B26" s="8" t="s">
        <v>26</v>
      </c>
      <c r="C26" s="9">
        <f>COUNT(G8:G24)</f>
        <v>17</v>
      </c>
    </row>
    <row r="27" spans="2:7" x14ac:dyDescent="0.2">
      <c r="B27" s="8" t="s">
        <v>27</v>
      </c>
      <c r="C27" s="9">
        <f>COUNTIF(E8:E24,"zi lucrătoare")</f>
        <v>9</v>
      </c>
    </row>
    <row r="29" spans="2:7" ht="42" customHeight="1" x14ac:dyDescent="0.2">
      <c r="B29" s="44" t="s">
        <v>28</v>
      </c>
      <c r="C29" s="45"/>
      <c r="D29" s="45"/>
      <c r="E29" s="45"/>
    </row>
  </sheetData>
  <mergeCells count="2">
    <mergeCell ref="B3:E3"/>
    <mergeCell ref="B29:E29"/>
  </mergeCells>
  <conditionalFormatting sqref="E8:E24">
    <cfRule type="expression" dxfId="0" priority="1" stopIfTrue="1">
      <formula>$E8="zi lucrătoare"</formula>
    </cfRule>
  </conditionalFormatting>
  <pageMargins left="0.7" right="0.7" top="0.75" bottom="0.75" header="0.3" footer="0.3"/>
  <pageSetup orientation="portrait" r:id="rId1"/>
  <headerFooter>
    <oddFooter>&amp;Cmodelexcel.ro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D0FFC-CDFF-4D1D-8E19-9776165D258F}">
  <dimension ref="B1:B5"/>
  <sheetViews>
    <sheetView workbookViewId="0"/>
  </sheetViews>
  <sheetFormatPr baseColWidth="10" defaultRowHeight="12.75" x14ac:dyDescent="0.2"/>
  <cols>
    <col min="1" max="1" width="2.7109375" style="1" customWidth="1"/>
    <col min="2" max="16384" width="11.42578125" style="1"/>
  </cols>
  <sheetData>
    <row r="1" spans="2:2" ht="18.75" x14ac:dyDescent="0.3">
      <c r="B1" s="46" t="s">
        <v>65</v>
      </c>
    </row>
    <row r="3" spans="2:2" ht="15" x14ac:dyDescent="0.25">
      <c r="B3" s="47" t="s">
        <v>66</v>
      </c>
    </row>
    <row r="4" spans="2:2" ht="15" x14ac:dyDescent="0.25">
      <c r="B4" s="48" t="s">
        <v>67</v>
      </c>
    </row>
    <row r="5" spans="2:2" ht="15" x14ac:dyDescent="0.25">
      <c r="B5" s="49" t="s">
        <v>68</v>
      </c>
    </row>
  </sheetData>
  <hyperlinks>
    <hyperlink ref="B5" r:id="rId1" tooltip="Instrucțiuni și alte modele gratuite" xr:uid="{AABA4240-9565-4CF4-9995-0E9989B5EDF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Calendar anual</vt:lpstr>
      <vt:lpstr>Planificator lunar</vt:lpstr>
      <vt:lpstr>Zile libere</vt:lpstr>
      <vt:lpstr>Despre model</vt:lpstr>
      <vt:lpstr>An</vt:lpstr>
      <vt:lpstr>'Calendar anual'!Área_de_impresión</vt:lpstr>
      <vt:lpstr>'Planificator lunar'!Área_de_impresión</vt:lpstr>
      <vt:lpstr>ListaLuni</vt:lpstr>
      <vt:lpstr>LunaSel</vt:lpstr>
      <vt:lpstr>Sarbatori</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2027 Excel cu zile libere legale</dc:title>
  <dc:subject>Model Excel gratuit în limba română</dc:subject>
  <dc:creator>Ray Moreno · modelexcel.ro</dc:creator>
  <cp:keywords>modelexcel.ro, model Excel, Calendar 2027 Excel cu zile libere legale</cp:keywords>
  <dc:description>© 2026 Ray Moreno – modelexcel.ro. Model gratuit: îl poți folosi și adapta în activitatea ta. Nu este permisă revânzarea lui sau publicarea pe alte site-uri. https://modelexcel.ro/calendar-2027-excel/</dc:description>
  <cp:lastModifiedBy>Ray Moreno · modelexcel.ro</cp:lastModifiedBy>
  <dcterms:created xsi:type="dcterms:W3CDTF">2026-10-10T15:14:11Z</dcterms:created>
  <dcterms:modified xsi:type="dcterms:W3CDTF">2026-10-13T17:32:00Z</dcterms:modified>
  <cp:category>Model Excel</cp:category>
</cp:coreProperties>
</file>