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349EED7-7302-41B3-91E8-0BC1EE0C9CE1}" xr6:coauthVersionLast="47" xr6:coauthVersionMax="47" xr10:uidLastSave="{00000000-0000-0000-0000-000000000000}"/>
  <bookViews>
    <workbookView xWindow="-28920" yWindow="-120" windowWidth="29040" windowHeight="15720" firstSheet="1" activeTab="1" xr2:uid="{0C8DA0EE-6253-42E0-94D2-7E7E5CEA9C88}"/>
  </bookViews>
  <sheets>
    <sheet name="Setări" sheetId="1" r:id="rId1"/>
    <sheet name="Buget" sheetId="2" r:id="rId2"/>
    <sheet name="Realizat" sheetId="3" r:id="rId3"/>
    <sheet name="Analiză" sheetId="4" r:id="rId4"/>
  </sheets>
  <definedNames>
    <definedName name="AnBVC">Setări!$C$5</definedName>
    <definedName name="CotaMicro">Setări!$C$7</definedName>
    <definedName name="CotaProfit">Setări!$C$8</definedName>
    <definedName name="FirmaBVC">Setări!$C$4</definedName>
    <definedName name="ListaRegim">Setări!$F$4:$F$5</definedName>
    <definedName name="PragAbatere">Setări!$C$9</definedName>
    <definedName name="Regim">Setări!$C$6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6" i="4" l="1"/>
  <c r="O16" i="4"/>
  <c r="N16" i="4"/>
  <c r="P15" i="4"/>
  <c r="O15" i="4"/>
  <c r="N15" i="4"/>
  <c r="P14" i="4"/>
  <c r="O14" i="4"/>
  <c r="N14" i="4"/>
  <c r="O13" i="4"/>
  <c r="N13" i="4"/>
  <c r="O12" i="4"/>
  <c r="N12" i="4"/>
  <c r="O11" i="4"/>
  <c r="N11" i="4"/>
  <c r="O10" i="4"/>
  <c r="N10" i="4"/>
  <c r="O9" i="4"/>
  <c r="N9" i="4"/>
  <c r="O8" i="4"/>
  <c r="N8" i="4"/>
  <c r="O7" i="4"/>
  <c r="N7" i="4"/>
  <c r="O6" i="4"/>
  <c r="N6" i="4"/>
  <c r="O5" i="4"/>
  <c r="N5" i="4"/>
  <c r="H17" i="4"/>
  <c r="G17" i="4"/>
  <c r="F17" i="4"/>
  <c r="E17" i="4"/>
  <c r="D17" i="4"/>
  <c r="C17" i="4"/>
  <c r="J16" i="4"/>
  <c r="I16" i="4"/>
  <c r="H16" i="4"/>
  <c r="G16" i="4"/>
  <c r="F16" i="4"/>
  <c r="E16" i="4"/>
  <c r="D16" i="4"/>
  <c r="C16" i="4"/>
  <c r="J15" i="4"/>
  <c r="I15" i="4"/>
  <c r="H15" i="4"/>
  <c r="G15" i="4"/>
  <c r="F15" i="4"/>
  <c r="E15" i="4"/>
  <c r="D15" i="4"/>
  <c r="C15" i="4"/>
  <c r="J14" i="4"/>
  <c r="I14" i="4"/>
  <c r="H14" i="4"/>
  <c r="G14" i="4"/>
  <c r="F14" i="4"/>
  <c r="E14" i="4"/>
  <c r="D14" i="4"/>
  <c r="C14" i="4"/>
  <c r="H13" i="4"/>
  <c r="G13" i="4"/>
  <c r="F13" i="4"/>
  <c r="E13" i="4"/>
  <c r="D13" i="4"/>
  <c r="C13" i="4"/>
  <c r="H12" i="4"/>
  <c r="G12" i="4"/>
  <c r="F12" i="4"/>
  <c r="E12" i="4"/>
  <c r="D12" i="4"/>
  <c r="C12" i="4"/>
  <c r="H11" i="4"/>
  <c r="G11" i="4"/>
  <c r="F11" i="4"/>
  <c r="E11" i="4"/>
  <c r="D11" i="4"/>
  <c r="C11" i="4"/>
  <c r="H10" i="4"/>
  <c r="G10" i="4"/>
  <c r="F10" i="4"/>
  <c r="E10" i="4"/>
  <c r="D10" i="4"/>
  <c r="C10" i="4"/>
  <c r="H9" i="4"/>
  <c r="G9" i="4"/>
  <c r="F9" i="4"/>
  <c r="E9" i="4"/>
  <c r="D9" i="4"/>
  <c r="C9" i="4"/>
  <c r="H8" i="4"/>
  <c r="G8" i="4"/>
  <c r="F8" i="4"/>
  <c r="E8" i="4"/>
  <c r="D8" i="4"/>
  <c r="C8" i="4"/>
  <c r="H7" i="4"/>
  <c r="G7" i="4"/>
  <c r="F7" i="4"/>
  <c r="E7" i="4"/>
  <c r="D7" i="4"/>
  <c r="C7" i="4"/>
  <c r="H6" i="4"/>
  <c r="G6" i="4"/>
  <c r="F6" i="4"/>
  <c r="E6" i="4"/>
  <c r="D6" i="4"/>
  <c r="C6" i="4"/>
  <c r="H5" i="4"/>
  <c r="G5" i="4"/>
  <c r="F5" i="4"/>
  <c r="E5" i="4"/>
  <c r="D5" i="4"/>
  <c r="C5" i="4"/>
  <c r="B2" i="4"/>
  <c r="O21" i="3"/>
  <c r="O20" i="3"/>
  <c r="O19" i="3"/>
  <c r="O18" i="3"/>
  <c r="O17" i="3"/>
  <c r="O16" i="3"/>
  <c r="O15" i="3"/>
  <c r="O14" i="3"/>
  <c r="O13" i="3"/>
  <c r="O12" i="3"/>
  <c r="O8" i="3"/>
  <c r="O7" i="3"/>
  <c r="O6" i="3"/>
  <c r="N27" i="3"/>
  <c r="N25" i="3"/>
  <c r="N26" i="3" s="1"/>
  <c r="N24" i="3"/>
  <c r="N22" i="3"/>
  <c r="N9" i="3"/>
  <c r="M27" i="3"/>
  <c r="M25" i="3"/>
  <c r="M26" i="3" s="1"/>
  <c r="M24" i="3"/>
  <c r="M22" i="3"/>
  <c r="M9" i="3"/>
  <c r="L27" i="3"/>
  <c r="L25" i="3"/>
  <c r="L26" i="3" s="1"/>
  <c r="L24" i="3"/>
  <c r="L22" i="3"/>
  <c r="L9" i="3"/>
  <c r="K25" i="3"/>
  <c r="K22" i="3"/>
  <c r="K9" i="3"/>
  <c r="J25" i="3"/>
  <c r="J22" i="3"/>
  <c r="J9" i="3"/>
  <c r="I25" i="3"/>
  <c r="I22" i="3"/>
  <c r="I9" i="3"/>
  <c r="H25" i="3"/>
  <c r="H22" i="3"/>
  <c r="H9" i="3"/>
  <c r="G25" i="3"/>
  <c r="G22" i="3"/>
  <c r="G9" i="3"/>
  <c r="F25" i="3"/>
  <c r="F22" i="3"/>
  <c r="F9" i="3"/>
  <c r="E25" i="3"/>
  <c r="E22" i="3"/>
  <c r="E9" i="3"/>
  <c r="D25" i="3"/>
  <c r="D22" i="3"/>
  <c r="D9" i="3"/>
  <c r="C25" i="3"/>
  <c r="C22" i="3"/>
  <c r="C9" i="3"/>
  <c r="B21" i="3"/>
  <c r="B20" i="3"/>
  <c r="B19" i="3"/>
  <c r="B18" i="3"/>
  <c r="B17" i="3"/>
  <c r="B16" i="3"/>
  <c r="B15" i="3"/>
  <c r="B14" i="3"/>
  <c r="B13" i="3"/>
  <c r="B12" i="3"/>
  <c r="B8" i="3"/>
  <c r="B7" i="3"/>
  <c r="B6" i="3"/>
  <c r="B2" i="3"/>
  <c r="O21" i="2"/>
  <c r="O20" i="2"/>
  <c r="O19" i="2"/>
  <c r="O18" i="2"/>
  <c r="O17" i="2"/>
  <c r="O16" i="2"/>
  <c r="O15" i="2"/>
  <c r="O14" i="2"/>
  <c r="O13" i="2"/>
  <c r="O12" i="2"/>
  <c r="O8" i="2"/>
  <c r="O7" i="2"/>
  <c r="O6" i="2"/>
  <c r="N25" i="2"/>
  <c r="N22" i="2"/>
  <c r="N9" i="2"/>
  <c r="M25" i="2"/>
  <c r="M22" i="2"/>
  <c r="M9" i="2"/>
  <c r="L25" i="2"/>
  <c r="L22" i="2"/>
  <c r="L9" i="2"/>
  <c r="K25" i="2"/>
  <c r="K22" i="2"/>
  <c r="K9" i="2"/>
  <c r="J25" i="2"/>
  <c r="J22" i="2"/>
  <c r="J9" i="2"/>
  <c r="I25" i="2"/>
  <c r="I22" i="2"/>
  <c r="I9" i="2"/>
  <c r="H25" i="2"/>
  <c r="H22" i="2"/>
  <c r="H9" i="2"/>
  <c r="G25" i="2"/>
  <c r="G22" i="2"/>
  <c r="G9" i="2"/>
  <c r="F25" i="2"/>
  <c r="F22" i="2"/>
  <c r="F9" i="2"/>
  <c r="E25" i="2"/>
  <c r="E22" i="2"/>
  <c r="E9" i="2"/>
  <c r="D25" i="2"/>
  <c r="D22" i="2"/>
  <c r="D9" i="2"/>
  <c r="C25" i="2"/>
  <c r="C22" i="2"/>
  <c r="C9" i="2"/>
  <c r="B2" i="2"/>
  <c r="K16" i="4" l="1"/>
  <c r="K15" i="4"/>
  <c r="K24" i="3"/>
  <c r="K26" i="3" s="1"/>
  <c r="J24" i="3"/>
  <c r="J26" i="3" s="1"/>
  <c r="I24" i="3"/>
  <c r="I26" i="3" s="1"/>
  <c r="H24" i="3"/>
  <c r="H26" i="3" s="1"/>
  <c r="G24" i="3"/>
  <c r="G26" i="3" s="1"/>
  <c r="F24" i="3"/>
  <c r="F26" i="3" s="1"/>
  <c r="E24" i="3"/>
  <c r="E26" i="3" s="1"/>
  <c r="I7" i="4" s="1"/>
  <c r="E27" i="3"/>
  <c r="O25" i="3"/>
  <c r="D24" i="3"/>
  <c r="D26" i="3" s="1"/>
  <c r="C24" i="3"/>
  <c r="C26" i="3" s="1"/>
  <c r="N24" i="2"/>
  <c r="N26" i="2" s="1"/>
  <c r="N27" i="2"/>
  <c r="M24" i="2"/>
  <c r="M26" i="2" s="1"/>
  <c r="M27" i="2" s="1"/>
  <c r="L24" i="2"/>
  <c r="L26" i="2" s="1"/>
  <c r="L27" i="2" s="1"/>
  <c r="K24" i="2"/>
  <c r="K26" i="2" s="1"/>
  <c r="K27" i="2" s="1"/>
  <c r="J24" i="2"/>
  <c r="J26" i="2" s="1"/>
  <c r="J27" i="2" s="1"/>
  <c r="I24" i="2"/>
  <c r="I26" i="2" s="1"/>
  <c r="I27" i="2" s="1"/>
  <c r="H24" i="2"/>
  <c r="H26" i="2" s="1"/>
  <c r="H27" i="2" s="1"/>
  <c r="G24" i="2"/>
  <c r="G26" i="2" s="1"/>
  <c r="G27" i="2" s="1"/>
  <c r="F24" i="2"/>
  <c r="F26" i="2" s="1"/>
  <c r="F27" i="2" s="1"/>
  <c r="E24" i="2"/>
  <c r="E26" i="2" s="1"/>
  <c r="E27" i="2" s="1"/>
  <c r="O25" i="2"/>
  <c r="D24" i="2"/>
  <c r="D26" i="2" s="1"/>
  <c r="D27" i="2" s="1"/>
  <c r="C24" i="2"/>
  <c r="C26" i="2"/>
  <c r="C27" i="2" s="1"/>
  <c r="O22" i="3"/>
  <c r="O9" i="3"/>
  <c r="O22" i="2"/>
  <c r="O9" i="2"/>
  <c r="I6" i="4" l="1"/>
  <c r="D27" i="3"/>
  <c r="K27" i="3"/>
  <c r="I13" i="4"/>
  <c r="J27" i="3"/>
  <c r="I12" i="4"/>
  <c r="I27" i="3"/>
  <c r="I11" i="4"/>
  <c r="H27" i="3"/>
  <c r="I10" i="4"/>
  <c r="G27" i="3"/>
  <c r="I9" i="4"/>
  <c r="F27" i="3"/>
  <c r="I8" i="4"/>
  <c r="J7" i="4"/>
  <c r="K7" i="4"/>
  <c r="P7" i="4"/>
  <c r="J6" i="4"/>
  <c r="P6" i="4"/>
  <c r="C27" i="3"/>
  <c r="I5" i="4"/>
  <c r="K6" i="4" s="1"/>
  <c r="O24" i="3"/>
  <c r="O26" i="3" s="1"/>
  <c r="O27" i="3" s="1"/>
  <c r="O24" i="2"/>
  <c r="O26" i="2" s="1"/>
  <c r="O27" i="2" s="1"/>
  <c r="K14" i="4" l="1"/>
  <c r="J13" i="4"/>
  <c r="K13" i="4"/>
  <c r="P13" i="4"/>
  <c r="J12" i="4"/>
  <c r="K12" i="4"/>
  <c r="P12" i="4"/>
  <c r="J11" i="4"/>
  <c r="K11" i="4"/>
  <c r="P11" i="4"/>
  <c r="J10" i="4"/>
  <c r="K10" i="4"/>
  <c r="P10" i="4"/>
  <c r="J9" i="4"/>
  <c r="K9" i="4"/>
  <c r="P9" i="4"/>
  <c r="J8" i="4"/>
  <c r="K8" i="4"/>
  <c r="P8" i="4"/>
  <c r="J5" i="4"/>
  <c r="I17" i="4"/>
  <c r="J17" i="4" s="1"/>
  <c r="P5" i="4"/>
</calcChain>
</file>

<file path=xl/sharedStrings.xml><?xml version="1.0" encoding="utf-8"?>
<sst xmlns="http://schemas.openxmlformats.org/spreadsheetml/2006/main" count="106" uniqueCount="68">
  <si>
    <t>Buget de venituri și cheltuieli (BVC) – setări</t>
  </si>
  <si>
    <t>Firma</t>
  </si>
  <si>
    <t>Exemplu Servicii SRL</t>
  </si>
  <si>
    <t>Anul</t>
  </si>
  <si>
    <t>Regim de impozitare</t>
  </si>
  <si>
    <t>Microîntreprindere (1% din venituri)</t>
  </si>
  <si>
    <t>Cota impozit micro</t>
  </si>
  <si>
    <t>Cota impozit pe profit</t>
  </si>
  <si>
    <t>Abatere semnalată (± față de buget)</t>
  </si>
  <si>
    <t>Impozit pe profit (16%)</t>
  </si>
  <si>
    <t>Microîntreprindere: din 2026, impozitul este de 1% din venituri, pentru firmele cu venituri de până la 100.000 euro în anul precedent și cel puțin un salariat.</t>
  </si>
  <si>
    <t>Impozit pe profit: 16% din profitul impozabil. Modelul îl estimează din profitul contabil; ajustările fiscale (cheltuieli nedeductibile etc.) le face contabilul.</t>
  </si>
  <si>
    <t>Abaterea semnalată: în foaia „Analiză”, diferențele față de buget mai mari decât acest procent apar colorate.</t>
  </si>
  <si>
    <t>Buget de venituri și cheltuieli</t>
  </si>
  <si>
    <t>Completează sumele planificate pentru fiecare lună (fără TVA). Poți redenumi categoriile direct în coloana B.</t>
  </si>
  <si>
    <t>Categorie</t>
  </si>
  <si>
    <t>Ian</t>
  </si>
  <si>
    <t>Feb</t>
  </si>
  <si>
    <t>Mar</t>
  </si>
  <si>
    <t>Apr</t>
  </si>
  <si>
    <t>Mai</t>
  </si>
  <si>
    <t>Iun</t>
  </si>
  <si>
    <t>Iul</t>
  </si>
  <si>
    <t>Aug</t>
  </si>
  <si>
    <t>Sep</t>
  </si>
  <si>
    <t>Oct</t>
  </si>
  <si>
    <t>Noi</t>
  </si>
  <si>
    <t>Dec</t>
  </si>
  <si>
    <t>Total an</t>
  </si>
  <si>
    <t>VENITURI</t>
  </si>
  <si>
    <t>CHELTUIELI</t>
  </si>
  <si>
    <t>Vânzări de produse / mărfuri</t>
  </si>
  <si>
    <t>Prestări de servicii</t>
  </si>
  <si>
    <t>Alte venituri</t>
  </si>
  <si>
    <t>Mărfuri și materii prime</t>
  </si>
  <si>
    <t>Salarii brute</t>
  </si>
  <si>
    <t>Contribuții angajator (CAM)</t>
  </si>
  <si>
    <t>Chirie</t>
  </si>
  <si>
    <t>Utilități</t>
  </si>
  <si>
    <t>Marketing și publicitate</t>
  </si>
  <si>
    <t>Transport și combustibil</t>
  </si>
  <si>
    <t>Servicii externe (contabilitate, IT etc.)</t>
  </si>
  <si>
    <t>Comisioane bancare</t>
  </si>
  <si>
    <t>Alte cheltuieli</t>
  </si>
  <si>
    <t>Total venituri</t>
  </si>
  <si>
    <t>Total cheltuieli</t>
  </si>
  <si>
    <t>Profit brut (venituri − cheltuieli)</t>
  </si>
  <si>
    <t>Impozit estimat</t>
  </si>
  <si>
    <t>Profit net estimat</t>
  </si>
  <si>
    <t>Marjă de profit net</t>
  </si>
  <si>
    <t>Venituri și cheltuieli realizate</t>
  </si>
  <si>
    <t>Completează lunar sumele realizate (din contabilitate sau din extrase). Denumirile categoriilor se schimbă în foaia „Buget”.</t>
  </si>
  <si>
    <t>Analiză lunară: buget vs. realizat</t>
  </si>
  <si>
    <t>Colorat: abatere față de buget peste pragul din „Setări” (roșu = nefavorabil, verde = favorabil). Ultima coloană compară profitul cu luna precedentă.</t>
  </si>
  <si>
    <t>Luna</t>
  </si>
  <si>
    <t>Venituri buget</t>
  </si>
  <si>
    <t>Venituri realizate</t>
  </si>
  <si>
    <t>Abatere venituri</t>
  </si>
  <si>
    <t>Cheltuieli buget</t>
  </si>
  <si>
    <t>Cheltuieli realizate</t>
  </si>
  <si>
    <t>Abatere cheltuieli</t>
  </si>
  <si>
    <t>Profit net realizat</t>
  </si>
  <si>
    <t>Marjă netă</t>
  </si>
  <si>
    <t>Profit față de luna precedentă</t>
  </si>
  <si>
    <t>Total perioadă realizată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</si>
  <si>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</si>
  <si>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</si>
  <si>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modelexcel.ro/model-venituri-cheltuieli-firma-excel/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</si>
</sst>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+0.0%;\-0.0%;0.0%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i/>
      <sz val="10"/>
      <color rgb="FF5D6B64"/>
      <name val="Calibri"/>
      <family val="2"/>
    </font>
    <font>
      <b/>
      <sz val="10"/>
      <color rgb="FFFFFFFF"/>
      <name val="Calibri"/>
      <family val="2"/>
    </font>
    <font>
      <b/>
      <sz val="10"/>
      <color rgb="FF17734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D8E0DB"/>
      </bottom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9" fontId="3" fillId="2" borderId="0" xfId="0" applyNumberFormat="1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0" fontId="6" fillId="3" borderId="0" xfId="0" applyFont="1" applyFill="1" applyAlignment="1">
      <alignment horizontal="center"/>
    </xf>
    <xf numFmtId="0" fontId="7" fillId="2" borderId="0" xfId="0" applyFont="1" applyFill="1"/>
    <xf numFmtId="3" fontId="1" fillId="4" borderId="0" xfId="0" applyNumberFormat="1" applyFont="1" applyFill="1"/>
    <xf numFmtId="3" fontId="3" fillId="0" borderId="0" xfId="0" applyNumberFormat="1" applyFont="1"/>
    <xf numFmtId="3" fontId="1" fillId="0" borderId="0" xfId="0" applyNumberFormat="1" applyFont="1"/>
    <xf numFmtId="3" fontId="7" fillId="2" borderId="0" xfId="0" applyNumberFormat="1" applyFont="1" applyFill="1"/>
    <xf numFmtId="0" fontId="6" fillId="3" borderId="0" xfId="0" applyFont="1" applyFill="1"/>
    <xf numFmtId="3" fontId="6" fillId="3" borderId="0" xfId="0" applyNumberFormat="1" applyFont="1" applyFill="1"/>
    <xf numFmtId="0" fontId="1" fillId="0" borderId="2" xfId="0" applyFont="1" applyBorder="1"/>
    <xf numFmtId="164" fontId="1" fillId="0" borderId="2" xfId="0" applyNumberFormat="1" applyFont="1" applyBorder="1"/>
    <xf numFmtId="164" fontId="3" fillId="0" borderId="2" xfId="0" applyNumberFormat="1" applyFont="1" applyBorder="1"/>
    <xf numFmtId="0" fontId="6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3" fontId="3" fillId="2" borderId="3" xfId="0" applyNumberFormat="1" applyFont="1" applyFill="1" applyBorder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8">
    <dxf>
      <font>
        <b/>
        <i val="0"/>
        <color rgb="FFB4322A"/>
      </font>
    </dxf>
    <dxf>
      <font>
        <color rgb="FFB4322A"/>
      </font>
    </dxf>
    <dxf>
      <font>
        <color rgb="FFFFFFFF"/>
      </font>
      <fill>
        <patternFill>
          <bgColor rgb="FF17734A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17734A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B4322A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Venituri, cheltuieli și profit net realizat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Analiză!$N$4</c:f>
              <c:strCache>
                <c:ptCount val="1"/>
                <c:pt idx="0">
                  <c:v>Venituri realizate</c:v>
                </c:pt>
              </c:strCache>
            </c:strRef>
          </c:tx>
          <c:spPr>
            <a:solidFill>
              <a:srgbClr val="17734A"/>
            </a:solidFill>
          </c:spPr>
          <c:invertIfNegative val="0"/>
          <c:cat>
            <c:strRef>
              <c:f>Analiză!$B$5:$B$16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Noi</c:v>
                </c:pt>
                <c:pt idx="11">
                  <c:v>Dec</c:v>
                </c:pt>
              </c:strCache>
            </c:strRef>
          </c:cat>
          <c:val>
            <c:numRef>
              <c:f>Analiză!$N$5:$N$16</c:f>
              <c:numCache>
                <c:formatCode>General</c:formatCode>
                <c:ptCount val="12"/>
                <c:pt idx="0">
                  <c:v>50530</c:v>
                </c:pt>
                <c:pt idx="1">
                  <c:v>57080</c:v>
                </c:pt>
                <c:pt idx="2">
                  <c:v>55010</c:v>
                </c:pt>
                <c:pt idx="3">
                  <c:v>66880</c:v>
                </c:pt>
                <c:pt idx="4">
                  <c:v>65490</c:v>
                </c:pt>
                <c:pt idx="5">
                  <c:v>59020</c:v>
                </c:pt>
                <c:pt idx="6">
                  <c:v>64630</c:v>
                </c:pt>
                <c:pt idx="7">
                  <c:v>46060</c:v>
                </c:pt>
                <c:pt idx="8">
                  <c:v>65660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A-4B81-99F4-794B06087F3F}"/>
            </c:ext>
          </c:extLst>
        </c:ser>
        <c:ser>
          <c:idx val="1"/>
          <c:order val="1"/>
          <c:tx>
            <c:strRef>
              <c:f>Analiză!$O$4</c:f>
              <c:strCache>
                <c:ptCount val="1"/>
                <c:pt idx="0">
                  <c:v>Cheltuieli realizate</c:v>
                </c:pt>
              </c:strCache>
            </c:strRef>
          </c:tx>
          <c:spPr>
            <a:solidFill>
              <a:srgbClr val="AEB4A9"/>
            </a:solidFill>
          </c:spPr>
          <c:invertIfNegative val="0"/>
          <c:cat>
            <c:strRef>
              <c:f>Analiză!$B$5:$B$16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Noi</c:v>
                </c:pt>
                <c:pt idx="11">
                  <c:v>Dec</c:v>
                </c:pt>
              </c:strCache>
            </c:strRef>
          </c:cat>
          <c:val>
            <c:numRef>
              <c:f>Analiză!$O$5:$O$16</c:f>
              <c:numCache>
                <c:formatCode>General</c:formatCode>
                <c:ptCount val="12"/>
                <c:pt idx="0">
                  <c:v>37662</c:v>
                </c:pt>
                <c:pt idx="1">
                  <c:v>38542</c:v>
                </c:pt>
                <c:pt idx="2">
                  <c:v>40386</c:v>
                </c:pt>
                <c:pt idx="3">
                  <c:v>38558</c:v>
                </c:pt>
                <c:pt idx="4">
                  <c:v>41061</c:v>
                </c:pt>
                <c:pt idx="5">
                  <c:v>40986</c:v>
                </c:pt>
                <c:pt idx="6">
                  <c:v>39322</c:v>
                </c:pt>
                <c:pt idx="7">
                  <c:v>39676</c:v>
                </c:pt>
                <c:pt idx="8">
                  <c:v>42002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A-4B81-99F4-794B06087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0471464"/>
        <c:axId val="570468224"/>
      </c:barChart>
      <c:lineChart>
        <c:grouping val="standard"/>
        <c:varyColors val="0"/>
        <c:ser>
          <c:idx val="2"/>
          <c:order val="2"/>
          <c:tx>
            <c:strRef>
              <c:f>Analiză!$P$4</c:f>
              <c:strCache>
                <c:ptCount val="1"/>
                <c:pt idx="0">
                  <c:v>Profit net realizat</c:v>
                </c:pt>
              </c:strCache>
            </c:strRef>
          </c:tx>
          <c:spPr>
            <a:ln>
              <a:solidFill>
                <a:srgbClr val="D96F1F"/>
              </a:solidFill>
            </a:ln>
          </c:spPr>
          <c:marker>
            <c:spPr>
              <a:ln>
                <a:solidFill>
                  <a:srgbClr val="D96F1F"/>
                </a:solidFill>
              </a:ln>
            </c:spPr>
          </c:marker>
          <c:cat>
            <c:strRef>
              <c:f>Analiză!$B$5:$B$16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Noi</c:v>
                </c:pt>
                <c:pt idx="11">
                  <c:v>Dec</c:v>
                </c:pt>
              </c:strCache>
            </c:strRef>
          </c:cat>
          <c:val>
            <c:numRef>
              <c:f>Analiză!$P$5:$P$16</c:f>
              <c:numCache>
                <c:formatCode>General</c:formatCode>
                <c:ptCount val="12"/>
                <c:pt idx="0">
                  <c:v>12363</c:v>
                </c:pt>
                <c:pt idx="1">
                  <c:v>17967</c:v>
                </c:pt>
                <c:pt idx="2">
                  <c:v>14074</c:v>
                </c:pt>
                <c:pt idx="3">
                  <c:v>27653</c:v>
                </c:pt>
                <c:pt idx="4">
                  <c:v>23774</c:v>
                </c:pt>
                <c:pt idx="5">
                  <c:v>17444</c:v>
                </c:pt>
                <c:pt idx="6">
                  <c:v>24662</c:v>
                </c:pt>
                <c:pt idx="7">
                  <c:v>5923</c:v>
                </c:pt>
                <c:pt idx="8">
                  <c:v>23001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4A-4B81-99F4-794B06087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471464"/>
        <c:axId val="570468224"/>
      </c:lineChart>
      <c:catAx>
        <c:axId val="570471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70468224"/>
        <c:crosses val="autoZero"/>
        <c:auto val="1"/>
        <c:lblAlgn val="ctr"/>
        <c:lblOffset val="100"/>
        <c:noMultiLvlLbl val="0"/>
      </c:catAx>
      <c:valAx>
        <c:axId val="570468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70471464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11</xdr:col>
      <xdr:colOff>508000</xdr:colOff>
      <xdr:row>38</xdr:row>
      <xdr:rowOff>63500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963032A-8E64-A50C-27F6-E2824FB7E7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venituri-cheltuieli-firma-exce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BD3F-B305-452E-B724-0FD56A8A35FC}">
  <dimension ref="B2:F1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36.7109375" style="1" customWidth="1"/>
    <col min="4" max="4" width="30.7109375" style="1" customWidth="1"/>
    <col min="5" max="16384" width="11.42578125" style="1"/>
  </cols>
  <sheetData>
    <row r="2" spans="2:6" ht="21" x14ac:dyDescent="0.35">
      <c r="B2" s="2" t="s">
        <v>0</v>
      </c>
    </row>
    <row r="4" spans="2:6" x14ac:dyDescent="0.2">
      <c r="B4" s="1" t="s">
        <v>1</v>
      </c>
      <c r="C4" s="3" t="s">
        <v>2</v>
      </c>
      <c r="F4" s="5" t="s">
        <v>5</v>
      </c>
    </row>
    <row r="5" spans="2:6" x14ac:dyDescent="0.2">
      <c r="B5" s="1" t="s">
        <v>3</v>
      </c>
      <c r="C5" s="3">
        <v>2026</v>
      </c>
      <c r="F5" s="5" t="s">
        <v>9</v>
      </c>
    </row>
    <row r="6" spans="2:6" x14ac:dyDescent="0.2">
      <c r="B6" s="1" t="s">
        <v>4</v>
      </c>
      <c r="C6" s="3" t="s">
        <v>5</v>
      </c>
    </row>
    <row r="7" spans="2:6" x14ac:dyDescent="0.2">
      <c r="B7" s="1" t="s">
        <v>6</v>
      </c>
      <c r="C7" s="4">
        <v>0.01</v>
      </c>
    </row>
    <row r="8" spans="2:6" x14ac:dyDescent="0.2">
      <c r="B8" s="1" t="s">
        <v>7</v>
      </c>
      <c r="C8" s="4">
        <v>0.16</v>
      </c>
    </row>
    <row r="9" spans="2:6" x14ac:dyDescent="0.2">
      <c r="B9" s="1" t="s">
        <v>8</v>
      </c>
      <c r="C9" s="4">
        <v>0.1</v>
      </c>
    </row>
    <row r="11" spans="2:6" ht="27.95" customHeight="1" x14ac:dyDescent="0.2">
      <c r="B11" s="30" t="s">
        <v>10</v>
      </c>
      <c r="C11" s="31"/>
      <c r="D11" s="31"/>
    </row>
    <row r="12" spans="2:6" ht="27.95" customHeight="1" x14ac:dyDescent="0.2">
      <c r="B12" s="30" t="s">
        <v>11</v>
      </c>
      <c r="C12" s="31"/>
      <c r="D12" s="31"/>
    </row>
    <row r="13" spans="2:6" ht="27.95" customHeight="1" x14ac:dyDescent="0.2">
      <c r="B13" s="30" t="s">
        <v>12</v>
      </c>
      <c r="C13" s="31"/>
      <c r="D13" s="31"/>
    </row>
    <row r="15" spans="2:6" x14ac:dyDescent="0.2">
      <c r="B15" s="32" t="s">
        <v>65</v>
      </c>
    </row>
    <row r="16" spans="2:6" x14ac:dyDescent="0.2">
      <c r="B16" s="33" t="s">
        <v>66</v>
      </c>
    </row>
    <row r="17" spans="2:2" x14ac:dyDescent="0.2">
      <c r="B17" s="34" t="s">
        <v>67</v>
      </c>
    </row>
  </sheetData>
  <mergeCells count="3">
    <mergeCell ref="B11:D11"/>
    <mergeCell ref="B12:D12"/>
    <mergeCell ref="B13:D13"/>
  </mergeCells>
  <dataValidations count="1">
    <dataValidation type="list" allowBlank="1" showInputMessage="1" showErrorMessage="1" sqref="C6" xr:uid="{5D125836-573B-43BF-A040-5624B02568F6}">
      <formula1>ListaRegim</formula1>
    </dataValidation>
  </dataValidations>
  <hyperlinks>
    <hyperlink ref="B17" r:id="rId1" tooltip="Instrucțiuni și alte modele gratuite" xr:uid="{8B0BE4E4-8530-4933-B4D8-F0E06C96EE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77B5-87B5-48E7-8A35-081B76F56CEA}">
  <sheetPr>
    <pageSetUpPr fitToPage="1"/>
  </sheetPr>
  <dimension ref="B1:ZZ1000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36.7109375" style="1" customWidth="1"/>
    <col min="3" max="14" width="10.28515625" style="1" customWidth="1"/>
    <col min="15" max="15" width="12.7109375" style="1" customWidth="1"/>
    <col min="16" max="16384" width="11.42578125" style="1"/>
  </cols>
  <sheetData>
    <row r="1" spans="2:15" ht="21" x14ac:dyDescent="0.35">
      <c r="B1" s="2" t="s">
        <v>13</v>
      </c>
    </row>
    <row r="2" spans="2:15" x14ac:dyDescent="0.2">
      <c r="B2" s="6" t="str">
        <f>FirmaBVC&amp;" – anul "&amp;AnBVC</f>
        <v>Exemplu Servicii SRL – anul 2026</v>
      </c>
      <c r="E2" s="7" t="s">
        <v>14</v>
      </c>
    </row>
    <row r="4" spans="2:15" x14ac:dyDescent="0.2"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</row>
    <row r="5" spans="2:15" x14ac:dyDescent="0.2">
      <c r="B5" s="11" t="s">
        <v>29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5" x14ac:dyDescent="0.2">
      <c r="B6" s="1" t="s">
        <v>31</v>
      </c>
      <c r="C6" s="12">
        <v>15300</v>
      </c>
      <c r="D6" s="12">
        <v>16200</v>
      </c>
      <c r="E6" s="12">
        <v>18000</v>
      </c>
      <c r="F6" s="12">
        <v>18000</v>
      </c>
      <c r="G6" s="12">
        <v>18900</v>
      </c>
      <c r="H6" s="12">
        <v>19800</v>
      </c>
      <c r="I6" s="12">
        <v>17100</v>
      </c>
      <c r="J6" s="12">
        <v>14400</v>
      </c>
      <c r="K6" s="12">
        <v>18900</v>
      </c>
      <c r="L6" s="12">
        <v>19800</v>
      </c>
      <c r="M6" s="12">
        <v>19800</v>
      </c>
      <c r="N6" s="12">
        <v>21600</v>
      </c>
      <c r="O6" s="13">
        <f>SUM(C6:N6)</f>
        <v>217800</v>
      </c>
    </row>
    <row r="7" spans="2:15" x14ac:dyDescent="0.2">
      <c r="B7" s="1" t="s">
        <v>32</v>
      </c>
      <c r="C7" s="12">
        <v>35700</v>
      </c>
      <c r="D7" s="12">
        <v>37800</v>
      </c>
      <c r="E7" s="12">
        <v>42000</v>
      </c>
      <c r="F7" s="12">
        <v>42000</v>
      </c>
      <c r="G7" s="12">
        <v>44100</v>
      </c>
      <c r="H7" s="12">
        <v>46200</v>
      </c>
      <c r="I7" s="12">
        <v>39900</v>
      </c>
      <c r="J7" s="12">
        <v>33600</v>
      </c>
      <c r="K7" s="12">
        <v>44100</v>
      </c>
      <c r="L7" s="12">
        <v>46200</v>
      </c>
      <c r="M7" s="12">
        <v>46200</v>
      </c>
      <c r="N7" s="12">
        <v>50400</v>
      </c>
      <c r="O7" s="13">
        <f>SUM(C7:N7)</f>
        <v>508200</v>
      </c>
    </row>
    <row r="8" spans="2:15" x14ac:dyDescent="0.2">
      <c r="B8" s="1" t="s">
        <v>33</v>
      </c>
      <c r="C8" s="12">
        <v>400</v>
      </c>
      <c r="D8" s="12">
        <v>400</v>
      </c>
      <c r="E8" s="12">
        <v>500</v>
      </c>
      <c r="F8" s="12">
        <v>500</v>
      </c>
      <c r="G8" s="12">
        <v>500</v>
      </c>
      <c r="H8" s="12">
        <v>600</v>
      </c>
      <c r="I8" s="12">
        <v>500</v>
      </c>
      <c r="J8" s="12">
        <v>400</v>
      </c>
      <c r="K8" s="12">
        <v>500</v>
      </c>
      <c r="L8" s="12">
        <v>600</v>
      </c>
      <c r="M8" s="12">
        <v>600</v>
      </c>
      <c r="N8" s="12">
        <v>600</v>
      </c>
      <c r="O8" s="13">
        <f>SUM(C8:N8)</f>
        <v>6100</v>
      </c>
    </row>
    <row r="9" spans="2:15" x14ac:dyDescent="0.2">
      <c r="B9" s="8" t="s">
        <v>44</v>
      </c>
      <c r="C9" s="9">
        <f t="shared" ref="C9:O9" si="0">SUM(C6:C8)</f>
        <v>51400</v>
      </c>
      <c r="D9" s="9">
        <f t="shared" si="0"/>
        <v>54400</v>
      </c>
      <c r="E9" s="9">
        <f t="shared" si="0"/>
        <v>60500</v>
      </c>
      <c r="F9" s="9">
        <f t="shared" si="0"/>
        <v>60500</v>
      </c>
      <c r="G9" s="9">
        <f t="shared" si="0"/>
        <v>63500</v>
      </c>
      <c r="H9" s="9">
        <f t="shared" si="0"/>
        <v>66600</v>
      </c>
      <c r="I9" s="9">
        <f t="shared" si="0"/>
        <v>57500</v>
      </c>
      <c r="J9" s="9">
        <f t="shared" si="0"/>
        <v>48400</v>
      </c>
      <c r="K9" s="9">
        <f t="shared" si="0"/>
        <v>63500</v>
      </c>
      <c r="L9" s="9">
        <f t="shared" si="0"/>
        <v>66600</v>
      </c>
      <c r="M9" s="9">
        <f t="shared" si="0"/>
        <v>66600</v>
      </c>
      <c r="N9" s="9">
        <f t="shared" si="0"/>
        <v>72600</v>
      </c>
      <c r="O9" s="9">
        <f t="shared" si="0"/>
        <v>732100</v>
      </c>
    </row>
    <row r="10" spans="2:15" x14ac:dyDescent="0.2"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</row>
    <row r="11" spans="2:15" x14ac:dyDescent="0.2">
      <c r="B11" s="11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2:15" x14ac:dyDescent="0.2">
      <c r="B12" s="1" t="s">
        <v>34</v>
      </c>
      <c r="C12" s="12">
        <v>7650</v>
      </c>
      <c r="D12" s="12">
        <v>8100</v>
      </c>
      <c r="E12" s="12">
        <v>9000</v>
      </c>
      <c r="F12" s="12">
        <v>9000</v>
      </c>
      <c r="G12" s="12">
        <v>9450</v>
      </c>
      <c r="H12" s="12">
        <v>9900</v>
      </c>
      <c r="I12" s="12">
        <v>8550</v>
      </c>
      <c r="J12" s="12">
        <v>7200</v>
      </c>
      <c r="K12" s="12">
        <v>9450</v>
      </c>
      <c r="L12" s="12">
        <v>9900</v>
      </c>
      <c r="M12" s="12">
        <v>9900</v>
      </c>
      <c r="N12" s="12">
        <v>10800</v>
      </c>
      <c r="O12" s="13">
        <f t="shared" ref="O12:O21" si="1">SUM(C12:N12)</f>
        <v>108900</v>
      </c>
    </row>
    <row r="13" spans="2:15" x14ac:dyDescent="0.2">
      <c r="B13" s="1" t="s">
        <v>35</v>
      </c>
      <c r="C13" s="12">
        <v>21000</v>
      </c>
      <c r="D13" s="12">
        <v>21000</v>
      </c>
      <c r="E13" s="12">
        <v>21000</v>
      </c>
      <c r="F13" s="12">
        <v>21000</v>
      </c>
      <c r="G13" s="12">
        <v>21000</v>
      </c>
      <c r="H13" s="12">
        <v>21000</v>
      </c>
      <c r="I13" s="12">
        <v>21000</v>
      </c>
      <c r="J13" s="12">
        <v>21000</v>
      </c>
      <c r="K13" s="12">
        <v>21000</v>
      </c>
      <c r="L13" s="12">
        <v>21000</v>
      </c>
      <c r="M13" s="12">
        <v>21000</v>
      </c>
      <c r="N13" s="12">
        <v>21000</v>
      </c>
      <c r="O13" s="13">
        <f t="shared" si="1"/>
        <v>252000</v>
      </c>
    </row>
    <row r="14" spans="2:15" x14ac:dyDescent="0.2">
      <c r="B14" s="1" t="s">
        <v>36</v>
      </c>
      <c r="C14" s="12">
        <v>473</v>
      </c>
      <c r="D14" s="12">
        <v>473</v>
      </c>
      <c r="E14" s="12">
        <v>473</v>
      </c>
      <c r="F14" s="12">
        <v>473</v>
      </c>
      <c r="G14" s="12">
        <v>473</v>
      </c>
      <c r="H14" s="12">
        <v>473</v>
      </c>
      <c r="I14" s="12">
        <v>473</v>
      </c>
      <c r="J14" s="12">
        <v>473</v>
      </c>
      <c r="K14" s="12">
        <v>473</v>
      </c>
      <c r="L14" s="12">
        <v>473</v>
      </c>
      <c r="M14" s="12">
        <v>473</v>
      </c>
      <c r="N14" s="12">
        <v>473</v>
      </c>
      <c r="O14" s="13">
        <f t="shared" si="1"/>
        <v>5676</v>
      </c>
    </row>
    <row r="15" spans="2:15" x14ac:dyDescent="0.2">
      <c r="B15" s="1" t="s">
        <v>37</v>
      </c>
      <c r="C15" s="12">
        <v>3500</v>
      </c>
      <c r="D15" s="12">
        <v>3500</v>
      </c>
      <c r="E15" s="12">
        <v>3500</v>
      </c>
      <c r="F15" s="12">
        <v>3500</v>
      </c>
      <c r="G15" s="12">
        <v>3500</v>
      </c>
      <c r="H15" s="12">
        <v>3500</v>
      </c>
      <c r="I15" s="12">
        <v>3500</v>
      </c>
      <c r="J15" s="12">
        <v>3500</v>
      </c>
      <c r="K15" s="12">
        <v>3500</v>
      </c>
      <c r="L15" s="12">
        <v>3500</v>
      </c>
      <c r="M15" s="12">
        <v>3500</v>
      </c>
      <c r="N15" s="12">
        <v>3500</v>
      </c>
      <c r="O15" s="13">
        <f t="shared" si="1"/>
        <v>42000</v>
      </c>
    </row>
    <row r="16" spans="2:15" x14ac:dyDescent="0.2">
      <c r="B16" s="1" t="s">
        <v>38</v>
      </c>
      <c r="C16" s="12">
        <v>1100</v>
      </c>
      <c r="D16" s="12">
        <v>1100</v>
      </c>
      <c r="E16" s="12">
        <v>1100</v>
      </c>
      <c r="F16" s="12">
        <v>1100</v>
      </c>
      <c r="G16" s="12">
        <v>1100</v>
      </c>
      <c r="H16" s="12">
        <v>1100</v>
      </c>
      <c r="I16" s="12">
        <v>1100</v>
      </c>
      <c r="J16" s="12">
        <v>1100</v>
      </c>
      <c r="K16" s="12">
        <v>1100</v>
      </c>
      <c r="L16" s="12">
        <v>1100</v>
      </c>
      <c r="M16" s="12">
        <v>1100</v>
      </c>
      <c r="N16" s="12">
        <v>1100</v>
      </c>
      <c r="O16" s="13">
        <f t="shared" si="1"/>
        <v>13200</v>
      </c>
    </row>
    <row r="17" spans="2:15" x14ac:dyDescent="0.2">
      <c r="B17" s="1" t="s">
        <v>39</v>
      </c>
      <c r="C17" s="12">
        <v>1500</v>
      </c>
      <c r="D17" s="12">
        <v>1500</v>
      </c>
      <c r="E17" s="12">
        <v>1500</v>
      </c>
      <c r="F17" s="12">
        <v>1500</v>
      </c>
      <c r="G17" s="12">
        <v>1500</v>
      </c>
      <c r="H17" s="12">
        <v>1500</v>
      </c>
      <c r="I17" s="12">
        <v>1500</v>
      </c>
      <c r="J17" s="12">
        <v>1500</v>
      </c>
      <c r="K17" s="12">
        <v>1500</v>
      </c>
      <c r="L17" s="12">
        <v>1500</v>
      </c>
      <c r="M17" s="12">
        <v>1500</v>
      </c>
      <c r="N17" s="12">
        <v>1500</v>
      </c>
      <c r="O17" s="13">
        <f t="shared" si="1"/>
        <v>18000</v>
      </c>
    </row>
    <row r="18" spans="2:15" x14ac:dyDescent="0.2">
      <c r="B18" s="1" t="s">
        <v>40</v>
      </c>
      <c r="C18" s="12">
        <v>1200</v>
      </c>
      <c r="D18" s="12">
        <v>1200</v>
      </c>
      <c r="E18" s="12">
        <v>1200</v>
      </c>
      <c r="F18" s="12">
        <v>1200</v>
      </c>
      <c r="G18" s="12">
        <v>1200</v>
      </c>
      <c r="H18" s="12">
        <v>1200</v>
      </c>
      <c r="I18" s="12">
        <v>1200</v>
      </c>
      <c r="J18" s="12">
        <v>1200</v>
      </c>
      <c r="K18" s="12">
        <v>1200</v>
      </c>
      <c r="L18" s="12">
        <v>1200</v>
      </c>
      <c r="M18" s="12">
        <v>1200</v>
      </c>
      <c r="N18" s="12">
        <v>1200</v>
      </c>
      <c r="O18" s="13">
        <f t="shared" si="1"/>
        <v>14400</v>
      </c>
    </row>
    <row r="19" spans="2:15" x14ac:dyDescent="0.2">
      <c r="B19" s="1" t="s">
        <v>41</v>
      </c>
      <c r="C19" s="12">
        <v>900</v>
      </c>
      <c r="D19" s="12">
        <v>900</v>
      </c>
      <c r="E19" s="12">
        <v>900</v>
      </c>
      <c r="F19" s="12">
        <v>900</v>
      </c>
      <c r="G19" s="12">
        <v>900</v>
      </c>
      <c r="H19" s="12">
        <v>900</v>
      </c>
      <c r="I19" s="12">
        <v>900</v>
      </c>
      <c r="J19" s="12">
        <v>900</v>
      </c>
      <c r="K19" s="12">
        <v>900</v>
      </c>
      <c r="L19" s="12">
        <v>900</v>
      </c>
      <c r="M19" s="12">
        <v>900</v>
      </c>
      <c r="N19" s="12">
        <v>900</v>
      </c>
      <c r="O19" s="13">
        <f t="shared" si="1"/>
        <v>10800</v>
      </c>
    </row>
    <row r="20" spans="2:15" x14ac:dyDescent="0.2">
      <c r="B20" s="1" t="s">
        <v>42</v>
      </c>
      <c r="C20" s="12">
        <v>120</v>
      </c>
      <c r="D20" s="12">
        <v>120</v>
      </c>
      <c r="E20" s="12">
        <v>120</v>
      </c>
      <c r="F20" s="12">
        <v>120</v>
      </c>
      <c r="G20" s="12">
        <v>120</v>
      </c>
      <c r="H20" s="12">
        <v>120</v>
      </c>
      <c r="I20" s="12">
        <v>120</v>
      </c>
      <c r="J20" s="12">
        <v>120</v>
      </c>
      <c r="K20" s="12">
        <v>120</v>
      </c>
      <c r="L20" s="12">
        <v>120</v>
      </c>
      <c r="M20" s="12">
        <v>120</v>
      </c>
      <c r="N20" s="12">
        <v>120</v>
      </c>
      <c r="O20" s="13">
        <f t="shared" si="1"/>
        <v>1440</v>
      </c>
    </row>
    <row r="21" spans="2:15" x14ac:dyDescent="0.2">
      <c r="B21" s="1" t="s">
        <v>43</v>
      </c>
      <c r="C21" s="12">
        <v>600</v>
      </c>
      <c r="D21" s="12">
        <v>600</v>
      </c>
      <c r="E21" s="12">
        <v>600</v>
      </c>
      <c r="F21" s="12">
        <v>600</v>
      </c>
      <c r="G21" s="12">
        <v>600</v>
      </c>
      <c r="H21" s="12">
        <v>600</v>
      </c>
      <c r="I21" s="12">
        <v>600</v>
      </c>
      <c r="J21" s="12">
        <v>600</v>
      </c>
      <c r="K21" s="12">
        <v>600</v>
      </c>
      <c r="L21" s="12">
        <v>600</v>
      </c>
      <c r="M21" s="12">
        <v>600</v>
      </c>
      <c r="N21" s="12">
        <v>600</v>
      </c>
      <c r="O21" s="13">
        <f t="shared" si="1"/>
        <v>7200</v>
      </c>
    </row>
    <row r="22" spans="2:15" x14ac:dyDescent="0.2">
      <c r="B22" s="8" t="s">
        <v>45</v>
      </c>
      <c r="C22" s="9">
        <f t="shared" ref="C22:O22" si="2">SUM(C12:C21)</f>
        <v>38043</v>
      </c>
      <c r="D22" s="9">
        <f t="shared" si="2"/>
        <v>38493</v>
      </c>
      <c r="E22" s="9">
        <f t="shared" si="2"/>
        <v>39393</v>
      </c>
      <c r="F22" s="9">
        <f t="shared" si="2"/>
        <v>39393</v>
      </c>
      <c r="G22" s="9">
        <f t="shared" si="2"/>
        <v>39843</v>
      </c>
      <c r="H22" s="9">
        <f t="shared" si="2"/>
        <v>40293</v>
      </c>
      <c r="I22" s="9">
        <f t="shared" si="2"/>
        <v>38943</v>
      </c>
      <c r="J22" s="9">
        <f t="shared" si="2"/>
        <v>37593</v>
      </c>
      <c r="K22" s="9">
        <f t="shared" si="2"/>
        <v>39843</v>
      </c>
      <c r="L22" s="9">
        <f t="shared" si="2"/>
        <v>40293</v>
      </c>
      <c r="M22" s="9">
        <f t="shared" si="2"/>
        <v>40293</v>
      </c>
      <c r="N22" s="9">
        <f t="shared" si="2"/>
        <v>41193</v>
      </c>
      <c r="O22" s="9">
        <f t="shared" si="2"/>
        <v>473616</v>
      </c>
    </row>
    <row r="23" spans="2:15" x14ac:dyDescent="0.2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3"/>
    </row>
    <row r="24" spans="2:15" x14ac:dyDescent="0.2">
      <c r="B24" s="6" t="s">
        <v>46</v>
      </c>
      <c r="C24" s="13">
        <f t="shared" ref="C24:O24" si="3">C9-C22</f>
        <v>13357</v>
      </c>
      <c r="D24" s="13">
        <f t="shared" si="3"/>
        <v>15907</v>
      </c>
      <c r="E24" s="13">
        <f t="shared" si="3"/>
        <v>21107</v>
      </c>
      <c r="F24" s="13">
        <f t="shared" si="3"/>
        <v>21107</v>
      </c>
      <c r="G24" s="13">
        <f t="shared" si="3"/>
        <v>23657</v>
      </c>
      <c r="H24" s="13">
        <f t="shared" si="3"/>
        <v>26307</v>
      </c>
      <c r="I24" s="13">
        <f t="shared" si="3"/>
        <v>18557</v>
      </c>
      <c r="J24" s="13">
        <f t="shared" si="3"/>
        <v>10807</v>
      </c>
      <c r="K24" s="13">
        <f t="shared" si="3"/>
        <v>23657</v>
      </c>
      <c r="L24" s="13">
        <f t="shared" si="3"/>
        <v>26307</v>
      </c>
      <c r="M24" s="13">
        <f t="shared" si="3"/>
        <v>26307</v>
      </c>
      <c r="N24" s="13">
        <f t="shared" si="3"/>
        <v>31407</v>
      </c>
      <c r="O24" s="13">
        <f t="shared" si="3"/>
        <v>258484</v>
      </c>
    </row>
    <row r="25" spans="2:15" x14ac:dyDescent="0.2">
      <c r="B25" s="1" t="s">
        <v>47</v>
      </c>
      <c r="C25" s="14">
        <f t="shared" ref="C25:N25" si="4">IF(Regim=INDEX(ListaRegim,1),ROUND(C9*CotaMicro,0),ROUND(MAX(0,C24)*CotaProfit,0))</f>
        <v>514</v>
      </c>
      <c r="D25" s="14">
        <f t="shared" si="4"/>
        <v>544</v>
      </c>
      <c r="E25" s="14">
        <f t="shared" si="4"/>
        <v>605</v>
      </c>
      <c r="F25" s="14">
        <f t="shared" si="4"/>
        <v>605</v>
      </c>
      <c r="G25" s="14">
        <f t="shared" si="4"/>
        <v>635</v>
      </c>
      <c r="H25" s="14">
        <f t="shared" si="4"/>
        <v>666</v>
      </c>
      <c r="I25" s="14">
        <f t="shared" si="4"/>
        <v>575</v>
      </c>
      <c r="J25" s="14">
        <f t="shared" si="4"/>
        <v>484</v>
      </c>
      <c r="K25" s="14">
        <f t="shared" si="4"/>
        <v>635</v>
      </c>
      <c r="L25" s="14">
        <f t="shared" si="4"/>
        <v>666</v>
      </c>
      <c r="M25" s="14">
        <f t="shared" si="4"/>
        <v>666</v>
      </c>
      <c r="N25" s="14">
        <f t="shared" si="4"/>
        <v>726</v>
      </c>
      <c r="O25" s="13">
        <f>IF(Regim=INDEX(ListaRegim,1),SUM(C25:N25),ROUND(MAX(0,O24)*CotaProfit,0))</f>
        <v>7321</v>
      </c>
    </row>
    <row r="26" spans="2:15" x14ac:dyDescent="0.2">
      <c r="B26" s="16" t="s">
        <v>48</v>
      </c>
      <c r="C26" s="17">
        <f t="shared" ref="C26:O26" si="5">C24-C25</f>
        <v>12843</v>
      </c>
      <c r="D26" s="17">
        <f t="shared" si="5"/>
        <v>15363</v>
      </c>
      <c r="E26" s="17">
        <f t="shared" si="5"/>
        <v>20502</v>
      </c>
      <c r="F26" s="17">
        <f t="shared" si="5"/>
        <v>20502</v>
      </c>
      <c r="G26" s="17">
        <f t="shared" si="5"/>
        <v>23022</v>
      </c>
      <c r="H26" s="17">
        <f t="shared" si="5"/>
        <v>25641</v>
      </c>
      <c r="I26" s="17">
        <f t="shared" si="5"/>
        <v>17982</v>
      </c>
      <c r="J26" s="17">
        <f t="shared" si="5"/>
        <v>10323</v>
      </c>
      <c r="K26" s="17">
        <f t="shared" si="5"/>
        <v>23022</v>
      </c>
      <c r="L26" s="17">
        <f t="shared" si="5"/>
        <v>25641</v>
      </c>
      <c r="M26" s="17">
        <f t="shared" si="5"/>
        <v>25641</v>
      </c>
      <c r="N26" s="17">
        <f t="shared" si="5"/>
        <v>30681</v>
      </c>
      <c r="O26" s="17">
        <f t="shared" si="5"/>
        <v>251163</v>
      </c>
    </row>
    <row r="27" spans="2:15" x14ac:dyDescent="0.2">
      <c r="B27" s="18" t="s">
        <v>49</v>
      </c>
      <c r="C27" s="19">
        <f t="shared" ref="C27:O27" si="6">IF(N(C9)=0,"",C26/C9)</f>
        <v>0.24986381322957199</v>
      </c>
      <c r="D27" s="19">
        <f t="shared" si="6"/>
        <v>0.28240808823529412</v>
      </c>
      <c r="E27" s="19">
        <f t="shared" si="6"/>
        <v>0.33887603305785124</v>
      </c>
      <c r="F27" s="19">
        <f t="shared" si="6"/>
        <v>0.33887603305785124</v>
      </c>
      <c r="G27" s="19">
        <f t="shared" si="6"/>
        <v>0.36255118110236223</v>
      </c>
      <c r="H27" s="19">
        <f t="shared" si="6"/>
        <v>0.38500000000000001</v>
      </c>
      <c r="I27" s="19">
        <f t="shared" si="6"/>
        <v>0.3127304347826087</v>
      </c>
      <c r="J27" s="19">
        <f t="shared" si="6"/>
        <v>0.21328512396694216</v>
      </c>
      <c r="K27" s="19">
        <f t="shared" si="6"/>
        <v>0.36255118110236223</v>
      </c>
      <c r="L27" s="19">
        <f t="shared" si="6"/>
        <v>0.38500000000000001</v>
      </c>
      <c r="M27" s="19">
        <f t="shared" si="6"/>
        <v>0.38500000000000001</v>
      </c>
      <c r="N27" s="19">
        <f t="shared" si="6"/>
        <v>0.42260330578512395</v>
      </c>
      <c r="O27" s="20">
        <f t="shared" si="6"/>
        <v>0.34307198470154349</v>
      </c>
    </row>
    <row r="1000" spans="702:702" ht="15" x14ac:dyDescent="0.25">
      <c r="ZZ1000"/>
    </row>
  </sheetData>
  <conditionalFormatting sqref="C24:O24">
    <cfRule type="expression" dxfId="7" priority="1" stopIfTrue="1">
      <formula>C24&lt;0</formula>
    </cfRule>
  </conditionalFormatting>
  <pageMargins left="0.7" right="0.7" top="0.75" bottom="0.75" header="0.3" footer="0.3"/>
  <pageSetup scale="69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5A49-8043-4ADE-8849-406B9E483340}">
  <sheetPr>
    <pageSetUpPr fitToPage="1"/>
  </sheetPr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36.7109375" style="1" customWidth="1"/>
    <col min="3" max="14" width="10.28515625" style="1" customWidth="1"/>
    <col min="15" max="15" width="12.7109375" style="1" customWidth="1"/>
    <col min="16" max="16384" width="11.42578125" style="1"/>
  </cols>
  <sheetData>
    <row r="1" spans="2:15" ht="21" x14ac:dyDescent="0.35">
      <c r="B1" s="2" t="s">
        <v>50</v>
      </c>
    </row>
    <row r="2" spans="2:15" x14ac:dyDescent="0.2">
      <c r="B2" s="6" t="str">
        <f>FirmaBVC&amp;" – anul "&amp;AnBVC</f>
        <v>Exemplu Servicii SRL – anul 2026</v>
      </c>
      <c r="E2" s="7" t="s">
        <v>51</v>
      </c>
    </row>
    <row r="4" spans="2:15" x14ac:dyDescent="0.2"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</row>
    <row r="5" spans="2:15" x14ac:dyDescent="0.2">
      <c r="B5" s="11" t="s">
        <v>29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2:15" x14ac:dyDescent="0.2">
      <c r="B6" s="1" t="str">
        <f>Buget!B6</f>
        <v>Vânzări de produse / mărfuri</v>
      </c>
      <c r="C6" s="12">
        <v>14740</v>
      </c>
      <c r="D6" s="12">
        <v>16460</v>
      </c>
      <c r="E6" s="12">
        <v>17010</v>
      </c>
      <c r="F6" s="12">
        <v>19940</v>
      </c>
      <c r="G6" s="12">
        <v>19330</v>
      </c>
      <c r="H6" s="12">
        <v>17060</v>
      </c>
      <c r="I6" s="12">
        <v>19590</v>
      </c>
      <c r="J6" s="12">
        <v>13800</v>
      </c>
      <c r="K6" s="12">
        <v>19550</v>
      </c>
      <c r="L6" s="12"/>
      <c r="M6" s="12"/>
      <c r="N6" s="12"/>
      <c r="O6" s="13">
        <f>SUM(C6:N6)</f>
        <v>157480</v>
      </c>
    </row>
    <row r="7" spans="2:15" x14ac:dyDescent="0.2">
      <c r="B7" s="1" t="str">
        <f>Buget!B7</f>
        <v>Prestări de servicii</v>
      </c>
      <c r="C7" s="12">
        <v>35400</v>
      </c>
      <c r="D7" s="12">
        <v>40210</v>
      </c>
      <c r="E7" s="12">
        <v>37540</v>
      </c>
      <c r="F7" s="12">
        <v>46390</v>
      </c>
      <c r="G7" s="12">
        <v>45650</v>
      </c>
      <c r="H7" s="12">
        <v>41440</v>
      </c>
      <c r="I7" s="12">
        <v>44490</v>
      </c>
      <c r="J7" s="12">
        <v>31890</v>
      </c>
      <c r="K7" s="12">
        <v>45610</v>
      </c>
      <c r="L7" s="12"/>
      <c r="M7" s="12"/>
      <c r="N7" s="12"/>
      <c r="O7" s="13">
        <f>SUM(C7:N7)</f>
        <v>368620</v>
      </c>
    </row>
    <row r="8" spans="2:15" x14ac:dyDescent="0.2">
      <c r="B8" s="1" t="str">
        <f>Buget!B8</f>
        <v>Alte venituri</v>
      </c>
      <c r="C8" s="12">
        <v>390</v>
      </c>
      <c r="D8" s="12">
        <v>410</v>
      </c>
      <c r="E8" s="12">
        <v>460</v>
      </c>
      <c r="F8" s="12">
        <v>550</v>
      </c>
      <c r="G8" s="12">
        <v>510</v>
      </c>
      <c r="H8" s="12">
        <v>520</v>
      </c>
      <c r="I8" s="12">
        <v>550</v>
      </c>
      <c r="J8" s="12">
        <v>370</v>
      </c>
      <c r="K8" s="12">
        <v>500</v>
      </c>
      <c r="L8" s="12"/>
      <c r="M8" s="12"/>
      <c r="N8" s="12"/>
      <c r="O8" s="13">
        <f>SUM(C8:N8)</f>
        <v>4260</v>
      </c>
    </row>
    <row r="9" spans="2:15" x14ac:dyDescent="0.2">
      <c r="B9" s="8" t="s">
        <v>44</v>
      </c>
      <c r="C9" s="9">
        <f t="shared" ref="C9:O9" si="0">SUM(C6:C8)</f>
        <v>50530</v>
      </c>
      <c r="D9" s="9">
        <f t="shared" si="0"/>
        <v>57080</v>
      </c>
      <c r="E9" s="9">
        <f t="shared" si="0"/>
        <v>55010</v>
      </c>
      <c r="F9" s="9">
        <f t="shared" si="0"/>
        <v>66880</v>
      </c>
      <c r="G9" s="9">
        <f t="shared" si="0"/>
        <v>65490</v>
      </c>
      <c r="H9" s="9">
        <f t="shared" si="0"/>
        <v>59020</v>
      </c>
      <c r="I9" s="9">
        <f t="shared" si="0"/>
        <v>64630</v>
      </c>
      <c r="J9" s="9">
        <f t="shared" si="0"/>
        <v>46060</v>
      </c>
      <c r="K9" s="9">
        <f t="shared" si="0"/>
        <v>65660</v>
      </c>
      <c r="L9" s="9">
        <f t="shared" si="0"/>
        <v>0</v>
      </c>
      <c r="M9" s="9">
        <f t="shared" si="0"/>
        <v>0</v>
      </c>
      <c r="N9" s="9">
        <f t="shared" si="0"/>
        <v>0</v>
      </c>
      <c r="O9" s="9">
        <f t="shared" si="0"/>
        <v>530360</v>
      </c>
    </row>
    <row r="10" spans="2:15" x14ac:dyDescent="0.2"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</row>
    <row r="11" spans="2:15" x14ac:dyDescent="0.2">
      <c r="B11" s="11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2:15" x14ac:dyDescent="0.2">
      <c r="B12" s="1" t="str">
        <f>Buget!B12</f>
        <v>Mărfuri și materii prime</v>
      </c>
      <c r="C12" s="12">
        <v>7315</v>
      </c>
      <c r="D12" s="12">
        <v>8477</v>
      </c>
      <c r="E12" s="12">
        <v>9326</v>
      </c>
      <c r="F12" s="12">
        <v>8684</v>
      </c>
      <c r="G12" s="12">
        <v>9905</v>
      </c>
      <c r="H12" s="12">
        <v>9434</v>
      </c>
      <c r="I12" s="12">
        <v>8518</v>
      </c>
      <c r="J12" s="12">
        <v>7020</v>
      </c>
      <c r="K12" s="12">
        <v>9854</v>
      </c>
      <c r="L12" s="12"/>
      <c r="M12" s="12"/>
      <c r="N12" s="12"/>
      <c r="O12" s="13">
        <f t="shared" ref="O12:O21" si="1">SUM(C12:N12)</f>
        <v>78533</v>
      </c>
    </row>
    <row r="13" spans="2:15" x14ac:dyDescent="0.2">
      <c r="B13" s="1" t="str">
        <f>Buget!B13</f>
        <v>Salarii brute</v>
      </c>
      <c r="C13" s="12">
        <v>20873</v>
      </c>
      <c r="D13" s="12">
        <v>20795</v>
      </c>
      <c r="E13" s="12">
        <v>21894</v>
      </c>
      <c r="F13" s="12">
        <v>20115</v>
      </c>
      <c r="G13" s="12">
        <v>21705</v>
      </c>
      <c r="H13" s="12">
        <v>22005</v>
      </c>
      <c r="I13" s="12">
        <v>20439</v>
      </c>
      <c r="J13" s="12">
        <v>22121</v>
      </c>
      <c r="K13" s="12">
        <v>21885</v>
      </c>
      <c r="L13" s="12"/>
      <c r="M13" s="12"/>
      <c r="N13" s="12"/>
      <c r="O13" s="13">
        <f t="shared" si="1"/>
        <v>191832</v>
      </c>
    </row>
    <row r="14" spans="2:15" x14ac:dyDescent="0.2">
      <c r="B14" s="1" t="str">
        <f>Buget!B14</f>
        <v>Contribuții angajator (CAM)</v>
      </c>
      <c r="C14" s="12">
        <v>488</v>
      </c>
      <c r="D14" s="12">
        <v>499</v>
      </c>
      <c r="E14" s="12">
        <v>466</v>
      </c>
      <c r="F14" s="12">
        <v>483</v>
      </c>
      <c r="G14" s="12">
        <v>460</v>
      </c>
      <c r="H14" s="12">
        <v>482</v>
      </c>
      <c r="I14" s="12">
        <v>468</v>
      </c>
      <c r="J14" s="12">
        <v>460</v>
      </c>
      <c r="K14" s="12">
        <v>478</v>
      </c>
      <c r="L14" s="12"/>
      <c r="M14" s="12"/>
      <c r="N14" s="12"/>
      <c r="O14" s="13">
        <f t="shared" si="1"/>
        <v>4284</v>
      </c>
    </row>
    <row r="15" spans="2:15" x14ac:dyDescent="0.2">
      <c r="B15" s="1" t="str">
        <f>Buget!B15</f>
        <v>Chirie</v>
      </c>
      <c r="C15" s="12">
        <v>3343</v>
      </c>
      <c r="D15" s="12">
        <v>3336</v>
      </c>
      <c r="E15" s="12">
        <v>3372</v>
      </c>
      <c r="F15" s="12">
        <v>3728</v>
      </c>
      <c r="G15" s="12">
        <v>3605</v>
      </c>
      <c r="H15" s="12">
        <v>3599</v>
      </c>
      <c r="I15" s="12">
        <v>3533</v>
      </c>
      <c r="J15" s="12">
        <v>3745</v>
      </c>
      <c r="K15" s="12">
        <v>3483</v>
      </c>
      <c r="L15" s="12"/>
      <c r="M15" s="12"/>
      <c r="N15" s="12"/>
      <c r="O15" s="13">
        <f t="shared" si="1"/>
        <v>31744</v>
      </c>
    </row>
    <row r="16" spans="2:15" x14ac:dyDescent="0.2">
      <c r="B16" s="1" t="str">
        <f>Buget!B16</f>
        <v>Utilități</v>
      </c>
      <c r="C16" s="12">
        <v>1171</v>
      </c>
      <c r="D16" s="12">
        <v>1144</v>
      </c>
      <c r="E16" s="12">
        <v>1067</v>
      </c>
      <c r="F16" s="12">
        <v>1140</v>
      </c>
      <c r="G16" s="12">
        <v>1090</v>
      </c>
      <c r="H16" s="12">
        <v>1150</v>
      </c>
      <c r="I16" s="12">
        <v>1164</v>
      </c>
      <c r="J16" s="12">
        <v>1175</v>
      </c>
      <c r="K16" s="12">
        <v>1122</v>
      </c>
      <c r="L16" s="12"/>
      <c r="M16" s="12"/>
      <c r="N16" s="12"/>
      <c r="O16" s="13">
        <f t="shared" si="1"/>
        <v>10223</v>
      </c>
    </row>
    <row r="17" spans="2:15" x14ac:dyDescent="0.2">
      <c r="B17" s="1" t="str">
        <f>Buget!B17</f>
        <v>Marketing și publicitate</v>
      </c>
      <c r="C17" s="12">
        <v>1577</v>
      </c>
      <c r="D17" s="12">
        <v>1527</v>
      </c>
      <c r="E17" s="12">
        <v>1441</v>
      </c>
      <c r="F17" s="12">
        <v>1527</v>
      </c>
      <c r="G17" s="12">
        <v>1555</v>
      </c>
      <c r="H17" s="12">
        <v>1593</v>
      </c>
      <c r="I17" s="12">
        <v>2400</v>
      </c>
      <c r="J17" s="12">
        <v>2400</v>
      </c>
      <c r="K17" s="12">
        <v>2400</v>
      </c>
      <c r="L17" s="12"/>
      <c r="M17" s="12"/>
      <c r="N17" s="12"/>
      <c r="O17" s="13">
        <f t="shared" si="1"/>
        <v>16420</v>
      </c>
    </row>
    <row r="18" spans="2:15" x14ac:dyDescent="0.2">
      <c r="B18" s="1" t="str">
        <f>Buget!B18</f>
        <v>Transport și combustibil</v>
      </c>
      <c r="C18" s="12">
        <v>1263</v>
      </c>
      <c r="D18" s="12">
        <v>1165</v>
      </c>
      <c r="E18" s="12">
        <v>1150</v>
      </c>
      <c r="F18" s="12">
        <v>1260</v>
      </c>
      <c r="G18" s="12">
        <v>1143</v>
      </c>
      <c r="H18" s="12">
        <v>1161</v>
      </c>
      <c r="I18" s="12">
        <v>1169</v>
      </c>
      <c r="J18" s="12">
        <v>1160</v>
      </c>
      <c r="K18" s="12">
        <v>1174</v>
      </c>
      <c r="L18" s="12"/>
      <c r="M18" s="12"/>
      <c r="N18" s="12"/>
      <c r="O18" s="13">
        <f t="shared" si="1"/>
        <v>10645</v>
      </c>
    </row>
    <row r="19" spans="2:15" x14ac:dyDescent="0.2">
      <c r="B19" s="1" t="str">
        <f>Buget!B19</f>
        <v>Servicii externe (contabilitate, IT etc.)</v>
      </c>
      <c r="C19" s="12">
        <v>903</v>
      </c>
      <c r="D19" s="12">
        <v>907</v>
      </c>
      <c r="E19" s="12">
        <v>945</v>
      </c>
      <c r="F19" s="12">
        <v>871</v>
      </c>
      <c r="G19" s="12">
        <v>906</v>
      </c>
      <c r="H19" s="12">
        <v>864</v>
      </c>
      <c r="I19" s="12">
        <v>916</v>
      </c>
      <c r="J19" s="12">
        <v>902</v>
      </c>
      <c r="K19" s="12">
        <v>858</v>
      </c>
      <c r="L19" s="12"/>
      <c r="M19" s="12"/>
      <c r="N19" s="12"/>
      <c r="O19" s="13">
        <f t="shared" si="1"/>
        <v>8072</v>
      </c>
    </row>
    <row r="20" spans="2:15" x14ac:dyDescent="0.2">
      <c r="B20" s="1" t="str">
        <f>Buget!B20</f>
        <v>Comisioane bancare</v>
      </c>
      <c r="C20" s="12">
        <v>127</v>
      </c>
      <c r="D20" s="12">
        <v>120</v>
      </c>
      <c r="E20" s="12">
        <v>116</v>
      </c>
      <c r="F20" s="12">
        <v>117</v>
      </c>
      <c r="G20" s="12">
        <v>116</v>
      </c>
      <c r="H20" s="12">
        <v>120</v>
      </c>
      <c r="I20" s="12">
        <v>118</v>
      </c>
      <c r="J20" s="12">
        <v>122</v>
      </c>
      <c r="K20" s="12">
        <v>119</v>
      </c>
      <c r="L20" s="12"/>
      <c r="M20" s="12"/>
      <c r="N20" s="12"/>
      <c r="O20" s="13">
        <f t="shared" si="1"/>
        <v>1075</v>
      </c>
    </row>
    <row r="21" spans="2:15" x14ac:dyDescent="0.2">
      <c r="B21" s="1" t="str">
        <f>Buget!B21</f>
        <v>Alte cheltuieli</v>
      </c>
      <c r="C21" s="12">
        <v>602</v>
      </c>
      <c r="D21" s="12">
        <v>572</v>
      </c>
      <c r="E21" s="12">
        <v>609</v>
      </c>
      <c r="F21" s="12">
        <v>633</v>
      </c>
      <c r="G21" s="12">
        <v>576</v>
      </c>
      <c r="H21" s="12">
        <v>578</v>
      </c>
      <c r="I21" s="12">
        <v>597</v>
      </c>
      <c r="J21" s="12">
        <v>571</v>
      </c>
      <c r="K21" s="12">
        <v>629</v>
      </c>
      <c r="L21" s="12"/>
      <c r="M21" s="12"/>
      <c r="N21" s="12"/>
      <c r="O21" s="13">
        <f t="shared" si="1"/>
        <v>5367</v>
      </c>
    </row>
    <row r="22" spans="2:15" x14ac:dyDescent="0.2">
      <c r="B22" s="8" t="s">
        <v>45</v>
      </c>
      <c r="C22" s="9">
        <f t="shared" ref="C22:O22" si="2">SUM(C12:C21)</f>
        <v>37662</v>
      </c>
      <c r="D22" s="9">
        <f t="shared" si="2"/>
        <v>38542</v>
      </c>
      <c r="E22" s="9">
        <f t="shared" si="2"/>
        <v>40386</v>
      </c>
      <c r="F22" s="9">
        <f t="shared" si="2"/>
        <v>38558</v>
      </c>
      <c r="G22" s="9">
        <f t="shared" si="2"/>
        <v>41061</v>
      </c>
      <c r="H22" s="9">
        <f t="shared" si="2"/>
        <v>40986</v>
      </c>
      <c r="I22" s="9">
        <f t="shared" si="2"/>
        <v>39322</v>
      </c>
      <c r="J22" s="9">
        <f t="shared" si="2"/>
        <v>39676</v>
      </c>
      <c r="K22" s="9">
        <f t="shared" si="2"/>
        <v>42002</v>
      </c>
      <c r="L22" s="9">
        <f t="shared" si="2"/>
        <v>0</v>
      </c>
      <c r="M22" s="9">
        <f t="shared" si="2"/>
        <v>0</v>
      </c>
      <c r="N22" s="9">
        <f t="shared" si="2"/>
        <v>0</v>
      </c>
      <c r="O22" s="9">
        <f t="shared" si="2"/>
        <v>358195</v>
      </c>
    </row>
    <row r="23" spans="2:15" x14ac:dyDescent="0.2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3"/>
    </row>
    <row r="24" spans="2:15" x14ac:dyDescent="0.2">
      <c r="B24" s="6" t="s">
        <v>46</v>
      </c>
      <c r="C24" s="13">
        <f t="shared" ref="C24:O24" si="3">C9-C22</f>
        <v>12868</v>
      </c>
      <c r="D24" s="13">
        <f t="shared" si="3"/>
        <v>18538</v>
      </c>
      <c r="E24" s="13">
        <f t="shared" si="3"/>
        <v>14624</v>
      </c>
      <c r="F24" s="13">
        <f t="shared" si="3"/>
        <v>28322</v>
      </c>
      <c r="G24" s="13">
        <f t="shared" si="3"/>
        <v>24429</v>
      </c>
      <c r="H24" s="13">
        <f t="shared" si="3"/>
        <v>18034</v>
      </c>
      <c r="I24" s="13">
        <f t="shared" si="3"/>
        <v>25308</v>
      </c>
      <c r="J24" s="13">
        <f t="shared" si="3"/>
        <v>6384</v>
      </c>
      <c r="K24" s="13">
        <f t="shared" si="3"/>
        <v>23658</v>
      </c>
      <c r="L24" s="13">
        <f t="shared" si="3"/>
        <v>0</v>
      </c>
      <c r="M24" s="13">
        <f t="shared" si="3"/>
        <v>0</v>
      </c>
      <c r="N24" s="13">
        <f t="shared" si="3"/>
        <v>0</v>
      </c>
      <c r="O24" s="13">
        <f t="shared" si="3"/>
        <v>172165</v>
      </c>
    </row>
    <row r="25" spans="2:15" x14ac:dyDescent="0.2">
      <c r="B25" s="1" t="s">
        <v>47</v>
      </c>
      <c r="C25" s="14">
        <f t="shared" ref="C25:N25" si="4">IF(Regim=INDEX(ListaRegim,1),ROUND(C9*CotaMicro,0),ROUND(MAX(0,C24)*CotaProfit,0))</f>
        <v>505</v>
      </c>
      <c r="D25" s="14">
        <f t="shared" si="4"/>
        <v>571</v>
      </c>
      <c r="E25" s="14">
        <f t="shared" si="4"/>
        <v>550</v>
      </c>
      <c r="F25" s="14">
        <f t="shared" si="4"/>
        <v>669</v>
      </c>
      <c r="G25" s="14">
        <f t="shared" si="4"/>
        <v>655</v>
      </c>
      <c r="H25" s="14">
        <f t="shared" si="4"/>
        <v>590</v>
      </c>
      <c r="I25" s="14">
        <f t="shared" si="4"/>
        <v>646</v>
      </c>
      <c r="J25" s="14">
        <f t="shared" si="4"/>
        <v>461</v>
      </c>
      <c r="K25" s="14">
        <f t="shared" si="4"/>
        <v>657</v>
      </c>
      <c r="L25" s="14">
        <f t="shared" si="4"/>
        <v>0</v>
      </c>
      <c r="M25" s="14">
        <f t="shared" si="4"/>
        <v>0</v>
      </c>
      <c r="N25" s="14">
        <f t="shared" si="4"/>
        <v>0</v>
      </c>
      <c r="O25" s="13">
        <f>IF(Regim=INDEX(ListaRegim,1),SUM(C25:N25),ROUND(MAX(0,O24)*CotaProfit,0))</f>
        <v>5304</v>
      </c>
    </row>
    <row r="26" spans="2:15" x14ac:dyDescent="0.2">
      <c r="B26" s="16" t="s">
        <v>48</v>
      </c>
      <c r="C26" s="17">
        <f t="shared" ref="C26:O26" si="5">C24-C25</f>
        <v>12363</v>
      </c>
      <c r="D26" s="17">
        <f t="shared" si="5"/>
        <v>17967</v>
      </c>
      <c r="E26" s="17">
        <f t="shared" si="5"/>
        <v>14074</v>
      </c>
      <c r="F26" s="17">
        <f t="shared" si="5"/>
        <v>27653</v>
      </c>
      <c r="G26" s="17">
        <f t="shared" si="5"/>
        <v>23774</v>
      </c>
      <c r="H26" s="17">
        <f t="shared" si="5"/>
        <v>17444</v>
      </c>
      <c r="I26" s="17">
        <f t="shared" si="5"/>
        <v>24662</v>
      </c>
      <c r="J26" s="17">
        <f t="shared" si="5"/>
        <v>5923</v>
      </c>
      <c r="K26" s="17">
        <f t="shared" si="5"/>
        <v>23001</v>
      </c>
      <c r="L26" s="17">
        <f t="shared" si="5"/>
        <v>0</v>
      </c>
      <c r="M26" s="17">
        <f t="shared" si="5"/>
        <v>0</v>
      </c>
      <c r="N26" s="17">
        <f t="shared" si="5"/>
        <v>0</v>
      </c>
      <c r="O26" s="17">
        <f t="shared" si="5"/>
        <v>166861</v>
      </c>
    </row>
    <row r="27" spans="2:15" x14ac:dyDescent="0.2">
      <c r="B27" s="18" t="s">
        <v>49</v>
      </c>
      <c r="C27" s="19">
        <f t="shared" ref="C27:O27" si="6">IF(N(C9)=0,"",C26/C9)</f>
        <v>0.24466653473184247</v>
      </c>
      <c r="D27" s="19">
        <f t="shared" si="6"/>
        <v>0.3147687456201822</v>
      </c>
      <c r="E27" s="19">
        <f t="shared" si="6"/>
        <v>0.25584439192874026</v>
      </c>
      <c r="F27" s="19">
        <f t="shared" si="6"/>
        <v>0.41347188995215312</v>
      </c>
      <c r="G27" s="19">
        <f t="shared" si="6"/>
        <v>0.36301725454267825</v>
      </c>
      <c r="H27" s="19">
        <f t="shared" si="6"/>
        <v>0.29556082683835988</v>
      </c>
      <c r="I27" s="19">
        <f t="shared" si="6"/>
        <v>0.38158749806591369</v>
      </c>
      <c r="J27" s="19">
        <f t="shared" si="6"/>
        <v>0.12859313938341294</v>
      </c>
      <c r="K27" s="19">
        <f t="shared" si="6"/>
        <v>0.35030459945172099</v>
      </c>
      <c r="L27" s="19" t="str">
        <f t="shared" si="6"/>
        <v/>
      </c>
      <c r="M27" s="19" t="str">
        <f t="shared" si="6"/>
        <v/>
      </c>
      <c r="N27" s="19" t="str">
        <f t="shared" si="6"/>
        <v/>
      </c>
      <c r="O27" s="20">
        <f t="shared" si="6"/>
        <v>0.31461837242627649</v>
      </c>
    </row>
    <row r="1000" spans="702:702" ht="15" x14ac:dyDescent="0.25">
      <c r="ZZ1000"/>
    </row>
  </sheetData>
  <conditionalFormatting sqref="C24:O24">
    <cfRule type="expression" dxfId="6" priority="1" stopIfTrue="1">
      <formula>C24&lt;0</formula>
    </cfRule>
  </conditionalFormatting>
  <pageMargins left="0.7" right="0.7" top="0.75" bottom="0.75" header="0.3" footer="0.3"/>
  <pageSetup scale="69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40A5-5E55-44B1-9403-94D462B99645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11" width="12.7109375" style="1" customWidth="1"/>
    <col min="12" max="13" width="11.42578125" style="1"/>
    <col min="14" max="16" width="0" style="1" hidden="1" customWidth="1"/>
    <col min="17" max="16384" width="11.42578125" style="1"/>
  </cols>
  <sheetData>
    <row r="1" spans="2:16" ht="21" x14ac:dyDescent="0.35">
      <c r="B1" s="2" t="s">
        <v>52</v>
      </c>
    </row>
    <row r="2" spans="2:16" x14ac:dyDescent="0.2">
      <c r="B2" s="6" t="str">
        <f>FirmaBVC&amp;" – anul "&amp;AnBVC</f>
        <v>Exemplu Servicii SRL – anul 2026</v>
      </c>
      <c r="E2" s="7" t="s">
        <v>53</v>
      </c>
    </row>
    <row r="4" spans="2:16" ht="44.1" customHeight="1" x14ac:dyDescent="0.2">
      <c r="B4" s="21" t="s">
        <v>54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1" t="s">
        <v>60</v>
      </c>
      <c r="I4" s="21" t="s">
        <v>61</v>
      </c>
      <c r="J4" s="21" t="s">
        <v>62</v>
      </c>
      <c r="K4" s="21" t="s">
        <v>63</v>
      </c>
      <c r="N4" s="1" t="s">
        <v>56</v>
      </c>
      <c r="O4" s="1" t="s">
        <v>59</v>
      </c>
      <c r="P4" s="1" t="s">
        <v>61</v>
      </c>
    </row>
    <row r="5" spans="2:16" x14ac:dyDescent="0.2">
      <c r="B5" s="22" t="s">
        <v>16</v>
      </c>
      <c r="C5" s="23">
        <f>Buget!C9</f>
        <v>51400</v>
      </c>
      <c r="D5" s="23">
        <f>IF(Realizat!C9=0,"",Realizat!C9)</f>
        <v>50530</v>
      </c>
      <c r="E5" s="24">
        <f t="shared" ref="E5:E16" si="0">IF(OR(D5="",C5=0),"",D5/C5-1)</f>
        <v>-1.6926070038910557E-2</v>
      </c>
      <c r="F5" s="23">
        <f>Buget!C22</f>
        <v>38043</v>
      </c>
      <c r="G5" s="23">
        <f>IF(D5="","",Realizat!C22)</f>
        <v>37662</v>
      </c>
      <c r="H5" s="24">
        <f t="shared" ref="H5:H16" si="1">IF(OR(G5="",F5=0),"",G5/F5-1)</f>
        <v>-1.0014983045501191E-2</v>
      </c>
      <c r="I5" s="23">
        <f>IF(D5="","",Realizat!C26)</f>
        <v>12363</v>
      </c>
      <c r="J5" s="25">
        <f t="shared" ref="J5:J16" si="2">IF(D5="","",I5/D5)</f>
        <v>0.24466653473184247</v>
      </c>
      <c r="K5" s="24"/>
      <c r="N5" s="1">
        <f t="shared" ref="N5:N16" si="3">IF(D5="",NA(),D5)</f>
        <v>50530</v>
      </c>
      <c r="O5" s="1">
        <f t="shared" ref="O5:O16" si="4">IF(D5="",NA(),G5)</f>
        <v>37662</v>
      </c>
      <c r="P5" s="1">
        <f t="shared" ref="P5:P16" si="5">IF(D5="",NA(),I5)</f>
        <v>12363</v>
      </c>
    </row>
    <row r="6" spans="2:16" x14ac:dyDescent="0.2">
      <c r="B6" s="22" t="s">
        <v>17</v>
      </c>
      <c r="C6" s="23">
        <f>Buget!D9</f>
        <v>54400</v>
      </c>
      <c r="D6" s="23">
        <f>IF(Realizat!D9=0,"",Realizat!D9)</f>
        <v>57080</v>
      </c>
      <c r="E6" s="24">
        <f t="shared" si="0"/>
        <v>4.9264705882352988E-2</v>
      </c>
      <c r="F6" s="23">
        <f>Buget!D22</f>
        <v>38493</v>
      </c>
      <c r="G6" s="23">
        <f>IF(D6="","",Realizat!D22)</f>
        <v>38542</v>
      </c>
      <c r="H6" s="24">
        <f t="shared" si="1"/>
        <v>1.272958719767292E-3</v>
      </c>
      <c r="I6" s="23">
        <f>IF(D6="","",Realizat!D26)</f>
        <v>17967</v>
      </c>
      <c r="J6" s="25">
        <f t="shared" si="2"/>
        <v>0.3147687456201822</v>
      </c>
      <c r="K6" s="24">
        <f t="shared" ref="K6:K16" si="6">IF(OR(I6="",I5="",I5=0),"",I6/ABS(I5)-SIGN(I5))</f>
        <v>0.45328803688425134</v>
      </c>
      <c r="N6" s="1">
        <f t="shared" si="3"/>
        <v>57080</v>
      </c>
      <c r="O6" s="1">
        <f t="shared" si="4"/>
        <v>38542</v>
      </c>
      <c r="P6" s="1">
        <f t="shared" si="5"/>
        <v>17967</v>
      </c>
    </row>
    <row r="7" spans="2:16" x14ac:dyDescent="0.2">
      <c r="B7" s="22" t="s">
        <v>18</v>
      </c>
      <c r="C7" s="23">
        <f>Buget!E9</f>
        <v>60500</v>
      </c>
      <c r="D7" s="23">
        <f>IF(Realizat!E9=0,"",Realizat!E9)</f>
        <v>55010</v>
      </c>
      <c r="E7" s="24">
        <f t="shared" si="0"/>
        <v>-9.0743801652892531E-2</v>
      </c>
      <c r="F7" s="23">
        <f>Buget!E22</f>
        <v>39393</v>
      </c>
      <c r="G7" s="23">
        <f>IF(D7="","",Realizat!E22)</f>
        <v>40386</v>
      </c>
      <c r="H7" s="24">
        <f t="shared" si="1"/>
        <v>2.5207524179422736E-2</v>
      </c>
      <c r="I7" s="23">
        <f>IF(D7="","",Realizat!E26)</f>
        <v>14074</v>
      </c>
      <c r="J7" s="25">
        <f t="shared" si="2"/>
        <v>0.25584439192874026</v>
      </c>
      <c r="K7" s="24">
        <f t="shared" si="6"/>
        <v>-0.21667501530583844</v>
      </c>
      <c r="N7" s="1">
        <f t="shared" si="3"/>
        <v>55010</v>
      </c>
      <c r="O7" s="1">
        <f t="shared" si="4"/>
        <v>40386</v>
      </c>
      <c r="P7" s="1">
        <f t="shared" si="5"/>
        <v>14074</v>
      </c>
    </row>
    <row r="8" spans="2:16" x14ac:dyDescent="0.2">
      <c r="B8" s="22" t="s">
        <v>19</v>
      </c>
      <c r="C8" s="23">
        <f>Buget!F9</f>
        <v>60500</v>
      </c>
      <c r="D8" s="23">
        <f>IF(Realizat!F9=0,"",Realizat!F9)</f>
        <v>66880</v>
      </c>
      <c r="E8" s="24">
        <f t="shared" si="0"/>
        <v>0.10545454545454547</v>
      </c>
      <c r="F8" s="23">
        <f>Buget!F22</f>
        <v>39393</v>
      </c>
      <c r="G8" s="23">
        <f>IF(D8="","",Realizat!F22)</f>
        <v>38558</v>
      </c>
      <c r="H8" s="24">
        <f t="shared" si="1"/>
        <v>-2.1196659304952625E-2</v>
      </c>
      <c r="I8" s="23">
        <f>IF(D8="","",Realizat!F26)</f>
        <v>27653</v>
      </c>
      <c r="J8" s="25">
        <f t="shared" si="2"/>
        <v>0.41347188995215312</v>
      </c>
      <c r="K8" s="24">
        <f t="shared" si="6"/>
        <v>0.96482876225664338</v>
      </c>
      <c r="N8" s="1">
        <f t="shared" si="3"/>
        <v>66880</v>
      </c>
      <c r="O8" s="1">
        <f t="shared" si="4"/>
        <v>38558</v>
      </c>
      <c r="P8" s="1">
        <f t="shared" si="5"/>
        <v>27653</v>
      </c>
    </row>
    <row r="9" spans="2:16" x14ac:dyDescent="0.2">
      <c r="B9" s="22" t="s">
        <v>20</v>
      </c>
      <c r="C9" s="23">
        <f>Buget!G9</f>
        <v>63500</v>
      </c>
      <c r="D9" s="23">
        <f>IF(Realizat!G9=0,"",Realizat!G9)</f>
        <v>65490</v>
      </c>
      <c r="E9" s="24">
        <f t="shared" si="0"/>
        <v>3.1338582677165272E-2</v>
      </c>
      <c r="F9" s="23">
        <f>Buget!G22</f>
        <v>39843</v>
      </c>
      <c r="G9" s="23">
        <f>IF(D9="","",Realizat!G22)</f>
        <v>41061</v>
      </c>
      <c r="H9" s="24">
        <f t="shared" si="1"/>
        <v>3.0569987199759119E-2</v>
      </c>
      <c r="I9" s="23">
        <f>IF(D9="","",Realizat!G26)</f>
        <v>23774</v>
      </c>
      <c r="J9" s="25">
        <f t="shared" si="2"/>
        <v>0.36301725454267825</v>
      </c>
      <c r="K9" s="24">
        <f t="shared" si="6"/>
        <v>-0.1402741113079955</v>
      </c>
      <c r="N9" s="1">
        <f t="shared" si="3"/>
        <v>65490</v>
      </c>
      <c r="O9" s="1">
        <f t="shared" si="4"/>
        <v>41061</v>
      </c>
      <c r="P9" s="1">
        <f t="shared" si="5"/>
        <v>23774</v>
      </c>
    </row>
    <row r="10" spans="2:16" x14ac:dyDescent="0.2">
      <c r="B10" s="22" t="s">
        <v>21</v>
      </c>
      <c r="C10" s="23">
        <f>Buget!H9</f>
        <v>66600</v>
      </c>
      <c r="D10" s="23">
        <f>IF(Realizat!H9=0,"",Realizat!H9)</f>
        <v>59020</v>
      </c>
      <c r="E10" s="24">
        <f t="shared" si="0"/>
        <v>-0.11381381381381384</v>
      </c>
      <c r="F10" s="23">
        <f>Buget!H22</f>
        <v>40293</v>
      </c>
      <c r="G10" s="23">
        <f>IF(D10="","",Realizat!H22)</f>
        <v>40986</v>
      </c>
      <c r="H10" s="24">
        <f t="shared" si="1"/>
        <v>1.7199017199017286E-2</v>
      </c>
      <c r="I10" s="23">
        <f>IF(D10="","",Realizat!H26)</f>
        <v>17444</v>
      </c>
      <c r="J10" s="25">
        <f t="shared" si="2"/>
        <v>0.29556082683835988</v>
      </c>
      <c r="K10" s="24">
        <f t="shared" si="6"/>
        <v>-0.26625725582569193</v>
      </c>
      <c r="N10" s="1">
        <f t="shared" si="3"/>
        <v>59020</v>
      </c>
      <c r="O10" s="1">
        <f t="shared" si="4"/>
        <v>40986</v>
      </c>
      <c r="P10" s="1">
        <f t="shared" si="5"/>
        <v>17444</v>
      </c>
    </row>
    <row r="11" spans="2:16" x14ac:dyDescent="0.2">
      <c r="B11" s="22" t="s">
        <v>22</v>
      </c>
      <c r="C11" s="23">
        <f>Buget!I9</f>
        <v>57500</v>
      </c>
      <c r="D11" s="23">
        <f>IF(Realizat!I9=0,"",Realizat!I9)</f>
        <v>64630</v>
      </c>
      <c r="E11" s="24">
        <f t="shared" si="0"/>
        <v>0.12400000000000011</v>
      </c>
      <c r="F11" s="23">
        <f>Buget!I22</f>
        <v>38943</v>
      </c>
      <c r="G11" s="23">
        <f>IF(D11="","",Realizat!I22)</f>
        <v>39322</v>
      </c>
      <c r="H11" s="24">
        <f t="shared" si="1"/>
        <v>9.7321726626093952E-3</v>
      </c>
      <c r="I11" s="23">
        <f>IF(D11="","",Realizat!I26)</f>
        <v>24662</v>
      </c>
      <c r="J11" s="25">
        <f t="shared" si="2"/>
        <v>0.38158749806591369</v>
      </c>
      <c r="K11" s="24">
        <f t="shared" si="6"/>
        <v>0.41378124283421225</v>
      </c>
      <c r="N11" s="1">
        <f t="shared" si="3"/>
        <v>64630</v>
      </c>
      <c r="O11" s="1">
        <f t="shared" si="4"/>
        <v>39322</v>
      </c>
      <c r="P11" s="1">
        <f t="shared" si="5"/>
        <v>24662</v>
      </c>
    </row>
    <row r="12" spans="2:16" x14ac:dyDescent="0.2">
      <c r="B12" s="22" t="s">
        <v>23</v>
      </c>
      <c r="C12" s="23">
        <f>Buget!J9</f>
        <v>48400</v>
      </c>
      <c r="D12" s="23">
        <f>IF(Realizat!J9=0,"",Realizat!J9)</f>
        <v>46060</v>
      </c>
      <c r="E12" s="24">
        <f t="shared" si="0"/>
        <v>-4.8347107438016512E-2</v>
      </c>
      <c r="F12" s="23">
        <f>Buget!J22</f>
        <v>37593</v>
      </c>
      <c r="G12" s="23">
        <f>IF(D12="","",Realizat!J22)</f>
        <v>39676</v>
      </c>
      <c r="H12" s="24">
        <f t="shared" si="1"/>
        <v>5.5409251722395192E-2</v>
      </c>
      <c r="I12" s="23">
        <f>IF(D12="","",Realizat!J26)</f>
        <v>5923</v>
      </c>
      <c r="J12" s="25">
        <f t="shared" si="2"/>
        <v>0.12859313938341294</v>
      </c>
      <c r="K12" s="24">
        <f t="shared" si="6"/>
        <v>-0.75983294136728574</v>
      </c>
      <c r="N12" s="1">
        <f t="shared" si="3"/>
        <v>46060</v>
      </c>
      <c r="O12" s="1">
        <f t="shared" si="4"/>
        <v>39676</v>
      </c>
      <c r="P12" s="1">
        <f t="shared" si="5"/>
        <v>5923</v>
      </c>
    </row>
    <row r="13" spans="2:16" x14ac:dyDescent="0.2">
      <c r="B13" s="22" t="s">
        <v>24</v>
      </c>
      <c r="C13" s="23">
        <f>Buget!K9</f>
        <v>63500</v>
      </c>
      <c r="D13" s="23">
        <f>IF(Realizat!K9=0,"",Realizat!K9)</f>
        <v>65660</v>
      </c>
      <c r="E13" s="24">
        <f t="shared" si="0"/>
        <v>3.4015748031495985E-2</v>
      </c>
      <c r="F13" s="23">
        <f>Buget!K22</f>
        <v>39843</v>
      </c>
      <c r="G13" s="23">
        <f>IF(D13="","",Realizat!K22)</f>
        <v>42002</v>
      </c>
      <c r="H13" s="24">
        <f t="shared" si="1"/>
        <v>5.4187686670180479E-2</v>
      </c>
      <c r="I13" s="23">
        <f>IF(D13="","",Realizat!K26)</f>
        <v>23001</v>
      </c>
      <c r="J13" s="25">
        <f t="shared" si="2"/>
        <v>0.35030459945172099</v>
      </c>
      <c r="K13" s="24">
        <f t="shared" si="6"/>
        <v>2.8833361472226913</v>
      </c>
      <c r="N13" s="1">
        <f t="shared" si="3"/>
        <v>65660</v>
      </c>
      <c r="O13" s="1">
        <f t="shared" si="4"/>
        <v>42002</v>
      </c>
      <c r="P13" s="1">
        <f t="shared" si="5"/>
        <v>23001</v>
      </c>
    </row>
    <row r="14" spans="2:16" x14ac:dyDescent="0.2">
      <c r="B14" s="22" t="s">
        <v>25</v>
      </c>
      <c r="C14" s="23">
        <f>Buget!L9</f>
        <v>66600</v>
      </c>
      <c r="D14" s="23" t="str">
        <f>IF(Realizat!L9=0,"",Realizat!L9)</f>
        <v/>
      </c>
      <c r="E14" s="24" t="str">
        <f t="shared" si="0"/>
        <v/>
      </c>
      <c r="F14" s="23">
        <f>Buget!L22</f>
        <v>40293</v>
      </c>
      <c r="G14" s="23" t="str">
        <f>IF(D14="","",Realizat!L22)</f>
        <v/>
      </c>
      <c r="H14" s="24" t="str">
        <f t="shared" si="1"/>
        <v/>
      </c>
      <c r="I14" s="23" t="str">
        <f>IF(D14="","",Realizat!L26)</f>
        <v/>
      </c>
      <c r="J14" s="25" t="str">
        <f t="shared" si="2"/>
        <v/>
      </c>
      <c r="K14" s="24" t="str">
        <f t="shared" si="6"/>
        <v/>
      </c>
      <c r="N14" s="1" t="e">
        <f t="shared" si="3"/>
        <v>#N/A</v>
      </c>
      <c r="O14" s="1" t="e">
        <f t="shared" si="4"/>
        <v>#N/A</v>
      </c>
      <c r="P14" s="1" t="e">
        <f t="shared" si="5"/>
        <v>#N/A</v>
      </c>
    </row>
    <row r="15" spans="2:16" x14ac:dyDescent="0.2">
      <c r="B15" s="22" t="s">
        <v>26</v>
      </c>
      <c r="C15" s="23">
        <f>Buget!M9</f>
        <v>66600</v>
      </c>
      <c r="D15" s="23" t="str">
        <f>IF(Realizat!M9=0,"",Realizat!M9)</f>
        <v/>
      </c>
      <c r="E15" s="24" t="str">
        <f t="shared" si="0"/>
        <v/>
      </c>
      <c r="F15" s="23">
        <f>Buget!M22</f>
        <v>40293</v>
      </c>
      <c r="G15" s="23" t="str">
        <f>IF(D15="","",Realizat!M22)</f>
        <v/>
      </c>
      <c r="H15" s="24" t="str">
        <f t="shared" si="1"/>
        <v/>
      </c>
      <c r="I15" s="23" t="str">
        <f>IF(D15="","",Realizat!M26)</f>
        <v/>
      </c>
      <c r="J15" s="25" t="str">
        <f t="shared" si="2"/>
        <v/>
      </c>
      <c r="K15" s="24" t="str">
        <f t="shared" si="6"/>
        <v/>
      </c>
      <c r="N15" s="1" t="e">
        <f t="shared" si="3"/>
        <v>#N/A</v>
      </c>
      <c r="O15" s="1" t="e">
        <f t="shared" si="4"/>
        <v>#N/A</v>
      </c>
      <c r="P15" s="1" t="e">
        <f t="shared" si="5"/>
        <v>#N/A</v>
      </c>
    </row>
    <row r="16" spans="2:16" x14ac:dyDescent="0.2">
      <c r="B16" s="22" t="s">
        <v>27</v>
      </c>
      <c r="C16" s="23">
        <f>Buget!N9</f>
        <v>72600</v>
      </c>
      <c r="D16" s="23" t="str">
        <f>IF(Realizat!N9=0,"",Realizat!N9)</f>
        <v/>
      </c>
      <c r="E16" s="24" t="str">
        <f t="shared" si="0"/>
        <v/>
      </c>
      <c r="F16" s="23">
        <f>Buget!N22</f>
        <v>41193</v>
      </c>
      <c r="G16" s="23" t="str">
        <f>IF(D16="","",Realizat!N22)</f>
        <v/>
      </c>
      <c r="H16" s="24" t="str">
        <f t="shared" si="1"/>
        <v/>
      </c>
      <c r="I16" s="23" t="str">
        <f>IF(D16="","",Realizat!N26)</f>
        <v/>
      </c>
      <c r="J16" s="25" t="str">
        <f t="shared" si="2"/>
        <v/>
      </c>
      <c r="K16" s="24" t="str">
        <f t="shared" si="6"/>
        <v/>
      </c>
      <c r="N16" s="1" t="e">
        <f t="shared" si="3"/>
        <v>#N/A</v>
      </c>
      <c r="O16" s="1" t="e">
        <f t="shared" si="4"/>
        <v>#N/A</v>
      </c>
      <c r="P16" s="1" t="e">
        <f t="shared" si="5"/>
        <v>#N/A</v>
      </c>
    </row>
    <row r="17" spans="2:11" x14ac:dyDescent="0.2">
      <c r="B17" s="26" t="s">
        <v>64</v>
      </c>
      <c r="C17" s="27">
        <f>SUMPRODUCT((D5:D16&lt;&gt;"")*C5:C16)</f>
        <v>526300</v>
      </c>
      <c r="D17" s="27">
        <f>SUM(D5:D16)</f>
        <v>530360</v>
      </c>
      <c r="E17" s="28">
        <f>IF(C17=0,"",D17/C17-1)</f>
        <v>7.7142314269427192E-3</v>
      </c>
      <c r="F17" s="27">
        <f>SUMPRODUCT((D5:D16&lt;&gt;"")*F5:F16)</f>
        <v>351837</v>
      </c>
      <c r="G17" s="27">
        <f>SUM(G5:G16)</f>
        <v>358195</v>
      </c>
      <c r="H17" s="28">
        <f>IF(F17=0,"",G17/F17-1)</f>
        <v>1.8070868044008925E-2</v>
      </c>
      <c r="I17" s="27">
        <f>SUM(I5:I16)</f>
        <v>166861</v>
      </c>
      <c r="J17" s="29">
        <f>IF(D17=0,"",I17/D17)</f>
        <v>0.31461837242627649</v>
      </c>
      <c r="K17" s="28"/>
    </row>
    <row r="1000" spans="702:702" ht="15" x14ac:dyDescent="0.25">
      <c r="ZZ1000"/>
    </row>
  </sheetData>
  <conditionalFormatting sqref="E5:E17">
    <cfRule type="expression" dxfId="5" priority="1" stopIfTrue="1">
      <formula>AND(ISNUMBER(E5),E5&lt;-PragAbatere)</formula>
    </cfRule>
    <cfRule type="expression" dxfId="4" priority="2" stopIfTrue="1">
      <formula>AND(ISNUMBER(E5),E5&gt;PragAbatere)</formula>
    </cfRule>
  </conditionalFormatting>
  <conditionalFormatting sqref="H5:H17">
    <cfRule type="expression" dxfId="3" priority="3" stopIfTrue="1">
      <formula>AND(ISNUMBER(H5),H5&gt;PragAbatere)</formula>
    </cfRule>
    <cfRule type="expression" dxfId="2" priority="4" stopIfTrue="1">
      <formula>AND(ISNUMBER(H5),H5&lt;-PragAbatere)</formula>
    </cfRule>
  </conditionalFormatting>
  <conditionalFormatting sqref="I5:I17">
    <cfRule type="expression" dxfId="1" priority="6" stopIfTrue="1">
      <formula>AND(ISNUMBER(I5),I5&lt;0)</formula>
    </cfRule>
  </conditionalFormatting>
  <conditionalFormatting sqref="K5:K16">
    <cfRule type="expression" dxfId="0" priority="5" stopIfTrue="1">
      <formula>AND(ISNUMBER(K5),K5&lt;0)</formula>
    </cfRule>
  </conditionalFormatting>
  <pageMargins left="0.7" right="0.7" top="0.75" bottom="0.75" header="0.3" footer="0.3"/>
  <pageSetup scale="75" orientation="landscape" r:id="rId1"/>
  <headerFooter>
    <oddFooter>&amp;Cmodelexcel.ro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Setări</vt:lpstr>
      <vt:lpstr>Buget</vt:lpstr>
      <vt:lpstr>Realizat</vt:lpstr>
      <vt:lpstr>Analiză</vt:lpstr>
      <vt:lpstr>AnBVC</vt:lpstr>
      <vt:lpstr>CotaMicro</vt:lpstr>
      <vt:lpstr>CotaProfit</vt:lpstr>
      <vt:lpstr>FirmaBVC</vt:lpstr>
      <vt:lpstr>ListaRegim</vt:lpstr>
      <vt:lpstr>PragAbatere</vt:lpstr>
      <vt:lpstr>Regim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buget de venituri și cheltuieli firmă Excel</dc:title>
  <dc:subject>Model Excel gratuit în limba română</dc:subject>
  <dc:creator>Ray Moreno · modelexcel.ro</dc:creator>
  <cp:keywords>modelexcel.ro, model Excel, Model buget de venituri și cheltuieli firmă Excel</cp:keywords>
  <dc:description>© 2026 Ray Moreno – modelexcel.ro. Model gratuit: îl poți folosi și adapta în activitatea ta. Nu este permisă revânzarea lui sau publicarea pe alte site-uri. https://modelexcel.ro/model-venituri-cheltuieli-firma-excel/</dc:description>
  <cp:lastModifiedBy>Ray Moreno · modelexcel.ro</cp:lastModifiedBy>
  <dcterms:created xsi:type="dcterms:W3CDTF">2026-10-10T21:16:41Z</dcterms:created>
  <dcterms:modified xsi:type="dcterms:W3CDTF">2026-10-13T17:31:03Z</dcterms:modified>
  <cp:category>Model Excel</cp:category>
</cp:coreProperties>
</file>