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AEF854A2-1637-4D9F-835B-C25732991F07}" xr6:coauthVersionLast="47" xr6:coauthVersionMax="47" xr10:uidLastSave="{00000000-0000-0000-0000-000000000000}"/>
  <bookViews>
    <workbookView xWindow="-28920" yWindow="-120" windowWidth="29040" windowHeight="15720" xr2:uid="{CF26947A-789F-4664-942E-FFEF08661C05}"/>
  </bookViews>
  <sheets>
    <sheet name="Deviz" sheetId="1" r:id="rId1"/>
    <sheet name="Deviz general HG 907" sheetId="2" r:id="rId2"/>
    <sheet name="Rentabilitate" sheetId="3" r:id="rId3"/>
    <sheet name="Setări" sheetId="4" r:id="rId4"/>
  </sheets>
  <definedNames>
    <definedName name="_xlnm.Print_Area" localSheetId="0">Deviz!$A$1:$P$71</definedName>
    <definedName name="CotaCSC">Setări!$C$12</definedName>
    <definedName name="CotaISC">Setări!$C$10</definedName>
    <definedName name="CotaISC2">Setări!$C$11</definedName>
    <definedName name="CotaTVA">Setări!$C$9</definedName>
    <definedName name="CUI">Setări!$C$4</definedName>
    <definedName name="Firma">Setări!$C$3</definedName>
    <definedName name="Intocmit">Setări!$C$5</definedName>
    <definedName name="PctDiverse">Setări!$C$13</definedName>
    <definedName name="PctIndirecte">Setări!$C$7</definedName>
    <definedName name="PctMarunte">Setări!$C$6</definedName>
    <definedName name="PctProfit">Setări!$C$8</definedName>
    <definedName name="TipArt">Setări!$E$4:$E$6</definedName>
    <definedName name="_xlnm.Print_Titles" localSheetId="0">Deviz!$8:$9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5" i="3" l="1"/>
  <c r="C15" i="3"/>
  <c r="E14" i="3"/>
  <c r="D14" i="3"/>
  <c r="C14" i="3"/>
  <c r="D13" i="3"/>
  <c r="C13" i="3"/>
  <c r="F11" i="3"/>
  <c r="E11" i="3"/>
  <c r="D11" i="3"/>
  <c r="C11" i="3"/>
  <c r="F10" i="3"/>
  <c r="E10" i="3"/>
  <c r="C10" i="3"/>
  <c r="F9" i="3"/>
  <c r="E9" i="3"/>
  <c r="C9" i="3"/>
  <c r="F8" i="3"/>
  <c r="E8" i="3"/>
  <c r="C8" i="3"/>
  <c r="F7" i="3"/>
  <c r="E7" i="3"/>
  <c r="C7" i="3"/>
  <c r="F6" i="3"/>
  <c r="E6" i="3"/>
  <c r="C6" i="3"/>
  <c r="F5" i="3"/>
  <c r="E5" i="3"/>
  <c r="C5" i="3"/>
  <c r="G45" i="2"/>
  <c r="F45" i="2"/>
  <c r="D45" i="2"/>
  <c r="G44" i="2"/>
  <c r="F44" i="2"/>
  <c r="D44" i="2"/>
  <c r="D37" i="2"/>
  <c r="D36" i="2"/>
  <c r="D26" i="2"/>
  <c r="G43" i="2"/>
  <c r="F43" i="2"/>
  <c r="D43" i="2"/>
  <c r="G42" i="2"/>
  <c r="F42" i="2"/>
  <c r="G41" i="2"/>
  <c r="F41" i="2"/>
  <c r="G38" i="2"/>
  <c r="F38" i="2"/>
  <c r="G35" i="2"/>
  <c r="F35" i="2"/>
  <c r="G34" i="2"/>
  <c r="F34" i="2"/>
  <c r="D32" i="2"/>
  <c r="G31" i="2"/>
  <c r="F31" i="2"/>
  <c r="G30" i="2"/>
  <c r="F30" i="2"/>
  <c r="G29" i="2"/>
  <c r="F29" i="2"/>
  <c r="G28" i="2"/>
  <c r="F28" i="2"/>
  <c r="G27" i="2"/>
  <c r="F27" i="2"/>
  <c r="F26" i="2"/>
  <c r="G24" i="2"/>
  <c r="F24" i="2"/>
  <c r="D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4" i="2"/>
  <c r="F14" i="2"/>
  <c r="D14" i="2"/>
  <c r="G13" i="2"/>
  <c r="F13" i="2"/>
  <c r="G11" i="2"/>
  <c r="F11" i="2"/>
  <c r="D11" i="2"/>
  <c r="G10" i="2"/>
  <c r="F10" i="2"/>
  <c r="G9" i="2"/>
  <c r="F9" i="2"/>
  <c r="G8" i="2"/>
  <c r="F8" i="2"/>
  <c r="G7" i="2"/>
  <c r="F7" i="2"/>
  <c r="B2" i="2"/>
  <c r="C71" i="1"/>
  <c r="B69" i="1"/>
  <c r="D65" i="1"/>
  <c r="D63" i="1"/>
  <c r="D62" i="1"/>
  <c r="D56" i="1"/>
  <c r="O66" i="1"/>
  <c r="O65" i="1"/>
  <c r="O64" i="1"/>
  <c r="O63" i="1"/>
  <c r="O62" i="1"/>
  <c r="O61" i="1"/>
  <c r="M61" i="1"/>
  <c r="K61" i="1"/>
  <c r="O60" i="1"/>
  <c r="M60" i="1"/>
  <c r="O59" i="1"/>
  <c r="M59" i="1"/>
  <c r="K59" i="1"/>
  <c r="O58" i="1"/>
  <c r="M58" i="1"/>
  <c r="K58" i="1"/>
  <c r="O57" i="1"/>
  <c r="M57" i="1"/>
  <c r="K57" i="1"/>
  <c r="O56" i="1"/>
  <c r="M56" i="1"/>
  <c r="K56" i="1"/>
  <c r="O55" i="1"/>
  <c r="M55" i="1"/>
  <c r="K55" i="1"/>
  <c r="O52" i="1"/>
  <c r="N52" i="1"/>
  <c r="M52" i="1"/>
  <c r="L52" i="1"/>
  <c r="K52" i="1"/>
  <c r="O51" i="1"/>
  <c r="N51" i="1"/>
  <c r="M51" i="1"/>
  <c r="L51" i="1"/>
  <c r="K51" i="1"/>
  <c r="O50" i="1"/>
  <c r="N50" i="1"/>
  <c r="M50" i="1"/>
  <c r="L50" i="1"/>
  <c r="K50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M4" i="1"/>
  <c r="D3" i="1"/>
  <c r="F37" i="2" l="1"/>
  <c r="G37" i="2" s="1"/>
  <c r="G39" i="2" s="1"/>
  <c r="F36" i="2"/>
  <c r="D39" i="2"/>
  <c r="G36" i="2"/>
  <c r="G26" i="2"/>
  <c r="G32" i="2" s="1"/>
  <c r="F32" i="2"/>
  <c r="M62" i="1"/>
  <c r="K62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F39" i="2" l="1"/>
  <c r="M63" i="1"/>
  <c r="M64" i="1" s="1"/>
  <c r="K63" i="1"/>
  <c r="K64" i="1" s="1"/>
  <c r="M65" i="1" l="1"/>
  <c r="M66" i="1" s="1"/>
  <c r="K65" i="1"/>
  <c r="K66" i="1" s="1"/>
</calcChain>
</file>

<file path=xl/sharedStrings.xml><?xml version="1.0" encoding="utf-8"?>
<sst xmlns="http://schemas.openxmlformats.org/spreadsheetml/2006/main" count="233" uniqueCount="174">
  <si>
    <t>Setări – firmă și procente</t>
  </si>
  <si>
    <t>Ofertant (executant)</t>
  </si>
  <si>
    <t>Exemplu Construcții SRL</t>
  </si>
  <si>
    <t>CUI</t>
  </si>
  <si>
    <t>RO12345678</t>
  </si>
  <si>
    <t>Întocmit de</t>
  </si>
  <si>
    <t>ing. Mihai Ionescu</t>
  </si>
  <si>
    <t>Materiale mărunte și consumabile (% din materiale)</t>
  </si>
  <si>
    <t>Cheltuieli indirecte (% din cheltuieli directe)</t>
  </si>
  <si>
    <t>Profit (% din directe + indirecte)</t>
  </si>
  <si>
    <t>Cota TVA</t>
  </si>
  <si>
    <t>Cota ISC – controlul calității lucrărilor (% din C+M)</t>
  </si>
  <si>
    <t>Cota ISC – urbanism și autorizarea construcțiilor (% din C+M)</t>
  </si>
  <si>
    <t>Cota Casa Socială a Constructorilor (% din C+M)</t>
  </si>
  <si>
    <t>Cheltuieli diverse și neprevăzute (%)</t>
  </si>
  <si>
    <t>Procentele de cheltuieli indirecte și profit le stabilești tu. Cotele din deviz general sunt valori uzuale; verifică-le înainte de depunerea unei oferte publice.</t>
  </si>
  <si>
    <t>Tip articol</t>
  </si>
  <si>
    <t>Inclus</t>
  </si>
  <si>
    <t>Suplimentar – de aprobat</t>
  </si>
  <si>
    <t>Suplimentar – aprobat</t>
  </si>
  <si>
    <t>DEVIZ OFERTĂ</t>
  </si>
  <si>
    <t>Ofertant:</t>
  </si>
  <si>
    <t>Beneficiar:</t>
  </si>
  <si>
    <t>Școala Gimnazială nr. 3, Comuna Exemplu</t>
  </si>
  <si>
    <t>Obiectiv:</t>
  </si>
  <si>
    <t>Modernizare grupuri sanitare elevi – parter</t>
  </si>
  <si>
    <t>Obiect / lucrare:</t>
  </si>
  <si>
    <t>Lucrări de construcții și instalații interioare</t>
  </si>
  <si>
    <t>Nr. deviz:</t>
  </si>
  <si>
    <t>DV-2026-018</t>
  </si>
  <si>
    <t>Data:</t>
  </si>
  <si>
    <t>Valabil (zile):</t>
  </si>
  <si>
    <t>Nr.</t>
  </si>
  <si>
    <t>Capitol de lucrări</t>
  </si>
  <si>
    <t>Denumirea lucrării (articolul)</t>
  </si>
  <si>
    <t>U.M.</t>
  </si>
  <si>
    <t>Cantitate</t>
  </si>
  <si>
    <t>Preț unitar (lei)</t>
  </si>
  <si>
    <t>Valoare (lei)</t>
  </si>
  <si>
    <t>Materiale</t>
  </si>
  <si>
    <t>Manoperă</t>
  </si>
  <si>
    <t>Utilaj</t>
  </si>
  <si>
    <t>Transport</t>
  </si>
  <si>
    <t>Total</t>
  </si>
  <si>
    <t>Demontări</t>
  </si>
  <si>
    <t>Demontare faianță și gresie existentă</t>
  </si>
  <si>
    <t>mp</t>
  </si>
  <si>
    <t>Demontare obiecte sanitare și instalații vechi</t>
  </si>
  <si>
    <t>buc</t>
  </si>
  <si>
    <t>Evacuare moloz cu container de 7 mc</t>
  </si>
  <si>
    <t>Instalații sanitare</t>
  </si>
  <si>
    <t>Rețea alimentare cu apă din țeavă PPR, inclusiv fitinguri</t>
  </si>
  <si>
    <t>ml</t>
  </si>
  <si>
    <t>Rețea canalizare interioară din țeavă PP</t>
  </si>
  <si>
    <t>Montaj obiecte sanitare (vas WC, lavoar, pisoar) cu baterii</t>
  </si>
  <si>
    <t>Instalații electrice</t>
  </si>
  <si>
    <t>Circuite iluminat și prize, inclusiv aparataj</t>
  </si>
  <si>
    <t>Finisaje</t>
  </si>
  <si>
    <t>Hidroizolație bicomponentă pardoseli și zone umede</t>
  </si>
  <si>
    <t>Șapă autonivelantă</t>
  </si>
  <si>
    <t>Placare pereți cu faianță, inclusiv adeziv și chit</t>
  </si>
  <si>
    <t>Pardoseli din gresie antiderapantă, inclusiv adeziv</t>
  </si>
  <si>
    <t>Zugrăveli lavabile pe pereți și tavane</t>
  </si>
  <si>
    <t>Tâmplărie</t>
  </si>
  <si>
    <t>Uși interioare din PVC pentru cabine</t>
  </si>
  <si>
    <t>Lucrări suplimentare</t>
  </si>
  <si>
    <t>Înlocuire coloană scurgere, dacă se constată degradată la demontare</t>
  </si>
  <si>
    <t>Tencuieli de reparație pe zonele degradate după demontare</t>
  </si>
  <si>
    <t>Total articole incluse în deviz</t>
  </si>
  <si>
    <t>Lucrări suplimentare aprobate</t>
  </si>
  <si>
    <t>Lucrări suplimentare de aprobat (nu sunt incluse în total)</t>
  </si>
  <si>
    <t>RECAPITULAȚIE</t>
  </si>
  <si>
    <t>Deviz (incluse)</t>
  </si>
  <si>
    <t>Cu suplimentare aprobate</t>
  </si>
  <si>
    <t>Suplimentare de aprobat</t>
  </si>
  <si>
    <t>Deplasări echipă (cazare, transport personal)</t>
  </si>
  <si>
    <t>TOTAL CHELTUIELI DIRECTE</t>
  </si>
  <si>
    <t>TOTAL FĂRĂ TVA</t>
  </si>
  <si>
    <t>TOTAL CU TVA</t>
  </si>
  <si>
    <t>Lucrările marcate „Suplimentar – de aprobat” nu sunt cuprinse în valoarea devizului și se execută numai după aprobarea scrisă a beneficiarului.</t>
  </si>
  <si>
    <t>Beneficiar (de acord): _______________</t>
  </si>
  <si>
    <t>DEVIZ GENERAL</t>
  </si>
  <si>
    <t>Structura după HG nr. 907/2016. Capitolul 4.1 se preia automat din foaia Deviz (incluse + suplimentare aprobate); restul valorilor se completează.</t>
  </si>
  <si>
    <t>Nr. crt.</t>
  </si>
  <si>
    <t>Denumirea capitolelor și subcapitolelor de cheltuieli</t>
  </si>
  <si>
    <t>Valoare fără TVA (lei)</t>
  </si>
  <si>
    <t>TVA (lei)</t>
  </si>
  <si>
    <t>Valoare cu TVA (lei)</t>
  </si>
  <si>
    <t>C+M</t>
  </si>
  <si>
    <t>Capitolul 1 – Cheltuieli pentru obținerea și amenajarea terenului</t>
  </si>
  <si>
    <t>1.1</t>
  </si>
  <si>
    <t>Obținerea terenului</t>
  </si>
  <si>
    <t>1.2</t>
  </si>
  <si>
    <t>Amenajarea terenului</t>
  </si>
  <si>
    <t>1.3</t>
  </si>
  <si>
    <t>Amenajări pentru protecția mediului și aducerea terenului la starea inițială</t>
  </si>
  <si>
    <t>1.4</t>
  </si>
  <si>
    <t>Cheltuieli pentru relocarea/protecția utilităților</t>
  </si>
  <si>
    <t>Total capitol 1</t>
  </si>
  <si>
    <t>Capitolul 2 – Cheltuieli pentru asigurarea utilităților necesare obiectivului de investiții</t>
  </si>
  <si>
    <t>2</t>
  </si>
  <si>
    <t>Cheltuieli pentru asigurarea utilităților</t>
  </si>
  <si>
    <t>Total capitol 2</t>
  </si>
  <si>
    <t>Capitolul 3 – Cheltuieli pentru proiectare și asistență tehnică</t>
  </si>
  <si>
    <t>3.1</t>
  </si>
  <si>
    <t>Studii</t>
  </si>
  <si>
    <t>3.2</t>
  </si>
  <si>
    <t>Documentații-suport și cheltuieli pentru obținerea de avize, acorduri și autorizații</t>
  </si>
  <si>
    <t>3.3</t>
  </si>
  <si>
    <t>Expertizare tehnică</t>
  </si>
  <si>
    <t>3.4</t>
  </si>
  <si>
    <t>Certificarea performanței energetice și auditul energetic al clădirilor</t>
  </si>
  <si>
    <t>3.5</t>
  </si>
  <si>
    <t>Proiectare</t>
  </si>
  <si>
    <t>3.6</t>
  </si>
  <si>
    <t>Organizarea procedurilor de achiziție</t>
  </si>
  <si>
    <t>3.7</t>
  </si>
  <si>
    <t>Consultanță</t>
  </si>
  <si>
    <t>3.8</t>
  </si>
  <si>
    <t>Asistență tehnică (inclusiv dirigenție de șantier)</t>
  </si>
  <si>
    <t>Total capitol 3</t>
  </si>
  <si>
    <t>Capitolul 4 – Cheltuieli pentru investiția de bază</t>
  </si>
  <si>
    <t>4.1</t>
  </si>
  <si>
    <t>Construcții și instalații</t>
  </si>
  <si>
    <t>4.2</t>
  </si>
  <si>
    <t>Montaj utilaje, echipamente tehnologice și funcționale</t>
  </si>
  <si>
    <t>4.3</t>
  </si>
  <si>
    <t>Utilaje, echipamente tehnologice și funcționale care necesită montaj</t>
  </si>
  <si>
    <t>4.4</t>
  </si>
  <si>
    <t>Utilaje, echipamente tehnologice și funcționale care nu necesită montaj și echipamente de transport</t>
  </si>
  <si>
    <t>4.5</t>
  </si>
  <si>
    <t>Dotări</t>
  </si>
  <si>
    <t>4.6</t>
  </si>
  <si>
    <t>Active necorporale</t>
  </si>
  <si>
    <t>Total capitol 4</t>
  </si>
  <si>
    <t>Capitolul 5 – Alte cheltuieli</t>
  </si>
  <si>
    <t>5.1.1</t>
  </si>
  <si>
    <t>Organizare de șantier – lucrări de construcții și instalații aferente</t>
  </si>
  <si>
    <t>5.1.2</t>
  </si>
  <si>
    <t>Organizare de șantier – cheltuieli conexe</t>
  </si>
  <si>
    <t>5.2</t>
  </si>
  <si>
    <t>Comisioane, cote, taxe, costul creditului</t>
  </si>
  <si>
    <t>5.3</t>
  </si>
  <si>
    <t>Cheltuieli diverse și neprevăzute</t>
  </si>
  <si>
    <t>5.4</t>
  </si>
  <si>
    <t>Cheltuieli pentru informare și publicitate</t>
  </si>
  <si>
    <t>Total capitol 5</t>
  </si>
  <si>
    <t>Capitolul 6 – Cheltuieli pentru probe tehnologice și teste</t>
  </si>
  <si>
    <t>6.1</t>
  </si>
  <si>
    <t>Pregătirea personalului de exploatare</t>
  </si>
  <si>
    <t>6.2</t>
  </si>
  <si>
    <t>Probe tehnologice și teste</t>
  </si>
  <si>
    <t>Total capitol 6</t>
  </si>
  <si>
    <t>TOTAL GENERAL</t>
  </si>
  <si>
    <t>din care: C + M (construcții-montaj)</t>
  </si>
  <si>
    <t>Cap. 5.2 = cotele ISC și Casa Socială a Constructorilor aplicate la valoarea C+M (procentele din Setări). Cap. 5.3 = procentul de diverse și neprevăzute aplicat la capitolele 1.2–1.4, 2, 3.5, 3.8 și 4. Verifică procentele și baza de calcul în HG nr. 907/2016 și în documentația de atribuire.</t>
  </si>
  <si>
    <t>Rentabilitatea lucrării: estimat vs. realizat</t>
  </si>
  <si>
    <t>Completează costurile reale pe măsură ce lucrarea avansează (facturi de materiale, ore lucrate, chirii de utilaje, transport, deplasări).</t>
  </si>
  <si>
    <t>Categorie</t>
  </si>
  <si>
    <t>Estimat în deviz</t>
  </si>
  <si>
    <t>Cost real</t>
  </si>
  <si>
    <t>Diferență</t>
  </si>
  <si>
    <t>Diferență %</t>
  </si>
  <si>
    <t>Materiale (inclusiv mărunte)</t>
  </si>
  <si>
    <t>Deplasări</t>
  </si>
  <si>
    <t>Alte costuri neprevăzute în deviz</t>
  </si>
  <si>
    <t>TOTAL COSTURI</t>
  </si>
  <si>
    <t>Valoarea lucrării fără TVA (incluse + suplimentare aprobate)</t>
  </si>
  <si>
    <t>Rezultat (valoare – costuri)</t>
  </si>
  <si>
    <t>Marjă (% din valoare)</t>
  </si>
  <si>
    <t>Roșu = categorie depășită cu peste 5%. Costurile apărute în plus față de deviz trebuie fie aprobate de beneficiar ca lucrări suplimentare, fie acoperite din profit.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</si>
  <si>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</si>
  <si>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</si>
  <si>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modelexcel.ro/model-deviz-lucrari-constructii-excel/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</si>
</sst>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\+0.0%;\-0.0%;0.0%"/>
  </numFmts>
  <fonts count="18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0F6E73"/>
      <name val="Calibri"/>
      <family val="2"/>
    </font>
    <font>
      <b/>
      <sz val="10"/>
      <color theme="1"/>
      <name val="Calibri"/>
      <family val="2"/>
    </font>
    <font>
      <i/>
      <sz val="10"/>
      <color theme="1"/>
      <name val="Calibri"/>
      <family val="2"/>
    </font>
    <font>
      <i/>
      <sz val="10"/>
      <color rgb="FF5D6B64"/>
      <name val="Calibri"/>
      <family val="2"/>
    </font>
    <font>
      <b/>
      <sz val="10"/>
      <color rgb="FFFFFFFF"/>
      <name val="Calibri"/>
      <family val="2"/>
    </font>
    <font>
      <b/>
      <sz val="18"/>
      <color rgb="FF0F6E73"/>
      <name val="Calibri"/>
      <family val="2"/>
    </font>
    <font>
      <b/>
      <sz val="12"/>
      <color theme="1"/>
      <name val="Calibri"/>
      <family val="2"/>
    </font>
    <font>
      <b/>
      <sz val="12"/>
      <color rgb="FF0F6E73"/>
      <name val="Calibri"/>
      <family val="2"/>
    </font>
    <font>
      <sz val="10"/>
      <color rgb="FF5D6B64"/>
      <name val="Calibri"/>
      <family val="2"/>
    </font>
    <font>
      <b/>
      <sz val="12"/>
      <color rgb="FFFFFFFF"/>
      <name val="Calibri"/>
      <family val="2"/>
    </font>
    <font>
      <b/>
      <sz val="10"/>
      <color rgb="FF5D6B64"/>
      <name val="Calibri"/>
      <family val="2"/>
    </font>
    <font>
      <b/>
      <sz val="12"/>
      <color rgb="FF5D6B64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7FCFC"/>
        <bgColor indexed="64"/>
      </patternFill>
    </fill>
    <fill>
      <patternFill patternType="solid">
        <fgColor rgb="FF0F6E73"/>
        <bgColor indexed="64"/>
      </patternFill>
    </fill>
    <fill>
      <patternFill patternType="solid">
        <fgColor rgb="FFDDF0F1"/>
        <bgColor indexed="64"/>
      </patternFill>
    </fill>
    <fill>
      <patternFill patternType="solid">
        <fgColor rgb="FFFFE68C"/>
        <bgColor indexed="64"/>
      </patternFill>
    </fill>
  </fills>
  <borders count="2">
    <border>
      <left/>
      <right/>
      <top/>
      <bottom/>
      <diagonal/>
    </border>
    <border>
      <left style="thin">
        <color rgb="FFD2DCD9"/>
      </left>
      <right style="thin">
        <color rgb="FFD2DCD9"/>
      </right>
      <top style="thin">
        <color rgb="FFD2DCD9"/>
      </top>
      <bottom style="thin">
        <color rgb="FFD2DCD9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3" fillId="0" borderId="0" xfId="0" applyFont="1"/>
    <xf numFmtId="0" fontId="3" fillId="0" borderId="1" xfId="0" applyFont="1" applyBorder="1"/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right"/>
    </xf>
    <xf numFmtId="0" fontId="4" fillId="0" borderId="0" xfId="0" applyFont="1"/>
    <xf numFmtId="0" fontId="5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7" fillId="0" borderId="0" xfId="0" applyFont="1"/>
    <xf numFmtId="0" fontId="3" fillId="0" borderId="0" xfId="0" applyFont="1" applyAlignment="1">
      <alignment horizontal="right"/>
    </xf>
    <xf numFmtId="14" fontId="1" fillId="2" borderId="0" xfId="0" applyNumberFormat="1" applyFont="1" applyFill="1" applyAlignment="1">
      <alignment horizontal="left"/>
    </xf>
    <xf numFmtId="4" fontId="1" fillId="0" borderId="0" xfId="0" applyNumberFormat="1" applyFont="1"/>
    <xf numFmtId="4" fontId="1" fillId="2" borderId="1" xfId="0" applyNumberFormat="1" applyFont="1" applyFill="1" applyBorder="1"/>
    <xf numFmtId="4" fontId="1" fillId="0" borderId="1" xfId="0" applyNumberFormat="1" applyFont="1" applyBorder="1"/>
    <xf numFmtId="4" fontId="3" fillId="0" borderId="1" xfId="0" applyNumberFormat="1" applyFont="1" applyBorder="1"/>
    <xf numFmtId="0" fontId="3" fillId="4" borderId="1" xfId="0" applyFont="1" applyFill="1" applyBorder="1"/>
    <xf numFmtId="4" fontId="3" fillId="4" borderId="1" xfId="0" applyNumberFormat="1" applyFont="1" applyFill="1" applyBorder="1"/>
    <xf numFmtId="0" fontId="3" fillId="5" borderId="1" xfId="0" applyFont="1" applyFill="1" applyBorder="1"/>
    <xf numFmtId="4" fontId="3" fillId="5" borderId="1" xfId="0" applyNumberFormat="1" applyFont="1" applyFill="1" applyBorder="1"/>
    <xf numFmtId="0" fontId="9" fillId="0" borderId="0" xfId="0" applyFont="1"/>
    <xf numFmtId="0" fontId="8" fillId="4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10" fillId="0" borderId="0" xfId="0" applyFont="1"/>
    <xf numFmtId="0" fontId="3" fillId="4" borderId="1" xfId="0" applyFont="1" applyFill="1" applyBorder="1" applyAlignment="1">
      <alignment horizontal="center"/>
    </xf>
    <xf numFmtId="9" fontId="3" fillId="4" borderId="1" xfId="0" applyNumberFormat="1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9" fontId="1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9" fontId="3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4" fontId="4" fillId="4" borderId="1" xfId="0" applyNumberFormat="1" applyFont="1" applyFill="1" applyBorder="1"/>
    <xf numFmtId="0" fontId="11" fillId="3" borderId="1" xfId="0" applyFont="1" applyFill="1" applyBorder="1" applyAlignment="1">
      <alignment horizontal="center"/>
    </xf>
    <xf numFmtId="0" fontId="11" fillId="3" borderId="1" xfId="0" applyFont="1" applyFill="1" applyBorder="1"/>
    <xf numFmtId="4" fontId="11" fillId="3" borderId="1" xfId="0" applyNumberFormat="1" applyFont="1" applyFill="1" applyBorder="1"/>
    <xf numFmtId="9" fontId="11" fillId="3" borderId="1" xfId="0" applyNumberFormat="1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9" fontId="3" fillId="0" borderId="1" xfId="0" applyNumberFormat="1" applyFont="1" applyBorder="1"/>
    <xf numFmtId="165" fontId="1" fillId="0" borderId="1" xfId="0" applyNumberFormat="1" applyFont="1" applyBorder="1"/>
    <xf numFmtId="165" fontId="3" fillId="4" borderId="1" xfId="0" applyNumberFormat="1" applyFont="1" applyFill="1" applyBorder="1"/>
    <xf numFmtId="164" fontId="3" fillId="0" borderId="1" xfId="0" applyNumberFormat="1" applyFont="1" applyBorder="1"/>
    <xf numFmtId="4" fontId="8" fillId="4" borderId="1" xfId="0" applyNumberFormat="1" applyFont="1" applyFill="1" applyBorder="1"/>
    <xf numFmtId="4" fontId="3" fillId="4" borderId="1" xfId="0" applyNumberFormat="1" applyFont="1" applyFill="1" applyBorder="1"/>
    <xf numFmtId="4" fontId="1" fillId="0" borderId="1" xfId="0" applyNumberFormat="1" applyFont="1" applyBorder="1"/>
    <xf numFmtId="4" fontId="1" fillId="2" borderId="1" xfId="0" applyNumberFormat="1" applyFont="1" applyFill="1" applyBorder="1"/>
    <xf numFmtId="0" fontId="6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5" fillId="0" borderId="0" xfId="0" applyFont="1" applyAlignment="1">
      <alignment wrapText="1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7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5">
    <dxf>
      <font>
        <color rgb="FFFFFFFF"/>
      </font>
      <fill>
        <patternFill>
          <bgColor rgb="FFB4322A"/>
        </patternFill>
      </fill>
    </dxf>
    <dxf>
      <fill>
        <patternFill>
          <bgColor rgb="FFFFE68C"/>
        </patternFill>
      </fill>
    </dxf>
    <dxf>
      <fill>
        <patternFill>
          <bgColor rgb="FFB4322A"/>
        </patternFill>
      </fill>
    </dxf>
    <dxf>
      <fill>
        <patternFill>
          <bgColor rgb="FFDDF0F1"/>
        </patternFill>
      </fill>
    </dxf>
    <dxf>
      <fill>
        <patternFill>
          <bgColor rgb="FFFFE68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model-deviz-lucrari-constructii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A9FB6-9C4C-47E2-A19A-A3B02FC0943B}">
  <sheetPr>
    <pageSetUpPr fitToPage="1"/>
  </sheetPr>
  <dimension ref="B1:ZZ1000"/>
  <sheetViews>
    <sheetView showGridLines="0" tabSelected="1" workbookViewId="0"/>
  </sheetViews>
  <sheetFormatPr baseColWidth="10" defaultRowHeight="12.75" x14ac:dyDescent="0.2"/>
  <cols>
    <col min="1" max="1" width="2.7109375" style="1" customWidth="1"/>
    <col min="2" max="2" width="4.7109375" style="1" customWidth="1"/>
    <col min="3" max="3" width="17.7109375" style="1" customWidth="1"/>
    <col min="4" max="4" width="44.7109375" style="1" customWidth="1"/>
    <col min="5" max="5" width="6.7109375" style="1" customWidth="1"/>
    <col min="6" max="6" width="8.7109375" style="1" customWidth="1"/>
    <col min="7" max="8" width="9.7109375" style="1" customWidth="1"/>
    <col min="9" max="9" width="8.7109375" style="1" customWidth="1"/>
    <col min="10" max="10" width="9.7109375" style="1" customWidth="1"/>
    <col min="11" max="12" width="11.7109375" style="1" customWidth="1"/>
    <col min="13" max="14" width="10.7109375" style="1" customWidth="1"/>
    <col min="15" max="15" width="12.7109375" style="1" customWidth="1"/>
    <col min="16" max="16" width="20.7109375" style="1" customWidth="1"/>
    <col min="17" max="16384" width="11.42578125" style="1"/>
  </cols>
  <sheetData>
    <row r="1" spans="2:16" ht="23.25" x14ac:dyDescent="0.35">
      <c r="B1" s="13" t="s">
        <v>20</v>
      </c>
    </row>
    <row r="3" spans="2:16" x14ac:dyDescent="0.2">
      <c r="C3" s="5" t="s">
        <v>21</v>
      </c>
      <c r="D3" s="1" t="str">
        <f>Firma&amp;"  ·  CUI "&amp;CUI</f>
        <v>Exemplu Construcții SRL  ·  CUI RO12345678</v>
      </c>
      <c r="L3" s="14" t="s">
        <v>28</v>
      </c>
      <c r="M3" s="4" t="s">
        <v>29</v>
      </c>
    </row>
    <row r="4" spans="2:16" x14ac:dyDescent="0.2">
      <c r="C4" s="5" t="s">
        <v>22</v>
      </c>
      <c r="D4" s="3" t="s">
        <v>23</v>
      </c>
      <c r="L4" s="14" t="s">
        <v>30</v>
      </c>
      <c r="M4" s="15">
        <f>DATE(2026,10,8)</f>
        <v>46303</v>
      </c>
    </row>
    <row r="5" spans="2:16" x14ac:dyDescent="0.2">
      <c r="C5" s="5" t="s">
        <v>24</v>
      </c>
      <c r="D5" s="3" t="s">
        <v>25</v>
      </c>
      <c r="L5" s="14" t="s">
        <v>31</v>
      </c>
      <c r="M5" s="4">
        <v>30</v>
      </c>
    </row>
    <row r="6" spans="2:16" x14ac:dyDescent="0.2">
      <c r="C6" s="5" t="s">
        <v>26</v>
      </c>
      <c r="D6" s="3" t="s">
        <v>27</v>
      </c>
    </row>
    <row r="8" spans="2:16" x14ac:dyDescent="0.2">
      <c r="B8" s="57" t="s">
        <v>32</v>
      </c>
      <c r="C8" s="57" t="s">
        <v>33</v>
      </c>
      <c r="D8" s="57" t="s">
        <v>34</v>
      </c>
      <c r="E8" s="57" t="s">
        <v>35</v>
      </c>
      <c r="F8" s="57" t="s">
        <v>36</v>
      </c>
      <c r="G8" s="57" t="s">
        <v>37</v>
      </c>
      <c r="H8" s="57"/>
      <c r="I8" s="57"/>
      <c r="J8" s="57"/>
      <c r="K8" s="57" t="s">
        <v>38</v>
      </c>
      <c r="L8" s="57"/>
      <c r="M8" s="57"/>
      <c r="N8" s="57"/>
      <c r="O8" s="57"/>
      <c r="P8" s="57" t="s">
        <v>16</v>
      </c>
    </row>
    <row r="9" spans="2:16" ht="18" customHeight="1" x14ac:dyDescent="0.2">
      <c r="B9" s="57"/>
      <c r="C9" s="57"/>
      <c r="D9" s="57"/>
      <c r="E9" s="57"/>
      <c r="F9" s="57"/>
      <c r="G9" s="11" t="s">
        <v>39</v>
      </c>
      <c r="H9" s="11" t="s">
        <v>40</v>
      </c>
      <c r="I9" s="11" t="s">
        <v>41</v>
      </c>
      <c r="J9" s="11" t="s">
        <v>42</v>
      </c>
      <c r="K9" s="11" t="s">
        <v>39</v>
      </c>
      <c r="L9" s="11" t="s">
        <v>40</v>
      </c>
      <c r="M9" s="11" t="s">
        <v>41</v>
      </c>
      <c r="N9" s="11" t="s">
        <v>42</v>
      </c>
      <c r="O9" s="11" t="s">
        <v>43</v>
      </c>
      <c r="P9" s="57"/>
    </row>
    <row r="10" spans="2:16" x14ac:dyDescent="0.2">
      <c r="B10" s="26">
        <f>IF(D10="","",COUNTA($D$10:D10))</f>
        <v>1</v>
      </c>
      <c r="C10" s="27" t="s">
        <v>44</v>
      </c>
      <c r="D10" s="28" t="s">
        <v>45</v>
      </c>
      <c r="E10" s="29" t="s">
        <v>46</v>
      </c>
      <c r="F10" s="29">
        <v>96</v>
      </c>
      <c r="G10" s="30"/>
      <c r="H10" s="30">
        <v>24</v>
      </c>
      <c r="I10" s="30">
        <v>3</v>
      </c>
      <c r="J10" s="30"/>
      <c r="K10" s="31">
        <f t="shared" ref="K10:K49" si="0">IF($D10="","",ROUND(N($F10)*N(G10),2))</f>
        <v>0</v>
      </c>
      <c r="L10" s="31">
        <f t="shared" ref="L10:L49" si="1">IF($D10="","",ROUND(N($F10)*N(H10),2))</f>
        <v>2304</v>
      </c>
      <c r="M10" s="31">
        <f t="shared" ref="M10:M49" si="2">IF($D10="","",ROUND(N($F10)*N(I10),2))</f>
        <v>288</v>
      </c>
      <c r="N10" s="31">
        <f t="shared" ref="N10:N49" si="3">IF($D10="","",ROUND(N($F10)*N(J10),2))</f>
        <v>0</v>
      </c>
      <c r="O10" s="32">
        <f t="shared" ref="O10:O49" si="4">IF($D10="","",SUM(K10:N10))</f>
        <v>2592</v>
      </c>
      <c r="P10" s="27" t="s">
        <v>17</v>
      </c>
    </row>
    <row r="11" spans="2:16" x14ac:dyDescent="0.2">
      <c r="B11" s="26">
        <f>IF(D11="","",COUNTA($D$10:D11))</f>
        <v>2</v>
      </c>
      <c r="C11" s="27" t="s">
        <v>44</v>
      </c>
      <c r="D11" s="28" t="s">
        <v>47</v>
      </c>
      <c r="E11" s="29" t="s">
        <v>48</v>
      </c>
      <c r="F11" s="29">
        <v>18</v>
      </c>
      <c r="G11" s="30"/>
      <c r="H11" s="30">
        <v>45</v>
      </c>
      <c r="I11" s="30"/>
      <c r="J11" s="30"/>
      <c r="K11" s="31">
        <f t="shared" si="0"/>
        <v>0</v>
      </c>
      <c r="L11" s="31">
        <f t="shared" si="1"/>
        <v>810</v>
      </c>
      <c r="M11" s="31">
        <f t="shared" si="2"/>
        <v>0</v>
      </c>
      <c r="N11" s="31">
        <f t="shared" si="3"/>
        <v>0</v>
      </c>
      <c r="O11" s="32">
        <f t="shared" si="4"/>
        <v>810</v>
      </c>
      <c r="P11" s="27" t="s">
        <v>17</v>
      </c>
    </row>
    <row r="12" spans="2:16" x14ac:dyDescent="0.2">
      <c r="B12" s="26">
        <f>IF(D12="","",COUNTA($D$10:D12))</f>
        <v>3</v>
      </c>
      <c r="C12" s="27" t="s">
        <v>44</v>
      </c>
      <c r="D12" s="28" t="s">
        <v>49</v>
      </c>
      <c r="E12" s="29" t="s">
        <v>48</v>
      </c>
      <c r="F12" s="29">
        <v>3</v>
      </c>
      <c r="G12" s="30"/>
      <c r="H12" s="30">
        <v>120</v>
      </c>
      <c r="I12" s="30"/>
      <c r="J12" s="30">
        <v>650</v>
      </c>
      <c r="K12" s="31">
        <f t="shared" si="0"/>
        <v>0</v>
      </c>
      <c r="L12" s="31">
        <f t="shared" si="1"/>
        <v>360</v>
      </c>
      <c r="M12" s="31">
        <f t="shared" si="2"/>
        <v>0</v>
      </c>
      <c r="N12" s="31">
        <f t="shared" si="3"/>
        <v>1950</v>
      </c>
      <c r="O12" s="32">
        <f t="shared" si="4"/>
        <v>2310</v>
      </c>
      <c r="P12" s="27" t="s">
        <v>17</v>
      </c>
    </row>
    <row r="13" spans="2:16" ht="25.5" x14ac:dyDescent="0.2">
      <c r="B13" s="26">
        <f>IF(D13="","",COUNTA($D$10:D13))</f>
        <v>4</v>
      </c>
      <c r="C13" s="27" t="s">
        <v>50</v>
      </c>
      <c r="D13" s="28" t="s">
        <v>51</v>
      </c>
      <c r="E13" s="29" t="s">
        <v>52</v>
      </c>
      <c r="F13" s="29">
        <v>64</v>
      </c>
      <c r="G13" s="30">
        <v>26</v>
      </c>
      <c r="H13" s="30">
        <v>34</v>
      </c>
      <c r="I13" s="30"/>
      <c r="J13" s="30"/>
      <c r="K13" s="31">
        <f t="shared" si="0"/>
        <v>1664</v>
      </c>
      <c r="L13" s="31">
        <f t="shared" si="1"/>
        <v>2176</v>
      </c>
      <c r="M13" s="31">
        <f t="shared" si="2"/>
        <v>0</v>
      </c>
      <c r="N13" s="31">
        <f t="shared" si="3"/>
        <v>0</v>
      </c>
      <c r="O13" s="32">
        <f t="shared" si="4"/>
        <v>3840</v>
      </c>
      <c r="P13" s="27" t="s">
        <v>17</v>
      </c>
    </row>
    <row r="14" spans="2:16" x14ac:dyDescent="0.2">
      <c r="B14" s="26">
        <f>IF(D14="","",COUNTA($D$10:D14))</f>
        <v>5</v>
      </c>
      <c r="C14" s="27" t="s">
        <v>50</v>
      </c>
      <c r="D14" s="28" t="s">
        <v>53</v>
      </c>
      <c r="E14" s="29" t="s">
        <v>52</v>
      </c>
      <c r="F14" s="29">
        <v>38</v>
      </c>
      <c r="G14" s="30">
        <v>31</v>
      </c>
      <c r="H14" s="30">
        <v>38</v>
      </c>
      <c r="I14" s="30"/>
      <c r="J14" s="30"/>
      <c r="K14" s="31">
        <f t="shared" si="0"/>
        <v>1178</v>
      </c>
      <c r="L14" s="31">
        <f t="shared" si="1"/>
        <v>1444</v>
      </c>
      <c r="M14" s="31">
        <f t="shared" si="2"/>
        <v>0</v>
      </c>
      <c r="N14" s="31">
        <f t="shared" si="3"/>
        <v>0</v>
      </c>
      <c r="O14" s="32">
        <f t="shared" si="4"/>
        <v>2622</v>
      </c>
      <c r="P14" s="27" t="s">
        <v>17</v>
      </c>
    </row>
    <row r="15" spans="2:16" ht="25.5" x14ac:dyDescent="0.2">
      <c r="B15" s="26">
        <f>IF(D15="","",COUNTA($D$10:D15))</f>
        <v>6</v>
      </c>
      <c r="C15" s="27" t="s">
        <v>50</v>
      </c>
      <c r="D15" s="28" t="s">
        <v>54</v>
      </c>
      <c r="E15" s="29" t="s">
        <v>48</v>
      </c>
      <c r="F15" s="29">
        <v>18</v>
      </c>
      <c r="G15" s="30">
        <v>640</v>
      </c>
      <c r="H15" s="30">
        <v>160</v>
      </c>
      <c r="I15" s="30"/>
      <c r="J15" s="30"/>
      <c r="K15" s="31">
        <f t="shared" si="0"/>
        <v>11520</v>
      </c>
      <c r="L15" s="31">
        <f t="shared" si="1"/>
        <v>2880</v>
      </c>
      <c r="M15" s="31">
        <f t="shared" si="2"/>
        <v>0</v>
      </c>
      <c r="N15" s="31">
        <f t="shared" si="3"/>
        <v>0</v>
      </c>
      <c r="O15" s="32">
        <f t="shared" si="4"/>
        <v>14400</v>
      </c>
      <c r="P15" s="27" t="s">
        <v>17</v>
      </c>
    </row>
    <row r="16" spans="2:16" x14ac:dyDescent="0.2">
      <c r="B16" s="26">
        <f>IF(D16="","",COUNTA($D$10:D16))</f>
        <v>7</v>
      </c>
      <c r="C16" s="27" t="s">
        <v>55</v>
      </c>
      <c r="D16" s="28" t="s">
        <v>56</v>
      </c>
      <c r="E16" s="29" t="s">
        <v>48</v>
      </c>
      <c r="F16" s="29">
        <v>12</v>
      </c>
      <c r="G16" s="30">
        <v>95</v>
      </c>
      <c r="H16" s="30">
        <v>85</v>
      </c>
      <c r="I16" s="30"/>
      <c r="J16" s="30"/>
      <c r="K16" s="31">
        <f t="shared" si="0"/>
        <v>1140</v>
      </c>
      <c r="L16" s="31">
        <f t="shared" si="1"/>
        <v>1020</v>
      </c>
      <c r="M16" s="31">
        <f t="shared" si="2"/>
        <v>0</v>
      </c>
      <c r="N16" s="31">
        <f t="shared" si="3"/>
        <v>0</v>
      </c>
      <c r="O16" s="32">
        <f t="shared" si="4"/>
        <v>2160</v>
      </c>
      <c r="P16" s="27" t="s">
        <v>17</v>
      </c>
    </row>
    <row r="17" spans="2:16" x14ac:dyDescent="0.2">
      <c r="B17" s="26">
        <f>IF(D17="","",COUNTA($D$10:D17))</f>
        <v>8</v>
      </c>
      <c r="C17" s="27" t="s">
        <v>57</v>
      </c>
      <c r="D17" s="28" t="s">
        <v>58</v>
      </c>
      <c r="E17" s="29" t="s">
        <v>46</v>
      </c>
      <c r="F17" s="29">
        <v>58</v>
      </c>
      <c r="G17" s="30">
        <v>48</v>
      </c>
      <c r="H17" s="30">
        <v>30</v>
      </c>
      <c r="I17" s="30"/>
      <c r="J17" s="30"/>
      <c r="K17" s="31">
        <f t="shared" si="0"/>
        <v>2784</v>
      </c>
      <c r="L17" s="31">
        <f t="shared" si="1"/>
        <v>1740</v>
      </c>
      <c r="M17" s="31">
        <f t="shared" si="2"/>
        <v>0</v>
      </c>
      <c r="N17" s="31">
        <f t="shared" si="3"/>
        <v>0</v>
      </c>
      <c r="O17" s="32">
        <f t="shared" si="4"/>
        <v>4524</v>
      </c>
      <c r="P17" s="27" t="s">
        <v>17</v>
      </c>
    </row>
    <row r="18" spans="2:16" x14ac:dyDescent="0.2">
      <c r="B18" s="26">
        <f>IF(D18="","",COUNTA($D$10:D18))</f>
        <v>9</v>
      </c>
      <c r="C18" s="27" t="s">
        <v>57</v>
      </c>
      <c r="D18" s="28" t="s">
        <v>59</v>
      </c>
      <c r="E18" s="29" t="s">
        <v>46</v>
      </c>
      <c r="F18" s="29">
        <v>52</v>
      </c>
      <c r="G18" s="30">
        <v>36</v>
      </c>
      <c r="H18" s="30">
        <v>28</v>
      </c>
      <c r="I18" s="30">
        <v>4</v>
      </c>
      <c r="J18" s="30"/>
      <c r="K18" s="31">
        <f t="shared" si="0"/>
        <v>1872</v>
      </c>
      <c r="L18" s="31">
        <f t="shared" si="1"/>
        <v>1456</v>
      </c>
      <c r="M18" s="31">
        <f t="shared" si="2"/>
        <v>208</v>
      </c>
      <c r="N18" s="31">
        <f t="shared" si="3"/>
        <v>0</v>
      </c>
      <c r="O18" s="32">
        <f t="shared" si="4"/>
        <v>3536</v>
      </c>
      <c r="P18" s="27" t="s">
        <v>17</v>
      </c>
    </row>
    <row r="19" spans="2:16" x14ac:dyDescent="0.2">
      <c r="B19" s="26">
        <f>IF(D19="","",COUNTA($D$10:D19))</f>
        <v>10</v>
      </c>
      <c r="C19" s="27" t="s">
        <v>57</v>
      </c>
      <c r="D19" s="28" t="s">
        <v>60</v>
      </c>
      <c r="E19" s="29" t="s">
        <v>46</v>
      </c>
      <c r="F19" s="29">
        <v>96</v>
      </c>
      <c r="G19" s="30">
        <v>72</v>
      </c>
      <c r="H19" s="30">
        <v>68</v>
      </c>
      <c r="I19" s="30"/>
      <c r="J19" s="30"/>
      <c r="K19" s="31">
        <f t="shared" si="0"/>
        <v>6912</v>
      </c>
      <c r="L19" s="31">
        <f t="shared" si="1"/>
        <v>6528</v>
      </c>
      <c r="M19" s="31">
        <f t="shared" si="2"/>
        <v>0</v>
      </c>
      <c r="N19" s="31">
        <f t="shared" si="3"/>
        <v>0</v>
      </c>
      <c r="O19" s="32">
        <f t="shared" si="4"/>
        <v>13440</v>
      </c>
      <c r="P19" s="27" t="s">
        <v>17</v>
      </c>
    </row>
    <row r="20" spans="2:16" x14ac:dyDescent="0.2">
      <c r="B20" s="26">
        <f>IF(D20="","",COUNTA($D$10:D20))</f>
        <v>11</v>
      </c>
      <c r="C20" s="27" t="s">
        <v>57</v>
      </c>
      <c r="D20" s="28" t="s">
        <v>61</v>
      </c>
      <c r="E20" s="29" t="s">
        <v>46</v>
      </c>
      <c r="F20" s="29">
        <v>52</v>
      </c>
      <c r="G20" s="30">
        <v>84</v>
      </c>
      <c r="H20" s="30">
        <v>70</v>
      </c>
      <c r="I20" s="30"/>
      <c r="J20" s="30"/>
      <c r="K20" s="31">
        <f t="shared" si="0"/>
        <v>4368</v>
      </c>
      <c r="L20" s="31">
        <f t="shared" si="1"/>
        <v>3640</v>
      </c>
      <c r="M20" s="31">
        <f t="shared" si="2"/>
        <v>0</v>
      </c>
      <c r="N20" s="31">
        <f t="shared" si="3"/>
        <v>0</v>
      </c>
      <c r="O20" s="32">
        <f t="shared" si="4"/>
        <v>8008</v>
      </c>
      <c r="P20" s="27" t="s">
        <v>17</v>
      </c>
    </row>
    <row r="21" spans="2:16" x14ac:dyDescent="0.2">
      <c r="B21" s="26">
        <f>IF(D21="","",COUNTA($D$10:D21))</f>
        <v>12</v>
      </c>
      <c r="C21" s="27" t="s">
        <v>57</v>
      </c>
      <c r="D21" s="28" t="s">
        <v>62</v>
      </c>
      <c r="E21" s="29" t="s">
        <v>46</v>
      </c>
      <c r="F21" s="29">
        <v>140</v>
      </c>
      <c r="G21" s="30">
        <v>9</v>
      </c>
      <c r="H21" s="30">
        <v>14</v>
      </c>
      <c r="I21" s="30"/>
      <c r="J21" s="30"/>
      <c r="K21" s="31">
        <f t="shared" si="0"/>
        <v>1260</v>
      </c>
      <c r="L21" s="31">
        <f t="shared" si="1"/>
        <v>1960</v>
      </c>
      <c r="M21" s="31">
        <f t="shared" si="2"/>
        <v>0</v>
      </c>
      <c r="N21" s="31">
        <f t="shared" si="3"/>
        <v>0</v>
      </c>
      <c r="O21" s="32">
        <f t="shared" si="4"/>
        <v>3220</v>
      </c>
      <c r="P21" s="27" t="s">
        <v>17</v>
      </c>
    </row>
    <row r="22" spans="2:16" x14ac:dyDescent="0.2">
      <c r="B22" s="26">
        <f>IF(D22="","",COUNTA($D$10:D22))</f>
        <v>13</v>
      </c>
      <c r="C22" s="27" t="s">
        <v>63</v>
      </c>
      <c r="D22" s="28" t="s">
        <v>64</v>
      </c>
      <c r="E22" s="29" t="s">
        <v>48</v>
      </c>
      <c r="F22" s="29">
        <v>10</v>
      </c>
      <c r="G22" s="30">
        <v>620</v>
      </c>
      <c r="H22" s="30">
        <v>120</v>
      </c>
      <c r="I22" s="30"/>
      <c r="J22" s="30"/>
      <c r="K22" s="31">
        <f t="shared" si="0"/>
        <v>6200</v>
      </c>
      <c r="L22" s="31">
        <f t="shared" si="1"/>
        <v>1200</v>
      </c>
      <c r="M22" s="31">
        <f t="shared" si="2"/>
        <v>0</v>
      </c>
      <c r="N22" s="31">
        <f t="shared" si="3"/>
        <v>0</v>
      </c>
      <c r="O22" s="32">
        <f t="shared" si="4"/>
        <v>7400</v>
      </c>
      <c r="P22" s="27" t="s">
        <v>17</v>
      </c>
    </row>
    <row r="23" spans="2:16" ht="25.5" x14ac:dyDescent="0.2">
      <c r="B23" s="26">
        <f>IF(D23="","",COUNTA($D$10:D23))</f>
        <v>14</v>
      </c>
      <c r="C23" s="27" t="s">
        <v>65</v>
      </c>
      <c r="D23" s="28" t="s">
        <v>66</v>
      </c>
      <c r="E23" s="29" t="s">
        <v>52</v>
      </c>
      <c r="F23" s="29">
        <v>6</v>
      </c>
      <c r="G23" s="30">
        <v>120</v>
      </c>
      <c r="H23" s="30">
        <v>150</v>
      </c>
      <c r="I23" s="30"/>
      <c r="J23" s="30"/>
      <c r="K23" s="31">
        <f t="shared" si="0"/>
        <v>720</v>
      </c>
      <c r="L23" s="31">
        <f t="shared" si="1"/>
        <v>900</v>
      </c>
      <c r="M23" s="31">
        <f t="shared" si="2"/>
        <v>0</v>
      </c>
      <c r="N23" s="31">
        <f t="shared" si="3"/>
        <v>0</v>
      </c>
      <c r="O23" s="32">
        <f t="shared" si="4"/>
        <v>1620</v>
      </c>
      <c r="P23" s="27" t="s">
        <v>18</v>
      </c>
    </row>
    <row r="24" spans="2:16" ht="25.5" x14ac:dyDescent="0.2">
      <c r="B24" s="26">
        <f>IF(D24="","",COUNTA($D$10:D24))</f>
        <v>15</v>
      </c>
      <c r="C24" s="27" t="s">
        <v>65</v>
      </c>
      <c r="D24" s="28" t="s">
        <v>67</v>
      </c>
      <c r="E24" s="29" t="s">
        <v>46</v>
      </c>
      <c r="F24" s="29">
        <v>18</v>
      </c>
      <c r="G24" s="30">
        <v>28</v>
      </c>
      <c r="H24" s="30">
        <v>46</v>
      </c>
      <c r="I24" s="30"/>
      <c r="J24" s="30"/>
      <c r="K24" s="31">
        <f t="shared" si="0"/>
        <v>504</v>
      </c>
      <c r="L24" s="31">
        <f t="shared" si="1"/>
        <v>828</v>
      </c>
      <c r="M24" s="31">
        <f t="shared" si="2"/>
        <v>0</v>
      </c>
      <c r="N24" s="31">
        <f t="shared" si="3"/>
        <v>0</v>
      </c>
      <c r="O24" s="32">
        <f t="shared" si="4"/>
        <v>1332</v>
      </c>
      <c r="P24" s="27" t="s">
        <v>19</v>
      </c>
    </row>
    <row r="25" spans="2:16" x14ac:dyDescent="0.2">
      <c r="B25" s="26" t="str">
        <f>IF(D25="","",COUNTA($D$10:D25))</f>
        <v/>
      </c>
      <c r="C25" s="27"/>
      <c r="D25" s="28"/>
      <c r="E25" s="29"/>
      <c r="F25" s="29"/>
      <c r="G25" s="30"/>
      <c r="H25" s="30"/>
      <c r="I25" s="30"/>
      <c r="J25" s="30"/>
      <c r="K25" s="31" t="str">
        <f t="shared" si="0"/>
        <v/>
      </c>
      <c r="L25" s="31" t="str">
        <f t="shared" si="1"/>
        <v/>
      </c>
      <c r="M25" s="31" t="str">
        <f t="shared" si="2"/>
        <v/>
      </c>
      <c r="N25" s="31" t="str">
        <f t="shared" si="3"/>
        <v/>
      </c>
      <c r="O25" s="32" t="str">
        <f t="shared" si="4"/>
        <v/>
      </c>
      <c r="P25" s="27"/>
    </row>
    <row r="26" spans="2:16" x14ac:dyDescent="0.2">
      <c r="B26" s="26" t="str">
        <f>IF(D26="","",COUNTA($D$10:D26))</f>
        <v/>
      </c>
      <c r="C26" s="27"/>
      <c r="D26" s="28"/>
      <c r="E26" s="29"/>
      <c r="F26" s="29"/>
      <c r="G26" s="30"/>
      <c r="H26" s="30"/>
      <c r="I26" s="30"/>
      <c r="J26" s="30"/>
      <c r="K26" s="31" t="str">
        <f t="shared" si="0"/>
        <v/>
      </c>
      <c r="L26" s="31" t="str">
        <f t="shared" si="1"/>
        <v/>
      </c>
      <c r="M26" s="31" t="str">
        <f t="shared" si="2"/>
        <v/>
      </c>
      <c r="N26" s="31" t="str">
        <f t="shared" si="3"/>
        <v/>
      </c>
      <c r="O26" s="32" t="str">
        <f t="shared" si="4"/>
        <v/>
      </c>
      <c r="P26" s="27"/>
    </row>
    <row r="27" spans="2:16" x14ac:dyDescent="0.2">
      <c r="B27" s="26" t="str">
        <f>IF(D27="","",COUNTA($D$10:D27))</f>
        <v/>
      </c>
      <c r="C27" s="27"/>
      <c r="D27" s="28"/>
      <c r="E27" s="29"/>
      <c r="F27" s="29"/>
      <c r="G27" s="30"/>
      <c r="H27" s="30"/>
      <c r="I27" s="30"/>
      <c r="J27" s="30"/>
      <c r="K27" s="31" t="str">
        <f t="shared" si="0"/>
        <v/>
      </c>
      <c r="L27" s="31" t="str">
        <f t="shared" si="1"/>
        <v/>
      </c>
      <c r="M27" s="31" t="str">
        <f t="shared" si="2"/>
        <v/>
      </c>
      <c r="N27" s="31" t="str">
        <f t="shared" si="3"/>
        <v/>
      </c>
      <c r="O27" s="32" t="str">
        <f t="shared" si="4"/>
        <v/>
      </c>
      <c r="P27" s="27"/>
    </row>
    <row r="28" spans="2:16" x14ac:dyDescent="0.2">
      <c r="B28" s="26" t="str">
        <f>IF(D28="","",COUNTA($D$10:D28))</f>
        <v/>
      </c>
      <c r="C28" s="27"/>
      <c r="D28" s="28"/>
      <c r="E28" s="29"/>
      <c r="F28" s="29"/>
      <c r="G28" s="30"/>
      <c r="H28" s="30"/>
      <c r="I28" s="30"/>
      <c r="J28" s="30"/>
      <c r="K28" s="31" t="str">
        <f t="shared" si="0"/>
        <v/>
      </c>
      <c r="L28" s="31" t="str">
        <f t="shared" si="1"/>
        <v/>
      </c>
      <c r="M28" s="31" t="str">
        <f t="shared" si="2"/>
        <v/>
      </c>
      <c r="N28" s="31" t="str">
        <f t="shared" si="3"/>
        <v/>
      </c>
      <c r="O28" s="32" t="str">
        <f t="shared" si="4"/>
        <v/>
      </c>
      <c r="P28" s="27"/>
    </row>
    <row r="29" spans="2:16" x14ac:dyDescent="0.2">
      <c r="B29" s="26" t="str">
        <f>IF(D29="","",COUNTA($D$10:D29))</f>
        <v/>
      </c>
      <c r="C29" s="27"/>
      <c r="D29" s="28"/>
      <c r="E29" s="29"/>
      <c r="F29" s="29"/>
      <c r="G29" s="30"/>
      <c r="H29" s="30"/>
      <c r="I29" s="30"/>
      <c r="J29" s="30"/>
      <c r="K29" s="31" t="str">
        <f t="shared" si="0"/>
        <v/>
      </c>
      <c r="L29" s="31" t="str">
        <f t="shared" si="1"/>
        <v/>
      </c>
      <c r="M29" s="31" t="str">
        <f t="shared" si="2"/>
        <v/>
      </c>
      <c r="N29" s="31" t="str">
        <f t="shared" si="3"/>
        <v/>
      </c>
      <c r="O29" s="32" t="str">
        <f t="shared" si="4"/>
        <v/>
      </c>
      <c r="P29" s="27"/>
    </row>
    <row r="30" spans="2:16" x14ac:dyDescent="0.2">
      <c r="B30" s="26" t="str">
        <f>IF(D30="","",COUNTA($D$10:D30))</f>
        <v/>
      </c>
      <c r="C30" s="27"/>
      <c r="D30" s="28"/>
      <c r="E30" s="29"/>
      <c r="F30" s="29"/>
      <c r="G30" s="30"/>
      <c r="H30" s="30"/>
      <c r="I30" s="30"/>
      <c r="J30" s="30"/>
      <c r="K30" s="31" t="str">
        <f t="shared" si="0"/>
        <v/>
      </c>
      <c r="L30" s="31" t="str">
        <f t="shared" si="1"/>
        <v/>
      </c>
      <c r="M30" s="31" t="str">
        <f t="shared" si="2"/>
        <v/>
      </c>
      <c r="N30" s="31" t="str">
        <f t="shared" si="3"/>
        <v/>
      </c>
      <c r="O30" s="32" t="str">
        <f t="shared" si="4"/>
        <v/>
      </c>
      <c r="P30" s="27"/>
    </row>
    <row r="31" spans="2:16" x14ac:dyDescent="0.2">
      <c r="B31" s="26" t="str">
        <f>IF(D31="","",COUNTA($D$10:D31))</f>
        <v/>
      </c>
      <c r="C31" s="27"/>
      <c r="D31" s="28"/>
      <c r="E31" s="29"/>
      <c r="F31" s="29"/>
      <c r="G31" s="30"/>
      <c r="H31" s="30"/>
      <c r="I31" s="30"/>
      <c r="J31" s="30"/>
      <c r="K31" s="31" t="str">
        <f t="shared" si="0"/>
        <v/>
      </c>
      <c r="L31" s="31" t="str">
        <f t="shared" si="1"/>
        <v/>
      </c>
      <c r="M31" s="31" t="str">
        <f t="shared" si="2"/>
        <v/>
      </c>
      <c r="N31" s="31" t="str">
        <f t="shared" si="3"/>
        <v/>
      </c>
      <c r="O31" s="32" t="str">
        <f t="shared" si="4"/>
        <v/>
      </c>
      <c r="P31" s="27"/>
    </row>
    <row r="32" spans="2:16" x14ac:dyDescent="0.2">
      <c r="B32" s="26" t="str">
        <f>IF(D32="","",COUNTA($D$10:D32))</f>
        <v/>
      </c>
      <c r="C32" s="27"/>
      <c r="D32" s="28"/>
      <c r="E32" s="29"/>
      <c r="F32" s="29"/>
      <c r="G32" s="30"/>
      <c r="H32" s="30"/>
      <c r="I32" s="30"/>
      <c r="J32" s="30"/>
      <c r="K32" s="31" t="str">
        <f t="shared" si="0"/>
        <v/>
      </c>
      <c r="L32" s="31" t="str">
        <f t="shared" si="1"/>
        <v/>
      </c>
      <c r="M32" s="31" t="str">
        <f t="shared" si="2"/>
        <v/>
      </c>
      <c r="N32" s="31" t="str">
        <f t="shared" si="3"/>
        <v/>
      </c>
      <c r="O32" s="32" t="str">
        <f t="shared" si="4"/>
        <v/>
      </c>
      <c r="P32" s="27"/>
    </row>
    <row r="33" spans="2:16" x14ac:dyDescent="0.2">
      <c r="B33" s="26" t="str">
        <f>IF(D33="","",COUNTA($D$10:D33))</f>
        <v/>
      </c>
      <c r="C33" s="27"/>
      <c r="D33" s="28"/>
      <c r="E33" s="29"/>
      <c r="F33" s="29"/>
      <c r="G33" s="30"/>
      <c r="H33" s="30"/>
      <c r="I33" s="30"/>
      <c r="J33" s="30"/>
      <c r="K33" s="31" t="str">
        <f t="shared" si="0"/>
        <v/>
      </c>
      <c r="L33" s="31" t="str">
        <f t="shared" si="1"/>
        <v/>
      </c>
      <c r="M33" s="31" t="str">
        <f t="shared" si="2"/>
        <v/>
      </c>
      <c r="N33" s="31" t="str">
        <f t="shared" si="3"/>
        <v/>
      </c>
      <c r="O33" s="32" t="str">
        <f t="shared" si="4"/>
        <v/>
      </c>
      <c r="P33" s="27"/>
    </row>
    <row r="34" spans="2:16" x14ac:dyDescent="0.2">
      <c r="B34" s="26" t="str">
        <f>IF(D34="","",COUNTA($D$10:D34))</f>
        <v/>
      </c>
      <c r="C34" s="27"/>
      <c r="D34" s="28"/>
      <c r="E34" s="29"/>
      <c r="F34" s="29"/>
      <c r="G34" s="30"/>
      <c r="H34" s="30"/>
      <c r="I34" s="30"/>
      <c r="J34" s="30"/>
      <c r="K34" s="31" t="str">
        <f t="shared" si="0"/>
        <v/>
      </c>
      <c r="L34" s="31" t="str">
        <f t="shared" si="1"/>
        <v/>
      </c>
      <c r="M34" s="31" t="str">
        <f t="shared" si="2"/>
        <v/>
      </c>
      <c r="N34" s="31" t="str">
        <f t="shared" si="3"/>
        <v/>
      </c>
      <c r="O34" s="32" t="str">
        <f t="shared" si="4"/>
        <v/>
      </c>
      <c r="P34" s="27"/>
    </row>
    <row r="35" spans="2:16" x14ac:dyDescent="0.2">
      <c r="B35" s="26" t="str">
        <f>IF(D35="","",COUNTA($D$10:D35))</f>
        <v/>
      </c>
      <c r="C35" s="27"/>
      <c r="D35" s="28"/>
      <c r="E35" s="29"/>
      <c r="F35" s="29"/>
      <c r="G35" s="30"/>
      <c r="H35" s="30"/>
      <c r="I35" s="30"/>
      <c r="J35" s="30"/>
      <c r="K35" s="31" t="str">
        <f t="shared" si="0"/>
        <v/>
      </c>
      <c r="L35" s="31" t="str">
        <f t="shared" si="1"/>
        <v/>
      </c>
      <c r="M35" s="31" t="str">
        <f t="shared" si="2"/>
        <v/>
      </c>
      <c r="N35" s="31" t="str">
        <f t="shared" si="3"/>
        <v/>
      </c>
      <c r="O35" s="32" t="str">
        <f t="shared" si="4"/>
        <v/>
      </c>
      <c r="P35" s="27"/>
    </row>
    <row r="36" spans="2:16" x14ac:dyDescent="0.2">
      <c r="B36" s="26" t="str">
        <f>IF(D36="","",COUNTA($D$10:D36))</f>
        <v/>
      </c>
      <c r="C36" s="27"/>
      <c r="D36" s="28"/>
      <c r="E36" s="29"/>
      <c r="F36" s="29"/>
      <c r="G36" s="30"/>
      <c r="H36" s="30"/>
      <c r="I36" s="30"/>
      <c r="J36" s="30"/>
      <c r="K36" s="31" t="str">
        <f t="shared" si="0"/>
        <v/>
      </c>
      <c r="L36" s="31" t="str">
        <f t="shared" si="1"/>
        <v/>
      </c>
      <c r="M36" s="31" t="str">
        <f t="shared" si="2"/>
        <v/>
      </c>
      <c r="N36" s="31" t="str">
        <f t="shared" si="3"/>
        <v/>
      </c>
      <c r="O36" s="32" t="str">
        <f t="shared" si="4"/>
        <v/>
      </c>
      <c r="P36" s="27"/>
    </row>
    <row r="37" spans="2:16" x14ac:dyDescent="0.2">
      <c r="B37" s="26" t="str">
        <f>IF(D37="","",COUNTA($D$10:D37))</f>
        <v/>
      </c>
      <c r="C37" s="27"/>
      <c r="D37" s="28"/>
      <c r="E37" s="29"/>
      <c r="F37" s="29"/>
      <c r="G37" s="30"/>
      <c r="H37" s="30"/>
      <c r="I37" s="30"/>
      <c r="J37" s="30"/>
      <c r="K37" s="31" t="str">
        <f t="shared" si="0"/>
        <v/>
      </c>
      <c r="L37" s="31" t="str">
        <f t="shared" si="1"/>
        <v/>
      </c>
      <c r="M37" s="31" t="str">
        <f t="shared" si="2"/>
        <v/>
      </c>
      <c r="N37" s="31" t="str">
        <f t="shared" si="3"/>
        <v/>
      </c>
      <c r="O37" s="32" t="str">
        <f t="shared" si="4"/>
        <v/>
      </c>
      <c r="P37" s="27"/>
    </row>
    <row r="38" spans="2:16" x14ac:dyDescent="0.2">
      <c r="B38" s="26" t="str">
        <f>IF(D38="","",COUNTA($D$10:D38))</f>
        <v/>
      </c>
      <c r="C38" s="27"/>
      <c r="D38" s="28"/>
      <c r="E38" s="29"/>
      <c r="F38" s="29"/>
      <c r="G38" s="30"/>
      <c r="H38" s="30"/>
      <c r="I38" s="30"/>
      <c r="J38" s="30"/>
      <c r="K38" s="31" t="str">
        <f t="shared" si="0"/>
        <v/>
      </c>
      <c r="L38" s="31" t="str">
        <f t="shared" si="1"/>
        <v/>
      </c>
      <c r="M38" s="31" t="str">
        <f t="shared" si="2"/>
        <v/>
      </c>
      <c r="N38" s="31" t="str">
        <f t="shared" si="3"/>
        <v/>
      </c>
      <c r="O38" s="32" t="str">
        <f t="shared" si="4"/>
        <v/>
      </c>
      <c r="P38" s="27"/>
    </row>
    <row r="39" spans="2:16" x14ac:dyDescent="0.2">
      <c r="B39" s="26" t="str">
        <f>IF(D39="","",COUNTA($D$10:D39))</f>
        <v/>
      </c>
      <c r="C39" s="27"/>
      <c r="D39" s="28"/>
      <c r="E39" s="29"/>
      <c r="F39" s="29"/>
      <c r="G39" s="30"/>
      <c r="H39" s="30"/>
      <c r="I39" s="30"/>
      <c r="J39" s="30"/>
      <c r="K39" s="31" t="str">
        <f t="shared" si="0"/>
        <v/>
      </c>
      <c r="L39" s="31" t="str">
        <f t="shared" si="1"/>
        <v/>
      </c>
      <c r="M39" s="31" t="str">
        <f t="shared" si="2"/>
        <v/>
      </c>
      <c r="N39" s="31" t="str">
        <f t="shared" si="3"/>
        <v/>
      </c>
      <c r="O39" s="32" t="str">
        <f t="shared" si="4"/>
        <v/>
      </c>
      <c r="P39" s="27"/>
    </row>
    <row r="40" spans="2:16" x14ac:dyDescent="0.2">
      <c r="B40" s="26" t="str">
        <f>IF(D40="","",COUNTA($D$10:D40))</f>
        <v/>
      </c>
      <c r="C40" s="27"/>
      <c r="D40" s="28"/>
      <c r="E40" s="29"/>
      <c r="F40" s="29"/>
      <c r="G40" s="30"/>
      <c r="H40" s="30"/>
      <c r="I40" s="30"/>
      <c r="J40" s="30"/>
      <c r="K40" s="31" t="str">
        <f t="shared" si="0"/>
        <v/>
      </c>
      <c r="L40" s="31" t="str">
        <f t="shared" si="1"/>
        <v/>
      </c>
      <c r="M40" s="31" t="str">
        <f t="shared" si="2"/>
        <v/>
      </c>
      <c r="N40" s="31" t="str">
        <f t="shared" si="3"/>
        <v/>
      </c>
      <c r="O40" s="32" t="str">
        <f t="shared" si="4"/>
        <v/>
      </c>
      <c r="P40" s="27"/>
    </row>
    <row r="41" spans="2:16" x14ac:dyDescent="0.2">
      <c r="B41" s="26" t="str">
        <f>IF(D41="","",COUNTA($D$10:D41))</f>
        <v/>
      </c>
      <c r="C41" s="27"/>
      <c r="D41" s="28"/>
      <c r="E41" s="29"/>
      <c r="F41" s="29"/>
      <c r="G41" s="30"/>
      <c r="H41" s="30"/>
      <c r="I41" s="30"/>
      <c r="J41" s="30"/>
      <c r="K41" s="31" t="str">
        <f t="shared" si="0"/>
        <v/>
      </c>
      <c r="L41" s="31" t="str">
        <f t="shared" si="1"/>
        <v/>
      </c>
      <c r="M41" s="31" t="str">
        <f t="shared" si="2"/>
        <v/>
      </c>
      <c r="N41" s="31" t="str">
        <f t="shared" si="3"/>
        <v/>
      </c>
      <c r="O41" s="32" t="str">
        <f t="shared" si="4"/>
        <v/>
      </c>
      <c r="P41" s="27"/>
    </row>
    <row r="42" spans="2:16" x14ac:dyDescent="0.2">
      <c r="B42" s="26" t="str">
        <f>IF(D42="","",COUNTA($D$10:D42))</f>
        <v/>
      </c>
      <c r="C42" s="27"/>
      <c r="D42" s="28"/>
      <c r="E42" s="29"/>
      <c r="F42" s="29"/>
      <c r="G42" s="30"/>
      <c r="H42" s="30"/>
      <c r="I42" s="30"/>
      <c r="J42" s="30"/>
      <c r="K42" s="31" t="str">
        <f t="shared" si="0"/>
        <v/>
      </c>
      <c r="L42" s="31" t="str">
        <f t="shared" si="1"/>
        <v/>
      </c>
      <c r="M42" s="31" t="str">
        <f t="shared" si="2"/>
        <v/>
      </c>
      <c r="N42" s="31" t="str">
        <f t="shared" si="3"/>
        <v/>
      </c>
      <c r="O42" s="32" t="str">
        <f t="shared" si="4"/>
        <v/>
      </c>
      <c r="P42" s="27"/>
    </row>
    <row r="43" spans="2:16" x14ac:dyDescent="0.2">
      <c r="B43" s="26" t="str">
        <f>IF(D43="","",COUNTA($D$10:D43))</f>
        <v/>
      </c>
      <c r="C43" s="27"/>
      <c r="D43" s="28"/>
      <c r="E43" s="29"/>
      <c r="F43" s="29"/>
      <c r="G43" s="30"/>
      <c r="H43" s="30"/>
      <c r="I43" s="30"/>
      <c r="J43" s="30"/>
      <c r="K43" s="31" t="str">
        <f t="shared" si="0"/>
        <v/>
      </c>
      <c r="L43" s="31" t="str">
        <f t="shared" si="1"/>
        <v/>
      </c>
      <c r="M43" s="31" t="str">
        <f t="shared" si="2"/>
        <v/>
      </c>
      <c r="N43" s="31" t="str">
        <f t="shared" si="3"/>
        <v/>
      </c>
      <c r="O43" s="32" t="str">
        <f t="shared" si="4"/>
        <v/>
      </c>
      <c r="P43" s="27"/>
    </row>
    <row r="44" spans="2:16" x14ac:dyDescent="0.2">
      <c r="B44" s="26" t="str">
        <f>IF(D44="","",COUNTA($D$10:D44))</f>
        <v/>
      </c>
      <c r="C44" s="27"/>
      <c r="D44" s="28"/>
      <c r="E44" s="29"/>
      <c r="F44" s="29"/>
      <c r="G44" s="30"/>
      <c r="H44" s="30"/>
      <c r="I44" s="30"/>
      <c r="J44" s="30"/>
      <c r="K44" s="31" t="str">
        <f t="shared" si="0"/>
        <v/>
      </c>
      <c r="L44" s="31" t="str">
        <f t="shared" si="1"/>
        <v/>
      </c>
      <c r="M44" s="31" t="str">
        <f t="shared" si="2"/>
        <v/>
      </c>
      <c r="N44" s="31" t="str">
        <f t="shared" si="3"/>
        <v/>
      </c>
      <c r="O44" s="32" t="str">
        <f t="shared" si="4"/>
        <v/>
      </c>
      <c r="P44" s="27"/>
    </row>
    <row r="45" spans="2:16" x14ac:dyDescent="0.2">
      <c r="B45" s="26" t="str">
        <f>IF(D45="","",COUNTA($D$10:D45))</f>
        <v/>
      </c>
      <c r="C45" s="27"/>
      <c r="D45" s="28"/>
      <c r="E45" s="29"/>
      <c r="F45" s="29"/>
      <c r="G45" s="30"/>
      <c r="H45" s="30"/>
      <c r="I45" s="30"/>
      <c r="J45" s="30"/>
      <c r="K45" s="31" t="str">
        <f t="shared" si="0"/>
        <v/>
      </c>
      <c r="L45" s="31" t="str">
        <f t="shared" si="1"/>
        <v/>
      </c>
      <c r="M45" s="31" t="str">
        <f t="shared" si="2"/>
        <v/>
      </c>
      <c r="N45" s="31" t="str">
        <f t="shared" si="3"/>
        <v/>
      </c>
      <c r="O45" s="32" t="str">
        <f t="shared" si="4"/>
        <v/>
      </c>
      <c r="P45" s="27"/>
    </row>
    <row r="46" spans="2:16" x14ac:dyDescent="0.2">
      <c r="B46" s="26" t="str">
        <f>IF(D46="","",COUNTA($D$10:D46))</f>
        <v/>
      </c>
      <c r="C46" s="27"/>
      <c r="D46" s="28"/>
      <c r="E46" s="29"/>
      <c r="F46" s="29"/>
      <c r="G46" s="30"/>
      <c r="H46" s="30"/>
      <c r="I46" s="30"/>
      <c r="J46" s="30"/>
      <c r="K46" s="31" t="str">
        <f t="shared" si="0"/>
        <v/>
      </c>
      <c r="L46" s="31" t="str">
        <f t="shared" si="1"/>
        <v/>
      </c>
      <c r="M46" s="31" t="str">
        <f t="shared" si="2"/>
        <v/>
      </c>
      <c r="N46" s="31" t="str">
        <f t="shared" si="3"/>
        <v/>
      </c>
      <c r="O46" s="32" t="str">
        <f t="shared" si="4"/>
        <v/>
      </c>
      <c r="P46" s="27"/>
    </row>
    <row r="47" spans="2:16" x14ac:dyDescent="0.2">
      <c r="B47" s="26" t="str">
        <f>IF(D47="","",COUNTA($D$10:D47))</f>
        <v/>
      </c>
      <c r="C47" s="27"/>
      <c r="D47" s="28"/>
      <c r="E47" s="29"/>
      <c r="F47" s="29"/>
      <c r="G47" s="30"/>
      <c r="H47" s="30"/>
      <c r="I47" s="30"/>
      <c r="J47" s="30"/>
      <c r="K47" s="31" t="str">
        <f t="shared" si="0"/>
        <v/>
      </c>
      <c r="L47" s="31" t="str">
        <f t="shared" si="1"/>
        <v/>
      </c>
      <c r="M47" s="31" t="str">
        <f t="shared" si="2"/>
        <v/>
      </c>
      <c r="N47" s="31" t="str">
        <f t="shared" si="3"/>
        <v/>
      </c>
      <c r="O47" s="32" t="str">
        <f t="shared" si="4"/>
        <v/>
      </c>
      <c r="P47" s="27"/>
    </row>
    <row r="48" spans="2:16" x14ac:dyDescent="0.2">
      <c r="B48" s="26" t="str">
        <f>IF(D48="","",COUNTA($D$10:D48))</f>
        <v/>
      </c>
      <c r="C48" s="27"/>
      <c r="D48" s="28"/>
      <c r="E48" s="29"/>
      <c r="F48" s="29"/>
      <c r="G48" s="30"/>
      <c r="H48" s="30"/>
      <c r="I48" s="30"/>
      <c r="J48" s="30"/>
      <c r="K48" s="31" t="str">
        <f t="shared" si="0"/>
        <v/>
      </c>
      <c r="L48" s="31" t="str">
        <f t="shared" si="1"/>
        <v/>
      </c>
      <c r="M48" s="31" t="str">
        <f t="shared" si="2"/>
        <v/>
      </c>
      <c r="N48" s="31" t="str">
        <f t="shared" si="3"/>
        <v/>
      </c>
      <c r="O48" s="32" t="str">
        <f t="shared" si="4"/>
        <v/>
      </c>
      <c r="P48" s="27"/>
    </row>
    <row r="49" spans="2:16" x14ac:dyDescent="0.2">
      <c r="B49" s="26" t="str">
        <f>IF(D49="","",COUNTA($D$10:D49))</f>
        <v/>
      </c>
      <c r="C49" s="27"/>
      <c r="D49" s="28"/>
      <c r="E49" s="29"/>
      <c r="F49" s="29"/>
      <c r="G49" s="30"/>
      <c r="H49" s="30"/>
      <c r="I49" s="30"/>
      <c r="J49" s="30"/>
      <c r="K49" s="31" t="str">
        <f t="shared" si="0"/>
        <v/>
      </c>
      <c r="L49" s="31" t="str">
        <f t="shared" si="1"/>
        <v/>
      </c>
      <c r="M49" s="31" t="str">
        <f t="shared" si="2"/>
        <v/>
      </c>
      <c r="N49" s="31" t="str">
        <f t="shared" si="3"/>
        <v/>
      </c>
      <c r="O49" s="32" t="str">
        <f t="shared" si="4"/>
        <v/>
      </c>
      <c r="P49" s="27"/>
    </row>
    <row r="50" spans="2:16" x14ac:dyDescent="0.2">
      <c r="B50" s="20"/>
      <c r="C50" s="20"/>
      <c r="D50" s="20" t="s">
        <v>68</v>
      </c>
      <c r="E50" s="20"/>
      <c r="F50" s="20"/>
      <c r="G50" s="20"/>
      <c r="H50" s="20"/>
      <c r="I50" s="20"/>
      <c r="J50" s="20"/>
      <c r="K50" s="21">
        <f t="shared" ref="K50:O52" si="5">SUMIF($P$10:$P$49,$P50,K$10:K$49)</f>
        <v>38898</v>
      </c>
      <c r="L50" s="21">
        <f t="shared" si="5"/>
        <v>27518</v>
      </c>
      <c r="M50" s="21">
        <f t="shared" si="5"/>
        <v>496</v>
      </c>
      <c r="N50" s="21">
        <f t="shared" si="5"/>
        <v>1950</v>
      </c>
      <c r="O50" s="21">
        <f t="shared" si="5"/>
        <v>68862</v>
      </c>
      <c r="P50" s="20" t="s">
        <v>17</v>
      </c>
    </row>
    <row r="51" spans="2:16" x14ac:dyDescent="0.2">
      <c r="B51" s="6"/>
      <c r="C51" s="6"/>
      <c r="D51" s="6" t="s">
        <v>69</v>
      </c>
      <c r="E51" s="6"/>
      <c r="F51" s="6"/>
      <c r="G51" s="6"/>
      <c r="H51" s="6"/>
      <c r="I51" s="6"/>
      <c r="J51" s="6"/>
      <c r="K51" s="19">
        <f t="shared" si="5"/>
        <v>504</v>
      </c>
      <c r="L51" s="19">
        <f t="shared" si="5"/>
        <v>828</v>
      </c>
      <c r="M51" s="19">
        <f t="shared" si="5"/>
        <v>0</v>
      </c>
      <c r="N51" s="19">
        <f t="shared" si="5"/>
        <v>0</v>
      </c>
      <c r="O51" s="19">
        <f t="shared" si="5"/>
        <v>1332</v>
      </c>
      <c r="P51" s="6" t="s">
        <v>19</v>
      </c>
    </row>
    <row r="52" spans="2:16" x14ac:dyDescent="0.2">
      <c r="B52" s="22"/>
      <c r="C52" s="22"/>
      <c r="D52" s="22" t="s">
        <v>70</v>
      </c>
      <c r="E52" s="22"/>
      <c r="F52" s="22"/>
      <c r="G52" s="22"/>
      <c r="H52" s="22"/>
      <c r="I52" s="22"/>
      <c r="J52" s="22"/>
      <c r="K52" s="23">
        <f t="shared" si="5"/>
        <v>720</v>
      </c>
      <c r="L52" s="23">
        <f t="shared" si="5"/>
        <v>900</v>
      </c>
      <c r="M52" s="23">
        <f t="shared" si="5"/>
        <v>0</v>
      </c>
      <c r="N52" s="23">
        <f t="shared" si="5"/>
        <v>0</v>
      </c>
      <c r="O52" s="23">
        <f t="shared" si="5"/>
        <v>1620</v>
      </c>
      <c r="P52" s="22" t="s">
        <v>18</v>
      </c>
    </row>
    <row r="54" spans="2:16" ht="15.75" x14ac:dyDescent="0.25">
      <c r="B54" s="24" t="s">
        <v>71</v>
      </c>
      <c r="K54" s="58" t="s">
        <v>72</v>
      </c>
      <c r="L54" s="58"/>
      <c r="M54" s="58" t="s">
        <v>73</v>
      </c>
      <c r="N54" s="58"/>
      <c r="O54" s="58" t="s">
        <v>74</v>
      </c>
      <c r="P54" s="58"/>
    </row>
    <row r="55" spans="2:16" x14ac:dyDescent="0.2">
      <c r="D55" s="12" t="s">
        <v>39</v>
      </c>
      <c r="E55" s="12"/>
      <c r="F55" s="12"/>
      <c r="G55" s="12"/>
      <c r="H55" s="12"/>
      <c r="I55" s="12"/>
      <c r="J55" s="12"/>
      <c r="K55" s="55">
        <f>K50</f>
        <v>38898</v>
      </c>
      <c r="L55" s="55"/>
      <c r="M55" s="55">
        <f>(K50+K51)</f>
        <v>39402</v>
      </c>
      <c r="N55" s="55"/>
      <c r="O55" s="55">
        <f>K52</f>
        <v>720</v>
      </c>
      <c r="P55" s="55"/>
    </row>
    <row r="56" spans="2:16" x14ac:dyDescent="0.2">
      <c r="D56" s="12" t="str">
        <f>"Materiale mărunte și consumabile ("&amp;FIXED(PctMarunte*100,1)&amp;"% din materiale)"</f>
        <v>Materiale mărunte și consumabile (3,0% din materiale)</v>
      </c>
      <c r="E56" s="12"/>
      <c r="F56" s="12"/>
      <c r="G56" s="12"/>
      <c r="H56" s="12"/>
      <c r="I56" s="12"/>
      <c r="J56" s="12"/>
      <c r="K56" s="55">
        <f>ROUND(K55*PctMarunte,2)</f>
        <v>1166.94</v>
      </c>
      <c r="L56" s="55"/>
      <c r="M56" s="55">
        <f>ROUND(M55*PctMarunte,2)</f>
        <v>1182.06</v>
      </c>
      <c r="N56" s="55"/>
      <c r="O56" s="55">
        <f>ROUND(O55*PctMarunte,2)</f>
        <v>21.6</v>
      </c>
      <c r="P56" s="55"/>
    </row>
    <row r="57" spans="2:16" x14ac:dyDescent="0.2">
      <c r="D57" s="12" t="s">
        <v>40</v>
      </c>
      <c r="E57" s="12"/>
      <c r="F57" s="12"/>
      <c r="G57" s="12"/>
      <c r="H57" s="12"/>
      <c r="I57" s="12"/>
      <c r="J57" s="12"/>
      <c r="K57" s="55">
        <f>L50</f>
        <v>27518</v>
      </c>
      <c r="L57" s="55"/>
      <c r="M57" s="55">
        <f>(L50+L51)</f>
        <v>28346</v>
      </c>
      <c r="N57" s="55"/>
      <c r="O57" s="55">
        <f>L52</f>
        <v>900</v>
      </c>
      <c r="P57" s="55"/>
    </row>
    <row r="58" spans="2:16" x14ac:dyDescent="0.2">
      <c r="D58" s="12" t="s">
        <v>41</v>
      </c>
      <c r="E58" s="12"/>
      <c r="F58" s="12"/>
      <c r="G58" s="12"/>
      <c r="H58" s="12"/>
      <c r="I58" s="12"/>
      <c r="J58" s="12"/>
      <c r="K58" s="55">
        <f>M50</f>
        <v>496</v>
      </c>
      <c r="L58" s="55"/>
      <c r="M58" s="55">
        <f>(M50+M51)</f>
        <v>496</v>
      </c>
      <c r="N58" s="55"/>
      <c r="O58" s="55">
        <f>M52</f>
        <v>0</v>
      </c>
      <c r="P58" s="55"/>
    </row>
    <row r="59" spans="2:16" x14ac:dyDescent="0.2">
      <c r="D59" s="12" t="s">
        <v>42</v>
      </c>
      <c r="E59" s="12"/>
      <c r="F59" s="12"/>
      <c r="G59" s="12"/>
      <c r="H59" s="12"/>
      <c r="I59" s="12"/>
      <c r="J59" s="12"/>
      <c r="K59" s="55">
        <f>N50</f>
        <v>1950</v>
      </c>
      <c r="L59" s="55"/>
      <c r="M59" s="55">
        <f>(N50+N51)</f>
        <v>1950</v>
      </c>
      <c r="N59" s="55"/>
      <c r="O59" s="55">
        <f>N52</f>
        <v>0</v>
      </c>
      <c r="P59" s="55"/>
    </row>
    <row r="60" spans="2:16" x14ac:dyDescent="0.2">
      <c r="D60" s="12" t="s">
        <v>75</v>
      </c>
      <c r="E60" s="12"/>
      <c r="F60" s="12"/>
      <c r="G60" s="12"/>
      <c r="H60" s="12"/>
      <c r="I60" s="12"/>
      <c r="J60" s="12"/>
      <c r="K60" s="56">
        <v>1800</v>
      </c>
      <c r="L60" s="55"/>
      <c r="M60" s="55">
        <f>K60</f>
        <v>1800</v>
      </c>
      <c r="N60" s="55"/>
      <c r="O60" s="55">
        <f>0</f>
        <v>0</v>
      </c>
      <c r="P60" s="55"/>
    </row>
    <row r="61" spans="2:16" x14ac:dyDescent="0.2">
      <c r="D61" s="20" t="s">
        <v>76</v>
      </c>
      <c r="E61" s="20"/>
      <c r="F61" s="20"/>
      <c r="G61" s="20"/>
      <c r="H61" s="20"/>
      <c r="I61" s="20"/>
      <c r="J61" s="20"/>
      <c r="K61" s="54">
        <f>SUM(K55:K60)</f>
        <v>71828.94</v>
      </c>
      <c r="L61" s="54"/>
      <c r="M61" s="54">
        <f>SUM(M55:M60)</f>
        <v>73176.06</v>
      </c>
      <c r="N61" s="54"/>
      <c r="O61" s="54">
        <f>SUM(O55:O60)</f>
        <v>1641.6</v>
      </c>
      <c r="P61" s="54"/>
    </row>
    <row r="62" spans="2:16" x14ac:dyDescent="0.2">
      <c r="D62" s="12" t="str">
        <f>"Cheltuieli indirecte ("&amp;FIXED(PctIndirecte*100,1)&amp;"%)"</f>
        <v>Cheltuieli indirecte (10,0%)</v>
      </c>
      <c r="E62" s="12"/>
      <c r="F62" s="12"/>
      <c r="G62" s="12"/>
      <c r="H62" s="12"/>
      <c r="I62" s="12"/>
      <c r="J62" s="12"/>
      <c r="K62" s="55">
        <f>ROUND(K61*PctIndirecte,2)</f>
        <v>7182.89</v>
      </c>
      <c r="L62" s="55"/>
      <c r="M62" s="55">
        <f>ROUND(M61*PctIndirecte,2)</f>
        <v>7317.61</v>
      </c>
      <c r="N62" s="55"/>
      <c r="O62" s="55">
        <f>ROUND(O61*PctIndirecte,2)</f>
        <v>164.16</v>
      </c>
      <c r="P62" s="55"/>
    </row>
    <row r="63" spans="2:16" x14ac:dyDescent="0.2">
      <c r="D63" s="12" t="str">
        <f>"Profit ("&amp;FIXED(PctProfit*100,1)&amp;"%)"</f>
        <v>Profit (8,0%)</v>
      </c>
      <c r="E63" s="12"/>
      <c r="F63" s="12"/>
      <c r="G63" s="12"/>
      <c r="H63" s="12"/>
      <c r="I63" s="12"/>
      <c r="J63" s="12"/>
      <c r="K63" s="55">
        <f>ROUND((K61+K62)*PctProfit,2)</f>
        <v>6320.95</v>
      </c>
      <c r="L63" s="55"/>
      <c r="M63" s="55">
        <f>ROUND((M61+M62)*PctProfit,2)</f>
        <v>6439.49</v>
      </c>
      <c r="N63" s="55"/>
      <c r="O63" s="55">
        <f>ROUND((O61+O62)*PctProfit,2)</f>
        <v>144.46</v>
      </c>
      <c r="P63" s="55"/>
    </row>
    <row r="64" spans="2:16" x14ac:dyDescent="0.2">
      <c r="D64" s="20" t="s">
        <v>77</v>
      </c>
      <c r="E64" s="20"/>
      <c r="F64" s="20"/>
      <c r="G64" s="20"/>
      <c r="H64" s="20"/>
      <c r="I64" s="20"/>
      <c r="J64" s="20"/>
      <c r="K64" s="54">
        <f>K61+K62+K63</f>
        <v>85332.78</v>
      </c>
      <c r="L64" s="54"/>
      <c r="M64" s="54">
        <f>M61+M62+M63</f>
        <v>86933.16</v>
      </c>
      <c r="N64" s="54"/>
      <c r="O64" s="54">
        <f>O61+O62+O63</f>
        <v>1950.22</v>
      </c>
      <c r="P64" s="54"/>
    </row>
    <row r="65" spans="2:16" x14ac:dyDescent="0.2">
      <c r="D65" s="12" t="str">
        <f>"TVA ("&amp;FIXED(CotaTVA*100,0)&amp;"%)"</f>
        <v>TVA (21%)</v>
      </c>
      <c r="E65" s="12"/>
      <c r="F65" s="12"/>
      <c r="G65" s="12"/>
      <c r="H65" s="12"/>
      <c r="I65" s="12"/>
      <c r="J65" s="12"/>
      <c r="K65" s="55">
        <f>ROUND(K64*CotaTVA,2)</f>
        <v>17919.88</v>
      </c>
      <c r="L65" s="55"/>
      <c r="M65" s="55">
        <f>ROUND(M64*CotaTVA,2)</f>
        <v>18255.96</v>
      </c>
      <c r="N65" s="55"/>
      <c r="O65" s="55">
        <f>ROUND(O64*CotaTVA,2)</f>
        <v>409.55</v>
      </c>
      <c r="P65" s="55"/>
    </row>
    <row r="66" spans="2:16" ht="15.75" x14ac:dyDescent="0.25">
      <c r="D66" s="25" t="s">
        <v>78</v>
      </c>
      <c r="E66" s="25"/>
      <c r="F66" s="25"/>
      <c r="G66" s="25"/>
      <c r="H66" s="25"/>
      <c r="I66" s="25"/>
      <c r="J66" s="25"/>
      <c r="K66" s="53">
        <f>K64+K65</f>
        <v>103252.66</v>
      </c>
      <c r="L66" s="53"/>
      <c r="M66" s="53">
        <f>M64+M65</f>
        <v>105189.12</v>
      </c>
      <c r="N66" s="53"/>
      <c r="O66" s="53">
        <f>O64+O65</f>
        <v>2359.77</v>
      </c>
      <c r="P66" s="53"/>
    </row>
    <row r="68" spans="2:16" x14ac:dyDescent="0.2">
      <c r="B68" s="10" t="s">
        <v>79</v>
      </c>
    </row>
    <row r="69" spans="2:16" x14ac:dyDescent="0.2">
      <c r="B69" s="10" t="str">
        <f>"Devizul este valabil "&amp;M5&amp;" zile de la data întocmirii. Cantitățile se stabilesc pe baza măsurătorilor; diferențele se regularizează prin situații de lucrări."</f>
        <v>Devizul este valabil 30 zile de la data întocmirii. Cantitățile se stabilesc pe baza măsurătorilor; diferențele se regularizează prin situații de lucrări.</v>
      </c>
    </row>
    <row r="71" spans="2:16" x14ac:dyDescent="0.2">
      <c r="B71" s="5"/>
      <c r="C71" s="5" t="str">
        <f>"Întocmit: "&amp;Intocmit</f>
        <v>Întocmit: ing. Mihai Ionescu</v>
      </c>
      <c r="D71" s="5"/>
      <c r="E71" s="5"/>
      <c r="F71" s="5"/>
      <c r="G71" s="5"/>
      <c r="H71" s="5"/>
      <c r="I71" s="5"/>
      <c r="J71" s="5"/>
      <c r="K71" s="5" t="s">
        <v>80</v>
      </c>
      <c r="L71" s="5"/>
      <c r="M71" s="5"/>
      <c r="N71" s="5"/>
      <c r="O71" s="5"/>
      <c r="P71" s="5"/>
    </row>
    <row r="1000" spans="702:702" ht="15" x14ac:dyDescent="0.25">
      <c r="ZZ1000"/>
    </row>
  </sheetData>
  <mergeCells count="47">
    <mergeCell ref="K55:L55"/>
    <mergeCell ref="M55:N55"/>
    <mergeCell ref="O55:P55"/>
    <mergeCell ref="B8:B9"/>
    <mergeCell ref="C8:C9"/>
    <mergeCell ref="D8:D9"/>
    <mergeCell ref="E8:E9"/>
    <mergeCell ref="F8:F9"/>
    <mergeCell ref="G8:J8"/>
    <mergeCell ref="K8:O8"/>
    <mergeCell ref="P8:P9"/>
    <mergeCell ref="K54:L54"/>
    <mergeCell ref="M54:N54"/>
    <mergeCell ref="O54:P54"/>
    <mergeCell ref="K56:L56"/>
    <mergeCell ref="M56:N56"/>
    <mergeCell ref="O56:P56"/>
    <mergeCell ref="K57:L57"/>
    <mergeCell ref="M57:N57"/>
    <mergeCell ref="O57:P57"/>
    <mergeCell ref="K58:L58"/>
    <mergeCell ref="M58:N58"/>
    <mergeCell ref="O58:P58"/>
    <mergeCell ref="K59:L59"/>
    <mergeCell ref="M59:N59"/>
    <mergeCell ref="O59:P59"/>
    <mergeCell ref="K60:L60"/>
    <mergeCell ref="M60:N60"/>
    <mergeCell ref="O60:P60"/>
    <mergeCell ref="K61:L61"/>
    <mergeCell ref="M61:N61"/>
    <mergeCell ref="O61:P61"/>
    <mergeCell ref="K62:L62"/>
    <mergeCell ref="M62:N62"/>
    <mergeCell ref="O62:P62"/>
    <mergeCell ref="K63:L63"/>
    <mergeCell ref="M63:N63"/>
    <mergeCell ref="O63:P63"/>
    <mergeCell ref="K66:L66"/>
    <mergeCell ref="M66:N66"/>
    <mergeCell ref="O66:P66"/>
    <mergeCell ref="K64:L64"/>
    <mergeCell ref="M64:N64"/>
    <mergeCell ref="O64:P64"/>
    <mergeCell ref="K65:L65"/>
    <mergeCell ref="M65:N65"/>
    <mergeCell ref="O65:P65"/>
  </mergeCells>
  <conditionalFormatting sqref="B10:P49">
    <cfRule type="expression" dxfId="4" priority="1" stopIfTrue="1">
      <formula>$P10="Suplimentar – de aprobat"</formula>
    </cfRule>
    <cfRule type="expression" dxfId="3" priority="2" stopIfTrue="1">
      <formula>$P10="Suplimentar – aprobat"</formula>
    </cfRule>
  </conditionalFormatting>
  <conditionalFormatting sqref="F10:F49">
    <cfRule type="expression" dxfId="2" priority="3" stopIfTrue="1">
      <formula>AND($D10&lt;&gt;"",N($F10)=0)</formula>
    </cfRule>
  </conditionalFormatting>
  <dataValidations count="1">
    <dataValidation type="list" allowBlank="1" showInputMessage="1" showErrorMessage="1" sqref="P10:P49" xr:uid="{D85B5ED1-5EEB-4FE9-80F8-7A5BE950E819}">
      <formula1>TipArt</formula1>
    </dataValidation>
  </dataValidations>
  <pageMargins left="0.7" right="0.7" top="0.75" bottom="0.75" header="0.3" footer="0.3"/>
  <pageSetup scale="60" fitToHeight="0" orientation="landscape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6B852-6AD7-4602-94F0-F25E6B26339C}">
  <sheetPr>
    <pageSetUpPr fitToPage="1"/>
  </sheetPr>
  <dimension ref="B1:H47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7.7109375" style="1" customWidth="1"/>
    <col min="3" max="3" width="74.7109375" style="1" customWidth="1"/>
    <col min="4" max="4" width="15.7109375" style="1" customWidth="1"/>
    <col min="5" max="5" width="8.7109375" style="1" customWidth="1"/>
    <col min="6" max="6" width="13.7109375" style="1" customWidth="1"/>
    <col min="7" max="7" width="15.7109375" style="1" customWidth="1"/>
    <col min="8" max="8" width="6.7109375" style="1" customWidth="1"/>
    <col min="9" max="16384" width="11.42578125" style="1"/>
  </cols>
  <sheetData>
    <row r="1" spans="2:8" ht="21" x14ac:dyDescent="0.35">
      <c r="B1" s="2" t="s">
        <v>81</v>
      </c>
    </row>
    <row r="2" spans="2:8" x14ac:dyDescent="0.2">
      <c r="B2" s="9" t="str">
        <f>"privind cheltuielile necesare realizării obiectivului: "&amp;Deviz!$D$5</f>
        <v>privind cheltuielile necesare realizării obiectivului: Modernizare grupuri sanitare elevi – parter</v>
      </c>
    </row>
    <row r="3" spans="2:8" x14ac:dyDescent="0.2">
      <c r="B3" s="33" t="s">
        <v>82</v>
      </c>
    </row>
    <row r="5" spans="2:8" ht="30" customHeight="1" x14ac:dyDescent="0.2">
      <c r="B5" s="11" t="s">
        <v>83</v>
      </c>
      <c r="C5" s="11" t="s">
        <v>84</v>
      </c>
      <c r="D5" s="11" t="s">
        <v>85</v>
      </c>
      <c r="E5" s="11" t="s">
        <v>10</v>
      </c>
      <c r="F5" s="11" t="s">
        <v>86</v>
      </c>
      <c r="G5" s="11" t="s">
        <v>87</v>
      </c>
      <c r="H5" s="11" t="s">
        <v>88</v>
      </c>
    </row>
    <row r="6" spans="2:8" x14ac:dyDescent="0.2">
      <c r="B6" s="34"/>
      <c r="C6" s="20" t="s">
        <v>89</v>
      </c>
      <c r="D6" s="21"/>
      <c r="E6" s="35"/>
      <c r="F6" s="21"/>
      <c r="G6" s="21"/>
      <c r="H6" s="36"/>
    </row>
    <row r="7" spans="2:8" x14ac:dyDescent="0.2">
      <c r="B7" s="37" t="s">
        <v>90</v>
      </c>
      <c r="C7" s="12" t="s">
        <v>91</v>
      </c>
      <c r="D7" s="17">
        <v>0</v>
      </c>
      <c r="E7" s="38">
        <v>0</v>
      </c>
      <c r="F7" s="18">
        <f>ROUND(N(D7)*E7,2)</f>
        <v>0</v>
      </c>
      <c r="G7" s="18">
        <f>N(D7)+F7</f>
        <v>0</v>
      </c>
      <c r="H7" s="39"/>
    </row>
    <row r="8" spans="2:8" x14ac:dyDescent="0.2">
      <c r="B8" s="37" t="s">
        <v>92</v>
      </c>
      <c r="C8" s="12" t="s">
        <v>93</v>
      </c>
      <c r="D8" s="17">
        <v>0</v>
      </c>
      <c r="E8" s="38">
        <v>0.21</v>
      </c>
      <c r="F8" s="18">
        <f>ROUND(N(D8)*E8,2)</f>
        <v>0</v>
      </c>
      <c r="G8" s="18">
        <f>N(D8)+F8</f>
        <v>0</v>
      </c>
      <c r="H8" s="39" t="s">
        <v>88</v>
      </c>
    </row>
    <row r="9" spans="2:8" x14ac:dyDescent="0.2">
      <c r="B9" s="37" t="s">
        <v>94</v>
      </c>
      <c r="C9" s="12" t="s">
        <v>95</v>
      </c>
      <c r="D9" s="17">
        <v>0</v>
      </c>
      <c r="E9" s="38">
        <v>0.21</v>
      </c>
      <c r="F9" s="18">
        <f>ROUND(N(D9)*E9,2)</f>
        <v>0</v>
      </c>
      <c r="G9" s="18">
        <f>N(D9)+F9</f>
        <v>0</v>
      </c>
      <c r="H9" s="39" t="s">
        <v>88</v>
      </c>
    </row>
    <row r="10" spans="2:8" x14ac:dyDescent="0.2">
      <c r="B10" s="37" t="s">
        <v>96</v>
      </c>
      <c r="C10" s="12" t="s">
        <v>97</v>
      </c>
      <c r="D10" s="17">
        <v>0</v>
      </c>
      <c r="E10" s="38">
        <v>0.21</v>
      </c>
      <c r="F10" s="18">
        <f>ROUND(N(D10)*E10,2)</f>
        <v>0</v>
      </c>
      <c r="G10" s="18">
        <f>N(D10)+F10</f>
        <v>0</v>
      </c>
      <c r="H10" s="39" t="s">
        <v>88</v>
      </c>
    </row>
    <row r="11" spans="2:8" x14ac:dyDescent="0.2">
      <c r="B11" s="40"/>
      <c r="C11" s="6" t="s">
        <v>98</v>
      </c>
      <c r="D11" s="19">
        <f>SUM(D7:D10)</f>
        <v>0</v>
      </c>
      <c r="E11" s="41"/>
      <c r="F11" s="19">
        <f>SUM(F7:F10)</f>
        <v>0</v>
      </c>
      <c r="G11" s="19">
        <f>SUM(G7:G10)</f>
        <v>0</v>
      </c>
      <c r="H11" s="42"/>
    </row>
    <row r="12" spans="2:8" x14ac:dyDescent="0.2">
      <c r="B12" s="34"/>
      <c r="C12" s="20" t="s">
        <v>99</v>
      </c>
      <c r="D12" s="21"/>
      <c r="E12" s="35"/>
      <c r="F12" s="21"/>
      <c r="G12" s="21"/>
      <c r="H12" s="36"/>
    </row>
    <row r="13" spans="2:8" x14ac:dyDescent="0.2">
      <c r="B13" s="37" t="s">
        <v>100</v>
      </c>
      <c r="C13" s="12" t="s">
        <v>101</v>
      </c>
      <c r="D13" s="17">
        <v>0</v>
      </c>
      <c r="E13" s="38">
        <v>0.21</v>
      </c>
      <c r="F13" s="18">
        <f>ROUND(N(D13)*E13,2)</f>
        <v>0</v>
      </c>
      <c r="G13" s="18">
        <f>N(D13)+F13</f>
        <v>0</v>
      </c>
      <c r="H13" s="39" t="s">
        <v>88</v>
      </c>
    </row>
    <row r="14" spans="2:8" x14ac:dyDescent="0.2">
      <c r="B14" s="40"/>
      <c r="C14" s="6" t="s">
        <v>102</v>
      </c>
      <c r="D14" s="19">
        <f>SUM(D13:D13)</f>
        <v>0</v>
      </c>
      <c r="E14" s="41"/>
      <c r="F14" s="19">
        <f>SUM(F13:F13)</f>
        <v>0</v>
      </c>
      <c r="G14" s="19">
        <f>SUM(G13:G13)</f>
        <v>0</v>
      </c>
      <c r="H14" s="42"/>
    </row>
    <row r="15" spans="2:8" x14ac:dyDescent="0.2">
      <c r="B15" s="34"/>
      <c r="C15" s="20" t="s">
        <v>103</v>
      </c>
      <c r="D15" s="21"/>
      <c r="E15" s="35"/>
      <c r="F15" s="21"/>
      <c r="G15" s="21"/>
      <c r="H15" s="36"/>
    </row>
    <row r="16" spans="2:8" x14ac:dyDescent="0.2">
      <c r="B16" s="37" t="s">
        <v>104</v>
      </c>
      <c r="C16" s="12" t="s">
        <v>105</v>
      </c>
      <c r="D16" s="17">
        <v>0</v>
      </c>
      <c r="E16" s="38">
        <v>0.21</v>
      </c>
      <c r="F16" s="18">
        <f t="shared" ref="F16:F23" si="0">ROUND(N(D16)*E16,2)</f>
        <v>0</v>
      </c>
      <c r="G16" s="18">
        <f t="shared" ref="G16:G23" si="1">N(D16)+F16</f>
        <v>0</v>
      </c>
      <c r="H16" s="39"/>
    </row>
    <row r="17" spans="2:8" x14ac:dyDescent="0.2">
      <c r="B17" s="37" t="s">
        <v>106</v>
      </c>
      <c r="C17" s="12" t="s">
        <v>107</v>
      </c>
      <c r="D17" s="17">
        <v>800</v>
      </c>
      <c r="E17" s="38">
        <v>0.21</v>
      </c>
      <c r="F17" s="18">
        <f t="shared" si="0"/>
        <v>168</v>
      </c>
      <c r="G17" s="18">
        <f t="shared" si="1"/>
        <v>968</v>
      </c>
      <c r="H17" s="39"/>
    </row>
    <row r="18" spans="2:8" x14ac:dyDescent="0.2">
      <c r="B18" s="37" t="s">
        <v>108</v>
      </c>
      <c r="C18" s="12" t="s">
        <v>109</v>
      </c>
      <c r="D18" s="17">
        <v>0</v>
      </c>
      <c r="E18" s="38">
        <v>0.21</v>
      </c>
      <c r="F18" s="18">
        <f t="shared" si="0"/>
        <v>0</v>
      </c>
      <c r="G18" s="18">
        <f t="shared" si="1"/>
        <v>0</v>
      </c>
      <c r="H18" s="39"/>
    </row>
    <row r="19" spans="2:8" x14ac:dyDescent="0.2">
      <c r="B19" s="37" t="s">
        <v>110</v>
      </c>
      <c r="C19" s="12" t="s">
        <v>111</v>
      </c>
      <c r="D19" s="17">
        <v>0</v>
      </c>
      <c r="E19" s="38">
        <v>0.21</v>
      </c>
      <c r="F19" s="18">
        <f t="shared" si="0"/>
        <v>0</v>
      </c>
      <c r="G19" s="18">
        <f t="shared" si="1"/>
        <v>0</v>
      </c>
      <c r="H19" s="39"/>
    </row>
    <row r="20" spans="2:8" x14ac:dyDescent="0.2">
      <c r="B20" s="37" t="s">
        <v>112</v>
      </c>
      <c r="C20" s="12" t="s">
        <v>113</v>
      </c>
      <c r="D20" s="17">
        <v>6500</v>
      </c>
      <c r="E20" s="38">
        <v>0.21</v>
      </c>
      <c r="F20" s="18">
        <f t="shared" si="0"/>
        <v>1365</v>
      </c>
      <c r="G20" s="18">
        <f t="shared" si="1"/>
        <v>7865</v>
      </c>
      <c r="H20" s="39"/>
    </row>
    <row r="21" spans="2:8" x14ac:dyDescent="0.2">
      <c r="B21" s="37" t="s">
        <v>114</v>
      </c>
      <c r="C21" s="12" t="s">
        <v>115</v>
      </c>
      <c r="D21" s="17">
        <v>0</v>
      </c>
      <c r="E21" s="38">
        <v>0.21</v>
      </c>
      <c r="F21" s="18">
        <f t="shared" si="0"/>
        <v>0</v>
      </c>
      <c r="G21" s="18">
        <f t="shared" si="1"/>
        <v>0</v>
      </c>
      <c r="H21" s="39"/>
    </row>
    <row r="22" spans="2:8" x14ac:dyDescent="0.2">
      <c r="B22" s="37" t="s">
        <v>116</v>
      </c>
      <c r="C22" s="12" t="s">
        <v>117</v>
      </c>
      <c r="D22" s="17">
        <v>0</v>
      </c>
      <c r="E22" s="38">
        <v>0.21</v>
      </c>
      <c r="F22" s="18">
        <f t="shared" si="0"/>
        <v>0</v>
      </c>
      <c r="G22" s="18">
        <f t="shared" si="1"/>
        <v>0</v>
      </c>
      <c r="H22" s="39"/>
    </row>
    <row r="23" spans="2:8" x14ac:dyDescent="0.2">
      <c r="B23" s="37" t="s">
        <v>118</v>
      </c>
      <c r="C23" s="12" t="s">
        <v>119</v>
      </c>
      <c r="D23" s="17">
        <v>2800</v>
      </c>
      <c r="E23" s="38">
        <v>0.21</v>
      </c>
      <c r="F23" s="18">
        <f t="shared" si="0"/>
        <v>588</v>
      </c>
      <c r="G23" s="18">
        <f t="shared" si="1"/>
        <v>3388</v>
      </c>
      <c r="H23" s="39"/>
    </row>
    <row r="24" spans="2:8" x14ac:dyDescent="0.2">
      <c r="B24" s="40"/>
      <c r="C24" s="6" t="s">
        <v>120</v>
      </c>
      <c r="D24" s="19">
        <f>SUM(D16:D23)</f>
        <v>10100</v>
      </c>
      <c r="E24" s="41"/>
      <c r="F24" s="19">
        <f>SUM(F16:F23)</f>
        <v>2121</v>
      </c>
      <c r="G24" s="19">
        <f>SUM(G16:G23)</f>
        <v>12221</v>
      </c>
      <c r="H24" s="42"/>
    </row>
    <row r="25" spans="2:8" x14ac:dyDescent="0.2">
      <c r="B25" s="34"/>
      <c r="C25" s="20" t="s">
        <v>121</v>
      </c>
      <c r="D25" s="21"/>
      <c r="E25" s="35"/>
      <c r="F25" s="21"/>
      <c r="G25" s="21"/>
      <c r="H25" s="36"/>
    </row>
    <row r="26" spans="2:8" x14ac:dyDescent="0.2">
      <c r="B26" s="37" t="s">
        <v>122</v>
      </c>
      <c r="C26" s="12" t="s">
        <v>123</v>
      </c>
      <c r="D26" s="43">
        <f>Deviz!$M$64</f>
        <v>86933.16</v>
      </c>
      <c r="E26" s="38">
        <v>0.21</v>
      </c>
      <c r="F26" s="18">
        <f t="shared" ref="F26:F31" si="2">ROUND(N(D26)*E26,2)</f>
        <v>18255.96</v>
      </c>
      <c r="G26" s="18">
        <f t="shared" ref="G26:G31" si="3">N(D26)+F26</f>
        <v>105189.12</v>
      </c>
      <c r="H26" s="39" t="s">
        <v>88</v>
      </c>
    </row>
    <row r="27" spans="2:8" x14ac:dyDescent="0.2">
      <c r="B27" s="37" t="s">
        <v>124</v>
      </c>
      <c r="C27" s="12" t="s">
        <v>125</v>
      </c>
      <c r="D27" s="17">
        <v>0</v>
      </c>
      <c r="E27" s="38">
        <v>0.21</v>
      </c>
      <c r="F27" s="18">
        <f t="shared" si="2"/>
        <v>0</v>
      </c>
      <c r="G27" s="18">
        <f t="shared" si="3"/>
        <v>0</v>
      </c>
      <c r="H27" s="39" t="s">
        <v>88</v>
      </c>
    </row>
    <row r="28" spans="2:8" x14ac:dyDescent="0.2">
      <c r="B28" s="37" t="s">
        <v>126</v>
      </c>
      <c r="C28" s="12" t="s">
        <v>127</v>
      </c>
      <c r="D28" s="17">
        <v>0</v>
      </c>
      <c r="E28" s="38">
        <v>0.21</v>
      </c>
      <c r="F28" s="18">
        <f t="shared" si="2"/>
        <v>0</v>
      </c>
      <c r="G28" s="18">
        <f t="shared" si="3"/>
        <v>0</v>
      </c>
      <c r="H28" s="39"/>
    </row>
    <row r="29" spans="2:8" x14ac:dyDescent="0.2">
      <c r="B29" s="37" t="s">
        <v>128</v>
      </c>
      <c r="C29" s="12" t="s">
        <v>129</v>
      </c>
      <c r="D29" s="17">
        <v>0</v>
      </c>
      <c r="E29" s="38">
        <v>0.21</v>
      </c>
      <c r="F29" s="18">
        <f t="shared" si="2"/>
        <v>0</v>
      </c>
      <c r="G29" s="18">
        <f t="shared" si="3"/>
        <v>0</v>
      </c>
      <c r="H29" s="39"/>
    </row>
    <row r="30" spans="2:8" x14ac:dyDescent="0.2">
      <c r="B30" s="37" t="s">
        <v>130</v>
      </c>
      <c r="C30" s="12" t="s">
        <v>131</v>
      </c>
      <c r="D30" s="17">
        <v>4200</v>
      </c>
      <c r="E30" s="38">
        <v>0.21</v>
      </c>
      <c r="F30" s="18">
        <f t="shared" si="2"/>
        <v>882</v>
      </c>
      <c r="G30" s="18">
        <f t="shared" si="3"/>
        <v>5082</v>
      </c>
      <c r="H30" s="39"/>
    </row>
    <row r="31" spans="2:8" x14ac:dyDescent="0.2">
      <c r="B31" s="37" t="s">
        <v>132</v>
      </c>
      <c r="C31" s="12" t="s">
        <v>133</v>
      </c>
      <c r="D31" s="17">
        <v>0</v>
      </c>
      <c r="E31" s="38">
        <v>0.21</v>
      </c>
      <c r="F31" s="18">
        <f t="shared" si="2"/>
        <v>0</v>
      </c>
      <c r="G31" s="18">
        <f t="shared" si="3"/>
        <v>0</v>
      </c>
      <c r="H31" s="39"/>
    </row>
    <row r="32" spans="2:8" x14ac:dyDescent="0.2">
      <c r="B32" s="40"/>
      <c r="C32" s="6" t="s">
        <v>134</v>
      </c>
      <c r="D32" s="19">
        <f>SUM(D26:D31)</f>
        <v>91133.16</v>
      </c>
      <c r="E32" s="41"/>
      <c r="F32" s="19">
        <f>SUM(F26:F31)</f>
        <v>19137.96</v>
      </c>
      <c r="G32" s="19">
        <f>SUM(G26:G31)</f>
        <v>110271.12</v>
      </c>
      <c r="H32" s="42"/>
    </row>
    <row r="33" spans="2:8" x14ac:dyDescent="0.2">
      <c r="B33" s="34"/>
      <c r="C33" s="20" t="s">
        <v>135</v>
      </c>
      <c r="D33" s="21"/>
      <c r="E33" s="35"/>
      <c r="F33" s="21"/>
      <c r="G33" s="21"/>
      <c r="H33" s="36"/>
    </row>
    <row r="34" spans="2:8" x14ac:dyDescent="0.2">
      <c r="B34" s="37" t="s">
        <v>136</v>
      </c>
      <c r="C34" s="12" t="s">
        <v>137</v>
      </c>
      <c r="D34" s="17">
        <v>1500</v>
      </c>
      <c r="E34" s="38">
        <v>0.21</v>
      </c>
      <c r="F34" s="18">
        <f>ROUND(N(D34)*E34,2)</f>
        <v>315</v>
      </c>
      <c r="G34" s="18">
        <f>N(D34)+F34</f>
        <v>1815</v>
      </c>
      <c r="H34" s="39" t="s">
        <v>88</v>
      </c>
    </row>
    <row r="35" spans="2:8" x14ac:dyDescent="0.2">
      <c r="B35" s="37" t="s">
        <v>138</v>
      </c>
      <c r="C35" s="12" t="s">
        <v>139</v>
      </c>
      <c r="D35" s="17">
        <v>600</v>
      </c>
      <c r="E35" s="38">
        <v>0.21</v>
      </c>
      <c r="F35" s="18">
        <f>ROUND(N(D35)*E35,2)</f>
        <v>126</v>
      </c>
      <c r="G35" s="18">
        <f>N(D35)+F35</f>
        <v>726</v>
      </c>
      <c r="H35" s="39"/>
    </row>
    <row r="36" spans="2:8" x14ac:dyDescent="0.2">
      <c r="B36" s="37" t="s">
        <v>140</v>
      </c>
      <c r="C36" s="12" t="s">
        <v>141</v>
      </c>
      <c r="D36" s="43">
        <f>ROUND((N(D8)+N(D9)+N(D10)+N(D13)+N(D26)+N(D27)+N(D34))*(CotaISC+CotaISC2+CotaCSC),2)</f>
        <v>972.76</v>
      </c>
      <c r="E36" s="38">
        <v>0</v>
      </c>
      <c r="F36" s="18">
        <f>ROUND(N(D36)*E36,2)</f>
        <v>0</v>
      </c>
      <c r="G36" s="18">
        <f>N(D36)+F36</f>
        <v>972.76</v>
      </c>
      <c r="H36" s="39"/>
    </row>
    <row r="37" spans="2:8" x14ac:dyDescent="0.2">
      <c r="B37" s="37" t="s">
        <v>142</v>
      </c>
      <c r="C37" s="12" t="s">
        <v>143</v>
      </c>
      <c r="D37" s="43">
        <f>ROUND((N(D8)+N(D9)+N(D10)+N(D13)+N(D20)+N(D23)+N(D26)+N(D27)+N(D28)+N(D29)+N(D30)+N(D31))*PctDiverse,2)</f>
        <v>10043.32</v>
      </c>
      <c r="E37" s="38">
        <v>0.21</v>
      </c>
      <c r="F37" s="18">
        <f>ROUND(N(D37)*E37,2)</f>
        <v>2109.1</v>
      </c>
      <c r="G37" s="18">
        <f>N(D37)+F37</f>
        <v>12152.42</v>
      </c>
      <c r="H37" s="39"/>
    </row>
    <row r="38" spans="2:8" x14ac:dyDescent="0.2">
      <c r="B38" s="37" t="s">
        <v>144</v>
      </c>
      <c r="C38" s="12" t="s">
        <v>145</v>
      </c>
      <c r="D38" s="17">
        <v>0</v>
      </c>
      <c r="E38" s="38">
        <v>0.21</v>
      </c>
      <c r="F38" s="18">
        <f>ROUND(N(D38)*E38,2)</f>
        <v>0</v>
      </c>
      <c r="G38" s="18">
        <f>N(D38)+F38</f>
        <v>0</v>
      </c>
      <c r="H38" s="39"/>
    </row>
    <row r="39" spans="2:8" x14ac:dyDescent="0.2">
      <c r="B39" s="40"/>
      <c r="C39" s="6" t="s">
        <v>146</v>
      </c>
      <c r="D39" s="19">
        <f>SUM(D34:D38)</f>
        <v>13116.08</v>
      </c>
      <c r="E39" s="41"/>
      <c r="F39" s="19">
        <f>SUM(F34:F38)</f>
        <v>2550.1</v>
      </c>
      <c r="G39" s="19">
        <f>SUM(G34:G38)</f>
        <v>15666.18</v>
      </c>
      <c r="H39" s="42"/>
    </row>
    <row r="40" spans="2:8" x14ac:dyDescent="0.2">
      <c r="B40" s="34"/>
      <c r="C40" s="20" t="s">
        <v>147</v>
      </c>
      <c r="D40" s="21"/>
      <c r="E40" s="35"/>
      <c r="F40" s="21"/>
      <c r="G40" s="21"/>
      <c r="H40" s="36"/>
    </row>
    <row r="41" spans="2:8" x14ac:dyDescent="0.2">
      <c r="B41" s="37" t="s">
        <v>148</v>
      </c>
      <c r="C41" s="12" t="s">
        <v>149</v>
      </c>
      <c r="D41" s="17">
        <v>0</v>
      </c>
      <c r="E41" s="38">
        <v>0.21</v>
      </c>
      <c r="F41" s="18">
        <f>ROUND(N(D41)*E41,2)</f>
        <v>0</v>
      </c>
      <c r="G41" s="18">
        <f>N(D41)+F41</f>
        <v>0</v>
      </c>
      <c r="H41" s="39"/>
    </row>
    <row r="42" spans="2:8" x14ac:dyDescent="0.2">
      <c r="B42" s="37" t="s">
        <v>150</v>
      </c>
      <c r="C42" s="12" t="s">
        <v>151</v>
      </c>
      <c r="D42" s="17">
        <v>0</v>
      </c>
      <c r="E42" s="38">
        <v>0.21</v>
      </c>
      <c r="F42" s="18">
        <f>ROUND(N(D42)*E42,2)</f>
        <v>0</v>
      </c>
      <c r="G42" s="18">
        <f>N(D42)+F42</f>
        <v>0</v>
      </c>
      <c r="H42" s="39"/>
    </row>
    <row r="43" spans="2:8" x14ac:dyDescent="0.2">
      <c r="B43" s="40"/>
      <c r="C43" s="6" t="s">
        <v>152</v>
      </c>
      <c r="D43" s="19">
        <f>SUM(D41:D42)</f>
        <v>0</v>
      </c>
      <c r="E43" s="41"/>
      <c r="F43" s="19">
        <f>SUM(F41:F42)</f>
        <v>0</v>
      </c>
      <c r="G43" s="19">
        <f>SUM(G41:G42)</f>
        <v>0</v>
      </c>
      <c r="H43" s="42"/>
    </row>
    <row r="44" spans="2:8" ht="15.75" x14ac:dyDescent="0.25">
      <c r="B44" s="44"/>
      <c r="C44" s="45" t="s">
        <v>153</v>
      </c>
      <c r="D44" s="46">
        <f>D11+D14+D24+D32+D39+D43</f>
        <v>114349.24</v>
      </c>
      <c r="E44" s="47"/>
      <c r="F44" s="46">
        <f>F11+F14+F24+F32+F39+F43</f>
        <v>23809.059999999998</v>
      </c>
      <c r="G44" s="46">
        <f>G11+G14+G24+G32+G39+G43</f>
        <v>138158.29999999999</v>
      </c>
      <c r="H44" s="48"/>
    </row>
    <row r="45" spans="2:8" x14ac:dyDescent="0.2">
      <c r="B45" s="6"/>
      <c r="C45" s="6" t="s">
        <v>154</v>
      </c>
      <c r="D45" s="19">
        <f>N(D8)+N(D9)+N(D10)+N(D13)+N(D26)+N(D27)+N(D34)</f>
        <v>88433.16</v>
      </c>
      <c r="E45" s="49"/>
      <c r="F45" s="19">
        <f>F8+F9+F10+F13+F26+F27+F34</f>
        <v>18570.96</v>
      </c>
      <c r="G45" s="19">
        <f>D45+F45</f>
        <v>107004.12</v>
      </c>
      <c r="H45" s="6"/>
    </row>
    <row r="47" spans="2:8" ht="42" customHeight="1" x14ac:dyDescent="0.2">
      <c r="B47" s="59" t="s">
        <v>155</v>
      </c>
      <c r="C47" s="59"/>
      <c r="D47" s="59"/>
      <c r="E47" s="59"/>
      <c r="F47" s="59"/>
      <c r="G47" s="59"/>
      <c r="H47" s="59"/>
    </row>
  </sheetData>
  <mergeCells count="1">
    <mergeCell ref="B47:H47"/>
  </mergeCells>
  <pageMargins left="0.7" right="0.7" top="0.75" bottom="0.75" header="0.3" footer="0.3"/>
  <pageSetup scale="62" orientation="portrait" r:id="rId1"/>
  <headerFooter>
    <oddFooter>&amp;Cmodelexcel.ro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27F1A-EDED-4452-905F-19640B275BC0}">
  <dimension ref="B1:ZZ1000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52.7109375" style="1" customWidth="1"/>
    <col min="3" max="3" width="16.7109375" style="1" customWidth="1"/>
    <col min="4" max="4" width="14.7109375" style="1" customWidth="1"/>
    <col min="5" max="5" width="13.7109375" style="1" customWidth="1"/>
    <col min="6" max="6" width="12.7109375" style="1" customWidth="1"/>
    <col min="7" max="16384" width="11.42578125" style="1"/>
  </cols>
  <sheetData>
    <row r="1" spans="2:6" ht="21" x14ac:dyDescent="0.35">
      <c r="B1" s="2" t="s">
        <v>156</v>
      </c>
    </row>
    <row r="2" spans="2:6" x14ac:dyDescent="0.2">
      <c r="B2" s="10" t="s">
        <v>157</v>
      </c>
    </row>
    <row r="4" spans="2:6" x14ac:dyDescent="0.2">
      <c r="B4" s="11" t="s">
        <v>158</v>
      </c>
      <c r="C4" s="11" t="s">
        <v>159</v>
      </c>
      <c r="D4" s="11" t="s">
        <v>160</v>
      </c>
      <c r="E4" s="11" t="s">
        <v>161</v>
      </c>
      <c r="F4" s="11" t="s">
        <v>162</v>
      </c>
    </row>
    <row r="5" spans="2:6" x14ac:dyDescent="0.2">
      <c r="B5" s="12" t="s">
        <v>163</v>
      </c>
      <c r="C5" s="18">
        <f>Deviz!$M$55+Deviz!$M$56</f>
        <v>40584.06</v>
      </c>
      <c r="D5" s="17">
        <v>44100</v>
      </c>
      <c r="E5" s="18">
        <f t="shared" ref="E5:E10" si="0">D5-C5</f>
        <v>3515.9400000000023</v>
      </c>
      <c r="F5" s="50">
        <f t="shared" ref="F5:F10" si="1">IF(N(C5)=0,"",E5/C5)</f>
        <v>8.6633520648254581E-2</v>
      </c>
    </row>
    <row r="6" spans="2:6" x14ac:dyDescent="0.2">
      <c r="B6" s="12" t="s">
        <v>40</v>
      </c>
      <c r="C6" s="18">
        <f>Deviz!$M$57</f>
        <v>28346</v>
      </c>
      <c r="D6" s="17">
        <v>33400</v>
      </c>
      <c r="E6" s="18">
        <f t="shared" si="0"/>
        <v>5054</v>
      </c>
      <c r="F6" s="50">
        <f t="shared" si="1"/>
        <v>0.17829676144782333</v>
      </c>
    </row>
    <row r="7" spans="2:6" x14ac:dyDescent="0.2">
      <c r="B7" s="12" t="s">
        <v>41</v>
      </c>
      <c r="C7" s="18">
        <f>Deviz!$M$58</f>
        <v>496</v>
      </c>
      <c r="D7" s="17">
        <v>650</v>
      </c>
      <c r="E7" s="18">
        <f t="shared" si="0"/>
        <v>154</v>
      </c>
      <c r="F7" s="50">
        <f t="shared" si="1"/>
        <v>0.31048387096774194</v>
      </c>
    </row>
    <row r="8" spans="2:6" x14ac:dyDescent="0.2">
      <c r="B8" s="12" t="s">
        <v>42</v>
      </c>
      <c r="C8" s="18">
        <f>Deviz!$M$59</f>
        <v>1950</v>
      </c>
      <c r="D8" s="17">
        <v>2100</v>
      </c>
      <c r="E8" s="18">
        <f t="shared" si="0"/>
        <v>150</v>
      </c>
      <c r="F8" s="50">
        <f t="shared" si="1"/>
        <v>7.6923076923076927E-2</v>
      </c>
    </row>
    <row r="9" spans="2:6" x14ac:dyDescent="0.2">
      <c r="B9" s="12" t="s">
        <v>164</v>
      </c>
      <c r="C9" s="18">
        <f>Deviz!$M$60</f>
        <v>1800</v>
      </c>
      <c r="D9" s="17">
        <v>2300</v>
      </c>
      <c r="E9" s="18">
        <f t="shared" si="0"/>
        <v>500</v>
      </c>
      <c r="F9" s="50">
        <f t="shared" si="1"/>
        <v>0.27777777777777779</v>
      </c>
    </row>
    <row r="10" spans="2:6" x14ac:dyDescent="0.2">
      <c r="B10" s="12" t="s">
        <v>165</v>
      </c>
      <c r="C10" s="18">
        <f>0</f>
        <v>0</v>
      </c>
      <c r="D10" s="17">
        <v>950</v>
      </c>
      <c r="E10" s="18">
        <f t="shared" si="0"/>
        <v>950</v>
      </c>
      <c r="F10" s="50" t="str">
        <f t="shared" si="1"/>
        <v/>
      </c>
    </row>
    <row r="11" spans="2:6" x14ac:dyDescent="0.2">
      <c r="B11" s="20" t="s">
        <v>166</v>
      </c>
      <c r="C11" s="21">
        <f>SUM(C5:C10)</f>
        <v>73176.06</v>
      </c>
      <c r="D11" s="21">
        <f>SUM(D5:D10)</f>
        <v>83500</v>
      </c>
      <c r="E11" s="21">
        <f>SUM(E5:E10)</f>
        <v>10323.940000000002</v>
      </c>
      <c r="F11" s="51">
        <f>IF(C11=0,"",E11/C11)</f>
        <v>0.1410835729608837</v>
      </c>
    </row>
    <row r="12" spans="2:6" x14ac:dyDescent="0.2">
      <c r="C12" s="16"/>
      <c r="D12" s="16"/>
      <c r="E12" s="16"/>
    </row>
    <row r="13" spans="2:6" x14ac:dyDescent="0.2">
      <c r="B13" s="6" t="s">
        <v>167</v>
      </c>
      <c r="C13" s="19">
        <f>Deviz!$M$64</f>
        <v>86933.16</v>
      </c>
      <c r="D13" s="19">
        <f>C13</f>
        <v>86933.16</v>
      </c>
      <c r="E13" s="19"/>
      <c r="F13" s="5"/>
    </row>
    <row r="14" spans="2:6" x14ac:dyDescent="0.2">
      <c r="B14" s="6" t="s">
        <v>168</v>
      </c>
      <c r="C14" s="19">
        <f>C13-C11</f>
        <v>13757.100000000006</v>
      </c>
      <c r="D14" s="19">
        <f>D13-D11</f>
        <v>3433.1600000000035</v>
      </c>
      <c r="E14" s="19">
        <f>D14-C14</f>
        <v>-10323.940000000002</v>
      </c>
      <c r="F14" s="5"/>
    </row>
    <row r="15" spans="2:6" x14ac:dyDescent="0.2">
      <c r="B15" s="6" t="s">
        <v>169</v>
      </c>
      <c r="C15" s="52">
        <f>IF(C13=0,"",C14/C13)</f>
        <v>0.15824916522072827</v>
      </c>
      <c r="D15" s="52">
        <f>IF(D13=0,"",D14/D13)</f>
        <v>3.9491949907262125E-2</v>
      </c>
      <c r="E15" s="6"/>
      <c r="F15" s="5"/>
    </row>
    <row r="17" spans="2:2" x14ac:dyDescent="0.2">
      <c r="B17" s="10" t="s">
        <v>170</v>
      </c>
    </row>
    <row r="1000" spans="702:702" ht="15" x14ac:dyDescent="0.25">
      <c r="ZZ1000"/>
    </row>
  </sheetData>
  <conditionalFormatting sqref="D15">
    <cfRule type="expression" dxfId="1" priority="2" stopIfTrue="1">
      <formula>AND(ISNUMBER($D$15),ISNUMBER($C$15),$D$15&lt;$C$15)</formula>
    </cfRule>
  </conditionalFormatting>
  <conditionalFormatting sqref="F5:F11">
    <cfRule type="expression" dxfId="0" priority="1" stopIfTrue="1">
      <formula>AND(ISNUMBER($F5),$F5&gt;0.05)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B0F2C-1FAA-4C29-8300-28FC5D4DF35D}">
  <dimension ref="B1:E19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50.7109375" style="1" customWidth="1"/>
    <col min="3" max="3" width="26.7109375" style="1" customWidth="1"/>
    <col min="4" max="4" width="3.7109375" style="1" customWidth="1"/>
    <col min="5" max="5" width="24.7109375" style="1" customWidth="1"/>
    <col min="6" max="16384" width="11.42578125" style="1"/>
  </cols>
  <sheetData>
    <row r="1" spans="2:5" ht="21" x14ac:dyDescent="0.35">
      <c r="B1" s="2" t="s">
        <v>0</v>
      </c>
    </row>
    <row r="3" spans="2:5" x14ac:dyDescent="0.2">
      <c r="B3" s="6" t="s">
        <v>1</v>
      </c>
      <c r="C3" s="7" t="s">
        <v>2</v>
      </c>
      <c r="E3" s="11" t="s">
        <v>16</v>
      </c>
    </row>
    <row r="4" spans="2:5" x14ac:dyDescent="0.2">
      <c r="B4" s="6" t="s">
        <v>3</v>
      </c>
      <c r="C4" s="7" t="s">
        <v>4</v>
      </c>
      <c r="E4" s="12" t="s">
        <v>17</v>
      </c>
    </row>
    <row r="5" spans="2:5" x14ac:dyDescent="0.2">
      <c r="B5" s="6" t="s">
        <v>5</v>
      </c>
      <c r="C5" s="7" t="s">
        <v>6</v>
      </c>
      <c r="E5" s="12" t="s">
        <v>18</v>
      </c>
    </row>
    <row r="6" spans="2:5" x14ac:dyDescent="0.2">
      <c r="B6" s="6" t="s">
        <v>7</v>
      </c>
      <c r="C6" s="8">
        <v>0.03</v>
      </c>
      <c r="E6" s="12" t="s">
        <v>19</v>
      </c>
    </row>
    <row r="7" spans="2:5" x14ac:dyDescent="0.2">
      <c r="B7" s="6" t="s">
        <v>8</v>
      </c>
      <c r="C7" s="8">
        <v>0.1</v>
      </c>
    </row>
    <row r="8" spans="2:5" x14ac:dyDescent="0.2">
      <c r="B8" s="6" t="s">
        <v>9</v>
      </c>
      <c r="C8" s="8">
        <v>0.08</v>
      </c>
    </row>
    <row r="9" spans="2:5" x14ac:dyDescent="0.2">
      <c r="B9" s="6" t="s">
        <v>10</v>
      </c>
      <c r="C9" s="8">
        <v>0.21</v>
      </c>
    </row>
    <row r="10" spans="2:5" x14ac:dyDescent="0.2">
      <c r="B10" s="6" t="s">
        <v>11</v>
      </c>
      <c r="C10" s="8">
        <v>5.0000000000000001E-3</v>
      </c>
    </row>
    <row r="11" spans="2:5" x14ac:dyDescent="0.2">
      <c r="B11" s="6" t="s">
        <v>12</v>
      </c>
      <c r="C11" s="8">
        <v>1E-3</v>
      </c>
    </row>
    <row r="12" spans="2:5" x14ac:dyDescent="0.2">
      <c r="B12" s="6" t="s">
        <v>13</v>
      </c>
      <c r="C12" s="8">
        <v>5.0000000000000001E-3</v>
      </c>
    </row>
    <row r="13" spans="2:5" x14ac:dyDescent="0.2">
      <c r="B13" s="6" t="s">
        <v>14</v>
      </c>
      <c r="C13" s="8">
        <v>0.1</v>
      </c>
    </row>
    <row r="15" spans="2:5" x14ac:dyDescent="0.2">
      <c r="B15" s="10" t="s">
        <v>15</v>
      </c>
    </row>
    <row r="17" spans="2:2" x14ac:dyDescent="0.2">
      <c r="B17" s="60" t="s">
        <v>171</v>
      </c>
    </row>
    <row r="18" spans="2:2" x14ac:dyDescent="0.2">
      <c r="B18" s="61" t="s">
        <v>172</v>
      </c>
    </row>
    <row r="19" spans="2:2" x14ac:dyDescent="0.2">
      <c r="B19" s="62" t="s">
        <v>173</v>
      </c>
    </row>
  </sheetData>
  <hyperlinks>
    <hyperlink ref="B19" r:id="rId1" tooltip="Instrucțiuni și alte modele gratuite" xr:uid="{562A7B5F-79DB-4E86-9F53-FBCED51D868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14</vt:i4>
      </vt:variant>
    </vt:vector>
  </HeadingPairs>
  <TitlesOfParts>
    <vt:vector size="18" baseType="lpstr">
      <vt:lpstr>Deviz</vt:lpstr>
      <vt:lpstr>Deviz general HG 907</vt:lpstr>
      <vt:lpstr>Rentabilitate</vt:lpstr>
      <vt:lpstr>Setări</vt:lpstr>
      <vt:lpstr>Deviz!Área_de_impresión</vt:lpstr>
      <vt:lpstr>CotaCSC</vt:lpstr>
      <vt:lpstr>CotaISC</vt:lpstr>
      <vt:lpstr>CotaISC2</vt:lpstr>
      <vt:lpstr>CotaTVA</vt:lpstr>
      <vt:lpstr>CUI</vt:lpstr>
      <vt:lpstr>Firma</vt:lpstr>
      <vt:lpstr>Intocmit</vt:lpstr>
      <vt:lpstr>PctDiverse</vt:lpstr>
      <vt:lpstr>PctIndirecte</vt:lpstr>
      <vt:lpstr>PctMarunte</vt:lpstr>
      <vt:lpstr>PctProfit</vt:lpstr>
      <vt:lpstr>TipArt</vt:lpstr>
      <vt:lpstr>Deviz!Títulos_a_imprimir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deviz lucrări construcții Excel (cu deviz general HG 907)</dc:title>
  <dc:subject>Model Excel gratuit în limba română</dc:subject>
  <dc:creator>Ray Moreno · modelexcel.ro</dc:creator>
  <cp:keywords>modelexcel.ro, model Excel, Model deviz lucrări construcții Excel (cu deviz general HG 907)</cp:keywords>
  <dc:description>© 2026 Ray Moreno – modelexcel.ro. Model gratuit: îl poți folosi și adapta în activitatea ta. Nu este permisă revânzarea lui sau publicarea pe alte site-uri. https://modelexcel.ro/model-deviz-lucrari-constructii-excel/</dc:description>
  <cp:lastModifiedBy>Ray Moreno · modelexcel.ro</cp:lastModifiedBy>
  <dcterms:created xsi:type="dcterms:W3CDTF">2026-10-11T16:36:20Z</dcterms:created>
  <dcterms:modified xsi:type="dcterms:W3CDTF">2026-10-13T17:30:55Z</dcterms:modified>
  <cp:category>Model Excel</cp:category>
</cp:coreProperties>
</file>