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62BE1801-BFF2-42E3-839E-235A81746545}" xr6:coauthVersionLast="47" xr6:coauthVersionMax="47" xr10:uidLastSave="{00000000-0000-0000-0000-000000000000}"/>
  <bookViews>
    <workbookView xWindow="-28920" yWindow="-120" windowWidth="29040" windowHeight="15720" xr2:uid="{2120E498-A76C-4960-A188-E5AF953950DF}"/>
  </bookViews>
  <sheets>
    <sheet name="Fișă de magazie" sheetId="1" r:id="rId1"/>
    <sheet name="Mișcări" sheetId="2" r:id="rId2"/>
    <sheet name="Stocuri" sheetId="3" r:id="rId3"/>
    <sheet name="Produse" sheetId="4" r:id="rId4"/>
    <sheet name="Despre model" sheetId="5" r:id="rId5"/>
  </sheets>
  <definedNames>
    <definedName name="_xlnm.Print_Area" localSheetId="0">'Fișă de magazie'!$A$1:$I$54</definedName>
    <definedName name="CodFisa">'Fișă de magazie'!$H$2</definedName>
    <definedName name="CodProd">Produse!$B$5:$B$204</definedName>
    <definedName name="TabProd">Produse!$B$5:$G$204</definedName>
    <definedName name="TipDoc">Produse!$I$5:$I$16</definedName>
    <definedName name="_xlnm.Print_Titles" localSheetId="1">Mișcări!$4:$4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65" i="3" l="1"/>
  <c r="M64" i="3"/>
  <c r="L64" i="3"/>
  <c r="K64" i="3"/>
  <c r="N64" i="3"/>
  <c r="J64" i="3"/>
  <c r="I64" i="3"/>
  <c r="H64" i="3"/>
  <c r="G64" i="3"/>
  <c r="F64" i="3"/>
  <c r="E64" i="3"/>
  <c r="D64" i="3"/>
  <c r="C64" i="3"/>
  <c r="B64" i="3"/>
  <c r="M63" i="3"/>
  <c r="L63" i="3"/>
  <c r="K63" i="3"/>
  <c r="N63" i="3"/>
  <c r="J63" i="3"/>
  <c r="I63" i="3"/>
  <c r="H63" i="3"/>
  <c r="G63" i="3"/>
  <c r="F63" i="3"/>
  <c r="E63" i="3"/>
  <c r="D63" i="3"/>
  <c r="C63" i="3"/>
  <c r="B63" i="3"/>
  <c r="M62" i="3"/>
  <c r="L62" i="3"/>
  <c r="K62" i="3"/>
  <c r="N62" i="3"/>
  <c r="J62" i="3"/>
  <c r="I62" i="3"/>
  <c r="H62" i="3"/>
  <c r="G62" i="3"/>
  <c r="F62" i="3"/>
  <c r="E62" i="3"/>
  <c r="D62" i="3"/>
  <c r="C62" i="3"/>
  <c r="B62" i="3"/>
  <c r="M61" i="3"/>
  <c r="L61" i="3"/>
  <c r="K61" i="3"/>
  <c r="N61" i="3"/>
  <c r="J61" i="3"/>
  <c r="I61" i="3"/>
  <c r="H61" i="3"/>
  <c r="G61" i="3"/>
  <c r="F61" i="3"/>
  <c r="E61" i="3"/>
  <c r="D61" i="3"/>
  <c r="C61" i="3"/>
  <c r="B61" i="3"/>
  <c r="M60" i="3"/>
  <c r="L60" i="3"/>
  <c r="K60" i="3"/>
  <c r="N60" i="3"/>
  <c r="J60" i="3"/>
  <c r="I60" i="3"/>
  <c r="H60" i="3"/>
  <c r="G60" i="3"/>
  <c r="F60" i="3"/>
  <c r="E60" i="3"/>
  <c r="D60" i="3"/>
  <c r="C60" i="3"/>
  <c r="B60" i="3"/>
  <c r="M59" i="3"/>
  <c r="L59" i="3"/>
  <c r="K59" i="3"/>
  <c r="N59" i="3"/>
  <c r="J59" i="3"/>
  <c r="I59" i="3"/>
  <c r="H59" i="3"/>
  <c r="G59" i="3"/>
  <c r="F59" i="3"/>
  <c r="E59" i="3"/>
  <c r="D59" i="3"/>
  <c r="C59" i="3"/>
  <c r="B59" i="3"/>
  <c r="M58" i="3"/>
  <c r="L58" i="3"/>
  <c r="K58" i="3"/>
  <c r="N58" i="3"/>
  <c r="J58" i="3"/>
  <c r="I58" i="3"/>
  <c r="H58" i="3"/>
  <c r="G58" i="3"/>
  <c r="F58" i="3"/>
  <c r="E58" i="3"/>
  <c r="D58" i="3"/>
  <c r="C58" i="3"/>
  <c r="B58" i="3"/>
  <c r="M57" i="3"/>
  <c r="L57" i="3"/>
  <c r="K57" i="3"/>
  <c r="N57" i="3"/>
  <c r="J57" i="3"/>
  <c r="I57" i="3"/>
  <c r="H57" i="3"/>
  <c r="G57" i="3"/>
  <c r="F57" i="3"/>
  <c r="E57" i="3"/>
  <c r="D57" i="3"/>
  <c r="C57" i="3"/>
  <c r="B57" i="3"/>
  <c r="M56" i="3"/>
  <c r="L56" i="3"/>
  <c r="K56" i="3"/>
  <c r="N56" i="3"/>
  <c r="J56" i="3"/>
  <c r="I56" i="3"/>
  <c r="H56" i="3"/>
  <c r="G56" i="3"/>
  <c r="F56" i="3"/>
  <c r="E56" i="3"/>
  <c r="D56" i="3"/>
  <c r="C56" i="3"/>
  <c r="B56" i="3"/>
  <c r="M55" i="3"/>
  <c r="L55" i="3"/>
  <c r="K55" i="3"/>
  <c r="N55" i="3"/>
  <c r="J55" i="3"/>
  <c r="I55" i="3"/>
  <c r="H55" i="3"/>
  <c r="G55" i="3"/>
  <c r="F55" i="3"/>
  <c r="E55" i="3"/>
  <c r="D55" i="3"/>
  <c r="C55" i="3"/>
  <c r="B55" i="3"/>
  <c r="M54" i="3"/>
  <c r="L54" i="3"/>
  <c r="K54" i="3"/>
  <c r="N54" i="3"/>
  <c r="J54" i="3"/>
  <c r="I54" i="3"/>
  <c r="H54" i="3"/>
  <c r="G54" i="3"/>
  <c r="F54" i="3"/>
  <c r="E54" i="3"/>
  <c r="D54" i="3"/>
  <c r="C54" i="3"/>
  <c r="B54" i="3"/>
  <c r="M53" i="3"/>
  <c r="L53" i="3"/>
  <c r="K53" i="3"/>
  <c r="N53" i="3"/>
  <c r="J53" i="3"/>
  <c r="I53" i="3"/>
  <c r="H53" i="3"/>
  <c r="G53" i="3"/>
  <c r="F53" i="3"/>
  <c r="E53" i="3"/>
  <c r="D53" i="3"/>
  <c r="C53" i="3"/>
  <c r="B53" i="3"/>
  <c r="M52" i="3"/>
  <c r="L52" i="3"/>
  <c r="K52" i="3"/>
  <c r="N52" i="3"/>
  <c r="J52" i="3"/>
  <c r="I52" i="3"/>
  <c r="H52" i="3"/>
  <c r="G52" i="3"/>
  <c r="F52" i="3"/>
  <c r="E52" i="3"/>
  <c r="D52" i="3"/>
  <c r="C52" i="3"/>
  <c r="B52" i="3"/>
  <c r="M51" i="3"/>
  <c r="L51" i="3"/>
  <c r="K51" i="3"/>
  <c r="N51" i="3"/>
  <c r="J51" i="3"/>
  <c r="I51" i="3"/>
  <c r="H51" i="3"/>
  <c r="G51" i="3"/>
  <c r="F51" i="3"/>
  <c r="E51" i="3"/>
  <c r="D51" i="3"/>
  <c r="C51" i="3"/>
  <c r="B51" i="3"/>
  <c r="M50" i="3"/>
  <c r="L50" i="3"/>
  <c r="K50" i="3"/>
  <c r="N50" i="3"/>
  <c r="J50" i="3"/>
  <c r="I50" i="3"/>
  <c r="H50" i="3"/>
  <c r="G50" i="3"/>
  <c r="F50" i="3"/>
  <c r="E50" i="3"/>
  <c r="D50" i="3"/>
  <c r="C50" i="3"/>
  <c r="B50" i="3"/>
  <c r="M49" i="3"/>
  <c r="L49" i="3"/>
  <c r="K49" i="3"/>
  <c r="N49" i="3"/>
  <c r="J49" i="3"/>
  <c r="I49" i="3"/>
  <c r="H49" i="3"/>
  <c r="G49" i="3"/>
  <c r="F49" i="3"/>
  <c r="E49" i="3"/>
  <c r="D49" i="3"/>
  <c r="C49" i="3"/>
  <c r="B49" i="3"/>
  <c r="M48" i="3"/>
  <c r="L48" i="3"/>
  <c r="K48" i="3"/>
  <c r="N48" i="3"/>
  <c r="J48" i="3"/>
  <c r="I48" i="3"/>
  <c r="H48" i="3"/>
  <c r="G48" i="3"/>
  <c r="F48" i="3"/>
  <c r="E48" i="3"/>
  <c r="D48" i="3"/>
  <c r="C48" i="3"/>
  <c r="B48" i="3"/>
  <c r="M47" i="3"/>
  <c r="L47" i="3"/>
  <c r="K47" i="3"/>
  <c r="N47" i="3"/>
  <c r="J47" i="3"/>
  <c r="I47" i="3"/>
  <c r="H47" i="3"/>
  <c r="G47" i="3"/>
  <c r="F47" i="3"/>
  <c r="E47" i="3"/>
  <c r="D47" i="3"/>
  <c r="C47" i="3"/>
  <c r="B47" i="3"/>
  <c r="M46" i="3"/>
  <c r="L46" i="3"/>
  <c r="K46" i="3"/>
  <c r="N46" i="3"/>
  <c r="J46" i="3"/>
  <c r="I46" i="3"/>
  <c r="H46" i="3"/>
  <c r="G46" i="3"/>
  <c r="F46" i="3"/>
  <c r="E46" i="3"/>
  <c r="D46" i="3"/>
  <c r="C46" i="3"/>
  <c r="B46" i="3"/>
  <c r="M45" i="3"/>
  <c r="L45" i="3"/>
  <c r="K45" i="3"/>
  <c r="N45" i="3"/>
  <c r="J45" i="3"/>
  <c r="I45" i="3"/>
  <c r="H45" i="3"/>
  <c r="G45" i="3"/>
  <c r="F45" i="3"/>
  <c r="E45" i="3"/>
  <c r="D45" i="3"/>
  <c r="C45" i="3"/>
  <c r="B45" i="3"/>
  <c r="M44" i="3"/>
  <c r="L44" i="3"/>
  <c r="K44" i="3"/>
  <c r="N44" i="3"/>
  <c r="J44" i="3"/>
  <c r="I44" i="3"/>
  <c r="H44" i="3"/>
  <c r="G44" i="3"/>
  <c r="F44" i="3"/>
  <c r="E44" i="3"/>
  <c r="D44" i="3"/>
  <c r="C44" i="3"/>
  <c r="B44" i="3"/>
  <c r="M43" i="3"/>
  <c r="L43" i="3"/>
  <c r="K43" i="3"/>
  <c r="N43" i="3"/>
  <c r="J43" i="3"/>
  <c r="I43" i="3"/>
  <c r="H43" i="3"/>
  <c r="G43" i="3"/>
  <c r="F43" i="3"/>
  <c r="E43" i="3"/>
  <c r="D43" i="3"/>
  <c r="C43" i="3"/>
  <c r="B43" i="3"/>
  <c r="M42" i="3"/>
  <c r="L42" i="3"/>
  <c r="K42" i="3"/>
  <c r="N42" i="3"/>
  <c r="J42" i="3"/>
  <c r="I42" i="3"/>
  <c r="H42" i="3"/>
  <c r="G42" i="3"/>
  <c r="F42" i="3"/>
  <c r="E42" i="3"/>
  <c r="D42" i="3"/>
  <c r="C42" i="3"/>
  <c r="B42" i="3"/>
  <c r="M41" i="3"/>
  <c r="L41" i="3"/>
  <c r="K41" i="3"/>
  <c r="N41" i="3"/>
  <c r="J41" i="3"/>
  <c r="I41" i="3"/>
  <c r="H41" i="3"/>
  <c r="G41" i="3"/>
  <c r="F41" i="3"/>
  <c r="E41" i="3"/>
  <c r="D41" i="3"/>
  <c r="C41" i="3"/>
  <c r="B41" i="3"/>
  <c r="M40" i="3"/>
  <c r="L40" i="3"/>
  <c r="K40" i="3"/>
  <c r="N40" i="3"/>
  <c r="J40" i="3"/>
  <c r="I40" i="3"/>
  <c r="H40" i="3"/>
  <c r="G40" i="3"/>
  <c r="F40" i="3"/>
  <c r="E40" i="3"/>
  <c r="D40" i="3"/>
  <c r="C40" i="3"/>
  <c r="B40" i="3"/>
  <c r="M39" i="3"/>
  <c r="L39" i="3"/>
  <c r="K39" i="3"/>
  <c r="N39" i="3"/>
  <c r="J39" i="3"/>
  <c r="I39" i="3"/>
  <c r="H39" i="3"/>
  <c r="G39" i="3"/>
  <c r="F39" i="3"/>
  <c r="E39" i="3"/>
  <c r="D39" i="3"/>
  <c r="C39" i="3"/>
  <c r="B39" i="3"/>
  <c r="M38" i="3"/>
  <c r="L38" i="3"/>
  <c r="K38" i="3"/>
  <c r="N38" i="3"/>
  <c r="J38" i="3"/>
  <c r="I38" i="3"/>
  <c r="H38" i="3"/>
  <c r="G38" i="3"/>
  <c r="F38" i="3"/>
  <c r="E38" i="3"/>
  <c r="D38" i="3"/>
  <c r="C38" i="3"/>
  <c r="B38" i="3"/>
  <c r="M37" i="3"/>
  <c r="L37" i="3"/>
  <c r="K37" i="3"/>
  <c r="N37" i="3"/>
  <c r="J37" i="3"/>
  <c r="I37" i="3"/>
  <c r="H37" i="3"/>
  <c r="G37" i="3"/>
  <c r="F37" i="3"/>
  <c r="E37" i="3"/>
  <c r="D37" i="3"/>
  <c r="C37" i="3"/>
  <c r="B37" i="3"/>
  <c r="M36" i="3"/>
  <c r="L36" i="3"/>
  <c r="K36" i="3"/>
  <c r="N36" i="3"/>
  <c r="J36" i="3"/>
  <c r="I36" i="3"/>
  <c r="H36" i="3"/>
  <c r="G36" i="3"/>
  <c r="F36" i="3"/>
  <c r="E36" i="3"/>
  <c r="D36" i="3"/>
  <c r="C36" i="3"/>
  <c r="B36" i="3"/>
  <c r="M35" i="3"/>
  <c r="L35" i="3"/>
  <c r="K35" i="3"/>
  <c r="N35" i="3"/>
  <c r="J35" i="3"/>
  <c r="I35" i="3"/>
  <c r="H35" i="3"/>
  <c r="G35" i="3"/>
  <c r="F35" i="3"/>
  <c r="E35" i="3"/>
  <c r="D35" i="3"/>
  <c r="C35" i="3"/>
  <c r="B35" i="3"/>
  <c r="M34" i="3"/>
  <c r="L34" i="3"/>
  <c r="K34" i="3"/>
  <c r="N34" i="3"/>
  <c r="J34" i="3"/>
  <c r="I34" i="3"/>
  <c r="H34" i="3"/>
  <c r="G34" i="3"/>
  <c r="F34" i="3"/>
  <c r="E34" i="3"/>
  <c r="D34" i="3"/>
  <c r="C34" i="3"/>
  <c r="B34" i="3"/>
  <c r="M33" i="3"/>
  <c r="L33" i="3"/>
  <c r="K33" i="3"/>
  <c r="N33" i="3"/>
  <c r="J33" i="3"/>
  <c r="I33" i="3"/>
  <c r="H33" i="3"/>
  <c r="G33" i="3"/>
  <c r="F33" i="3"/>
  <c r="E33" i="3"/>
  <c r="D33" i="3"/>
  <c r="C33" i="3"/>
  <c r="B33" i="3"/>
  <c r="M32" i="3"/>
  <c r="L32" i="3"/>
  <c r="K32" i="3"/>
  <c r="N32" i="3"/>
  <c r="J32" i="3"/>
  <c r="I32" i="3"/>
  <c r="H32" i="3"/>
  <c r="G32" i="3"/>
  <c r="F32" i="3"/>
  <c r="E32" i="3"/>
  <c r="D32" i="3"/>
  <c r="C32" i="3"/>
  <c r="B32" i="3"/>
  <c r="M31" i="3"/>
  <c r="L31" i="3"/>
  <c r="K31" i="3"/>
  <c r="N31" i="3"/>
  <c r="J31" i="3"/>
  <c r="I31" i="3"/>
  <c r="H31" i="3"/>
  <c r="G31" i="3"/>
  <c r="F31" i="3"/>
  <c r="E31" i="3"/>
  <c r="D31" i="3"/>
  <c r="C31" i="3"/>
  <c r="B31" i="3"/>
  <c r="M30" i="3"/>
  <c r="L30" i="3"/>
  <c r="K30" i="3"/>
  <c r="N30" i="3"/>
  <c r="J30" i="3"/>
  <c r="I30" i="3"/>
  <c r="H30" i="3"/>
  <c r="G30" i="3"/>
  <c r="F30" i="3"/>
  <c r="E30" i="3"/>
  <c r="D30" i="3"/>
  <c r="C30" i="3"/>
  <c r="B30" i="3"/>
  <c r="M29" i="3"/>
  <c r="L29" i="3"/>
  <c r="K29" i="3"/>
  <c r="N29" i="3"/>
  <c r="J29" i="3"/>
  <c r="I29" i="3"/>
  <c r="H29" i="3"/>
  <c r="G29" i="3"/>
  <c r="F29" i="3"/>
  <c r="E29" i="3"/>
  <c r="D29" i="3"/>
  <c r="C29" i="3"/>
  <c r="B29" i="3"/>
  <c r="M28" i="3"/>
  <c r="L28" i="3"/>
  <c r="K28" i="3"/>
  <c r="N28" i="3"/>
  <c r="J28" i="3"/>
  <c r="I28" i="3"/>
  <c r="H28" i="3"/>
  <c r="G28" i="3"/>
  <c r="F28" i="3"/>
  <c r="E28" i="3"/>
  <c r="D28" i="3"/>
  <c r="C28" i="3"/>
  <c r="B28" i="3"/>
  <c r="M27" i="3"/>
  <c r="L27" i="3"/>
  <c r="K27" i="3"/>
  <c r="N27" i="3"/>
  <c r="J27" i="3"/>
  <c r="I27" i="3"/>
  <c r="H27" i="3"/>
  <c r="G27" i="3"/>
  <c r="F27" i="3"/>
  <c r="E27" i="3"/>
  <c r="D27" i="3"/>
  <c r="C27" i="3"/>
  <c r="B27" i="3"/>
  <c r="M26" i="3"/>
  <c r="L26" i="3"/>
  <c r="K26" i="3"/>
  <c r="N26" i="3"/>
  <c r="J26" i="3"/>
  <c r="I26" i="3"/>
  <c r="H26" i="3"/>
  <c r="G26" i="3"/>
  <c r="F26" i="3"/>
  <c r="E26" i="3"/>
  <c r="D26" i="3"/>
  <c r="C26" i="3"/>
  <c r="B26" i="3"/>
  <c r="M25" i="3"/>
  <c r="L25" i="3"/>
  <c r="K25" i="3"/>
  <c r="N25" i="3"/>
  <c r="J25" i="3"/>
  <c r="I25" i="3"/>
  <c r="H25" i="3"/>
  <c r="G25" i="3"/>
  <c r="F25" i="3"/>
  <c r="E25" i="3"/>
  <c r="D25" i="3"/>
  <c r="C25" i="3"/>
  <c r="B25" i="3"/>
  <c r="M24" i="3"/>
  <c r="L24" i="3"/>
  <c r="K24" i="3"/>
  <c r="N24" i="3"/>
  <c r="J24" i="3"/>
  <c r="I24" i="3"/>
  <c r="H24" i="3"/>
  <c r="G24" i="3"/>
  <c r="F24" i="3"/>
  <c r="E24" i="3"/>
  <c r="D24" i="3"/>
  <c r="C24" i="3"/>
  <c r="B24" i="3"/>
  <c r="M23" i="3"/>
  <c r="L23" i="3"/>
  <c r="K23" i="3"/>
  <c r="N23" i="3"/>
  <c r="J23" i="3"/>
  <c r="I23" i="3"/>
  <c r="H23" i="3"/>
  <c r="G23" i="3"/>
  <c r="F23" i="3"/>
  <c r="E23" i="3"/>
  <c r="D23" i="3"/>
  <c r="C23" i="3"/>
  <c r="B23" i="3"/>
  <c r="M22" i="3"/>
  <c r="L22" i="3"/>
  <c r="K22" i="3"/>
  <c r="N22" i="3"/>
  <c r="J22" i="3"/>
  <c r="I22" i="3"/>
  <c r="H22" i="3"/>
  <c r="G22" i="3"/>
  <c r="F22" i="3"/>
  <c r="E22" i="3"/>
  <c r="D22" i="3"/>
  <c r="C22" i="3"/>
  <c r="B22" i="3"/>
  <c r="M21" i="3"/>
  <c r="L21" i="3"/>
  <c r="K21" i="3"/>
  <c r="N21" i="3"/>
  <c r="J21" i="3"/>
  <c r="I21" i="3"/>
  <c r="H21" i="3"/>
  <c r="G21" i="3"/>
  <c r="F21" i="3"/>
  <c r="E21" i="3"/>
  <c r="D21" i="3"/>
  <c r="C21" i="3"/>
  <c r="B21" i="3"/>
  <c r="M20" i="3"/>
  <c r="L20" i="3"/>
  <c r="K20" i="3"/>
  <c r="N20" i="3"/>
  <c r="J20" i="3"/>
  <c r="I20" i="3"/>
  <c r="H20" i="3"/>
  <c r="G20" i="3"/>
  <c r="F20" i="3"/>
  <c r="E20" i="3"/>
  <c r="D20" i="3"/>
  <c r="C20" i="3"/>
  <c r="B20" i="3"/>
  <c r="M19" i="3"/>
  <c r="L19" i="3"/>
  <c r="K19" i="3"/>
  <c r="N19" i="3"/>
  <c r="J19" i="3"/>
  <c r="I19" i="3"/>
  <c r="H19" i="3"/>
  <c r="G19" i="3"/>
  <c r="F19" i="3"/>
  <c r="E19" i="3"/>
  <c r="D19" i="3"/>
  <c r="C19" i="3"/>
  <c r="B19" i="3"/>
  <c r="M18" i="3"/>
  <c r="L18" i="3"/>
  <c r="K18" i="3"/>
  <c r="N18" i="3"/>
  <c r="J18" i="3"/>
  <c r="I18" i="3"/>
  <c r="H18" i="3"/>
  <c r="G18" i="3"/>
  <c r="F18" i="3"/>
  <c r="E18" i="3"/>
  <c r="D18" i="3"/>
  <c r="C18" i="3"/>
  <c r="B18" i="3"/>
  <c r="M17" i="3"/>
  <c r="L17" i="3"/>
  <c r="K17" i="3"/>
  <c r="N17" i="3"/>
  <c r="J17" i="3"/>
  <c r="I17" i="3"/>
  <c r="H17" i="3"/>
  <c r="G17" i="3"/>
  <c r="F17" i="3"/>
  <c r="E17" i="3"/>
  <c r="D17" i="3"/>
  <c r="C17" i="3"/>
  <c r="B17" i="3"/>
  <c r="M16" i="3"/>
  <c r="L16" i="3"/>
  <c r="K16" i="3"/>
  <c r="N16" i="3"/>
  <c r="J16" i="3"/>
  <c r="I16" i="3"/>
  <c r="H16" i="3"/>
  <c r="G16" i="3"/>
  <c r="F16" i="3"/>
  <c r="E16" i="3"/>
  <c r="D16" i="3"/>
  <c r="C16" i="3"/>
  <c r="B16" i="3"/>
  <c r="M15" i="3"/>
  <c r="L15" i="3"/>
  <c r="K15" i="3"/>
  <c r="N15" i="3"/>
  <c r="J15" i="3"/>
  <c r="I15" i="3"/>
  <c r="H15" i="3"/>
  <c r="G15" i="3"/>
  <c r="F15" i="3"/>
  <c r="E15" i="3"/>
  <c r="D15" i="3"/>
  <c r="C15" i="3"/>
  <c r="B15" i="3"/>
  <c r="M14" i="3"/>
  <c r="L14" i="3"/>
  <c r="K14" i="3"/>
  <c r="N14" i="3"/>
  <c r="J14" i="3"/>
  <c r="I14" i="3"/>
  <c r="H14" i="3"/>
  <c r="G14" i="3"/>
  <c r="F14" i="3"/>
  <c r="E14" i="3"/>
  <c r="D14" i="3"/>
  <c r="C14" i="3"/>
  <c r="B14" i="3"/>
  <c r="M13" i="3"/>
  <c r="L13" i="3"/>
  <c r="K13" i="3"/>
  <c r="N13" i="3"/>
  <c r="J13" i="3"/>
  <c r="I13" i="3"/>
  <c r="H13" i="3"/>
  <c r="G13" i="3"/>
  <c r="F13" i="3"/>
  <c r="E13" i="3"/>
  <c r="D13" i="3"/>
  <c r="C13" i="3"/>
  <c r="B13" i="3"/>
  <c r="M12" i="3"/>
  <c r="L12" i="3"/>
  <c r="K12" i="3"/>
  <c r="N12" i="3"/>
  <c r="J12" i="3"/>
  <c r="I12" i="3"/>
  <c r="H12" i="3"/>
  <c r="G12" i="3"/>
  <c r="F12" i="3"/>
  <c r="E12" i="3"/>
  <c r="D12" i="3"/>
  <c r="C12" i="3"/>
  <c r="B12" i="3"/>
  <c r="M11" i="3"/>
  <c r="L11" i="3"/>
  <c r="K11" i="3"/>
  <c r="N11" i="3"/>
  <c r="J11" i="3"/>
  <c r="I11" i="3"/>
  <c r="H11" i="3"/>
  <c r="G11" i="3"/>
  <c r="F11" i="3"/>
  <c r="E11" i="3"/>
  <c r="D11" i="3"/>
  <c r="C11" i="3"/>
  <c r="B11" i="3"/>
  <c r="M10" i="3"/>
  <c r="L10" i="3"/>
  <c r="K10" i="3"/>
  <c r="N10" i="3"/>
  <c r="J10" i="3"/>
  <c r="I10" i="3"/>
  <c r="H10" i="3"/>
  <c r="G10" i="3"/>
  <c r="F10" i="3"/>
  <c r="E10" i="3"/>
  <c r="D10" i="3"/>
  <c r="C10" i="3"/>
  <c r="B10" i="3"/>
  <c r="M9" i="3"/>
  <c r="L9" i="3"/>
  <c r="K9" i="3"/>
  <c r="N9" i="3"/>
  <c r="J9" i="3"/>
  <c r="I9" i="3"/>
  <c r="H9" i="3"/>
  <c r="G9" i="3"/>
  <c r="F9" i="3"/>
  <c r="E9" i="3"/>
  <c r="D9" i="3"/>
  <c r="C9" i="3"/>
  <c r="B9" i="3"/>
  <c r="M8" i="3"/>
  <c r="L8" i="3"/>
  <c r="K8" i="3"/>
  <c r="N8" i="3"/>
  <c r="J8" i="3"/>
  <c r="I8" i="3"/>
  <c r="H8" i="3"/>
  <c r="G8" i="3"/>
  <c r="F8" i="3"/>
  <c r="E8" i="3"/>
  <c r="D8" i="3"/>
  <c r="C8" i="3"/>
  <c r="B8" i="3"/>
  <c r="M7" i="3"/>
  <c r="L7" i="3"/>
  <c r="K7" i="3"/>
  <c r="N7" i="3"/>
  <c r="J7" i="3"/>
  <c r="I7" i="3"/>
  <c r="H7" i="3"/>
  <c r="G7" i="3"/>
  <c r="F7" i="3"/>
  <c r="E7" i="3"/>
  <c r="D7" i="3"/>
  <c r="C7" i="3"/>
  <c r="B7" i="3"/>
  <c r="M6" i="3"/>
  <c r="L6" i="3"/>
  <c r="K6" i="3"/>
  <c r="N6" i="3"/>
  <c r="J6" i="3"/>
  <c r="I6" i="3"/>
  <c r="H6" i="3"/>
  <c r="G6" i="3"/>
  <c r="F6" i="3"/>
  <c r="E6" i="3"/>
  <c r="D6" i="3"/>
  <c r="C6" i="3"/>
  <c r="B6" i="3"/>
  <c r="M5" i="3"/>
  <c r="L5" i="3"/>
  <c r="K5" i="3"/>
  <c r="N5" i="3"/>
  <c r="J5" i="3"/>
  <c r="I5" i="3"/>
  <c r="H5" i="3"/>
  <c r="G5" i="3"/>
  <c r="F5" i="3"/>
  <c r="E5" i="3"/>
  <c r="D5" i="3"/>
  <c r="C5" i="3"/>
  <c r="B5" i="3"/>
  <c r="B53" i="1"/>
  <c r="H51" i="1"/>
  <c r="G51" i="1"/>
  <c r="F51" i="1"/>
  <c r="H50" i="1"/>
  <c r="G50" i="1"/>
  <c r="F50" i="1"/>
  <c r="E50" i="1"/>
  <c r="D50" i="1"/>
  <c r="C50" i="1"/>
  <c r="B50" i="1"/>
  <c r="H49" i="1"/>
  <c r="G49" i="1"/>
  <c r="F49" i="1"/>
  <c r="E49" i="1"/>
  <c r="D49" i="1"/>
  <c r="C49" i="1"/>
  <c r="B49" i="1"/>
  <c r="H48" i="1"/>
  <c r="G48" i="1"/>
  <c r="F48" i="1"/>
  <c r="E48" i="1"/>
  <c r="D48" i="1"/>
  <c r="C48" i="1"/>
  <c r="B48" i="1"/>
  <c r="H47" i="1"/>
  <c r="G47" i="1"/>
  <c r="F47" i="1"/>
  <c r="E47" i="1"/>
  <c r="D47" i="1"/>
  <c r="C47" i="1"/>
  <c r="B47" i="1"/>
  <c r="H46" i="1"/>
  <c r="G46" i="1"/>
  <c r="F46" i="1"/>
  <c r="E46" i="1"/>
  <c r="D46" i="1"/>
  <c r="C46" i="1"/>
  <c r="B46" i="1"/>
  <c r="H45" i="1"/>
  <c r="G45" i="1"/>
  <c r="F45" i="1"/>
  <c r="E45" i="1"/>
  <c r="D45" i="1"/>
  <c r="C45" i="1"/>
  <c r="B45" i="1"/>
  <c r="H44" i="1"/>
  <c r="G44" i="1"/>
  <c r="F44" i="1"/>
  <c r="E44" i="1"/>
  <c r="D44" i="1"/>
  <c r="C44" i="1"/>
  <c r="B44" i="1"/>
  <c r="H43" i="1"/>
  <c r="G43" i="1"/>
  <c r="F43" i="1"/>
  <c r="E43" i="1"/>
  <c r="D43" i="1"/>
  <c r="C43" i="1"/>
  <c r="B43" i="1"/>
  <c r="H42" i="1"/>
  <c r="G42" i="1"/>
  <c r="F42" i="1"/>
  <c r="E42" i="1"/>
  <c r="D42" i="1"/>
  <c r="C42" i="1"/>
  <c r="B42" i="1"/>
  <c r="H41" i="1"/>
  <c r="G41" i="1"/>
  <c r="F41" i="1"/>
  <c r="E41" i="1"/>
  <c r="D41" i="1"/>
  <c r="C41" i="1"/>
  <c r="B41" i="1"/>
  <c r="H40" i="1"/>
  <c r="G40" i="1"/>
  <c r="F40" i="1"/>
  <c r="E40" i="1"/>
  <c r="D40" i="1"/>
  <c r="C40" i="1"/>
  <c r="B40" i="1"/>
  <c r="H39" i="1"/>
  <c r="G39" i="1"/>
  <c r="F39" i="1"/>
  <c r="E39" i="1"/>
  <c r="D39" i="1"/>
  <c r="C39" i="1"/>
  <c r="B39" i="1"/>
  <c r="H38" i="1"/>
  <c r="G38" i="1"/>
  <c r="F38" i="1"/>
  <c r="E38" i="1"/>
  <c r="D38" i="1"/>
  <c r="C38" i="1"/>
  <c r="B38" i="1"/>
  <c r="H37" i="1"/>
  <c r="G37" i="1"/>
  <c r="F37" i="1"/>
  <c r="E37" i="1"/>
  <c r="D37" i="1"/>
  <c r="C37" i="1"/>
  <c r="B37" i="1"/>
  <c r="H36" i="1"/>
  <c r="G36" i="1"/>
  <c r="F36" i="1"/>
  <c r="E36" i="1"/>
  <c r="D36" i="1"/>
  <c r="C36" i="1"/>
  <c r="B36" i="1"/>
  <c r="H35" i="1"/>
  <c r="G35" i="1"/>
  <c r="F35" i="1"/>
  <c r="E35" i="1"/>
  <c r="D35" i="1"/>
  <c r="C35" i="1"/>
  <c r="B35" i="1"/>
  <c r="H34" i="1"/>
  <c r="G34" i="1"/>
  <c r="F34" i="1"/>
  <c r="E34" i="1"/>
  <c r="D34" i="1"/>
  <c r="C34" i="1"/>
  <c r="B34" i="1"/>
  <c r="H33" i="1"/>
  <c r="G33" i="1"/>
  <c r="F33" i="1"/>
  <c r="E33" i="1"/>
  <c r="D33" i="1"/>
  <c r="C33" i="1"/>
  <c r="B33" i="1"/>
  <c r="H32" i="1"/>
  <c r="G32" i="1"/>
  <c r="F32" i="1"/>
  <c r="E32" i="1"/>
  <c r="D32" i="1"/>
  <c r="C32" i="1"/>
  <c r="B32" i="1"/>
  <c r="H31" i="1"/>
  <c r="G31" i="1"/>
  <c r="F31" i="1"/>
  <c r="E31" i="1"/>
  <c r="D31" i="1"/>
  <c r="C31" i="1"/>
  <c r="B31" i="1"/>
  <c r="H30" i="1"/>
  <c r="G30" i="1"/>
  <c r="F30" i="1"/>
  <c r="E30" i="1"/>
  <c r="D30" i="1"/>
  <c r="C30" i="1"/>
  <c r="B30" i="1"/>
  <c r="H29" i="1"/>
  <c r="G29" i="1"/>
  <c r="F29" i="1"/>
  <c r="E29" i="1"/>
  <c r="D29" i="1"/>
  <c r="C29" i="1"/>
  <c r="B29" i="1"/>
  <c r="H28" i="1"/>
  <c r="G28" i="1"/>
  <c r="F28" i="1"/>
  <c r="E28" i="1"/>
  <c r="D28" i="1"/>
  <c r="C28" i="1"/>
  <c r="B28" i="1"/>
  <c r="H27" i="1"/>
  <c r="G27" i="1"/>
  <c r="F27" i="1"/>
  <c r="E27" i="1"/>
  <c r="D27" i="1"/>
  <c r="C27" i="1"/>
  <c r="B27" i="1"/>
  <c r="H26" i="1"/>
  <c r="G26" i="1"/>
  <c r="F26" i="1"/>
  <c r="E26" i="1"/>
  <c r="D26" i="1"/>
  <c r="C26" i="1"/>
  <c r="B26" i="1"/>
  <c r="H25" i="1"/>
  <c r="G25" i="1"/>
  <c r="F25" i="1"/>
  <c r="E25" i="1"/>
  <c r="D25" i="1"/>
  <c r="C25" i="1"/>
  <c r="B25" i="1"/>
  <c r="H24" i="1"/>
  <c r="G24" i="1"/>
  <c r="F24" i="1"/>
  <c r="E24" i="1"/>
  <c r="D24" i="1"/>
  <c r="C24" i="1"/>
  <c r="B24" i="1"/>
  <c r="H23" i="1"/>
  <c r="G23" i="1"/>
  <c r="F23" i="1"/>
  <c r="E23" i="1"/>
  <c r="D23" i="1"/>
  <c r="C23" i="1"/>
  <c r="B23" i="1"/>
  <c r="H22" i="1"/>
  <c r="G22" i="1"/>
  <c r="F22" i="1"/>
  <c r="E22" i="1"/>
  <c r="D22" i="1"/>
  <c r="C22" i="1"/>
  <c r="B22" i="1"/>
  <c r="H21" i="1"/>
  <c r="G21" i="1"/>
  <c r="F21" i="1"/>
  <c r="E21" i="1"/>
  <c r="D21" i="1"/>
  <c r="C21" i="1"/>
  <c r="B21" i="1"/>
  <c r="H20" i="1"/>
  <c r="G20" i="1"/>
  <c r="F20" i="1"/>
  <c r="E20" i="1"/>
  <c r="D20" i="1"/>
  <c r="C20" i="1"/>
  <c r="B20" i="1"/>
  <c r="H19" i="1"/>
  <c r="G19" i="1"/>
  <c r="F19" i="1"/>
  <c r="E19" i="1"/>
  <c r="D19" i="1"/>
  <c r="C19" i="1"/>
  <c r="B19" i="1"/>
  <c r="H18" i="1"/>
  <c r="G18" i="1"/>
  <c r="F18" i="1"/>
  <c r="E18" i="1"/>
  <c r="D18" i="1"/>
  <c r="C18" i="1"/>
  <c r="B18" i="1"/>
  <c r="H17" i="1"/>
  <c r="G17" i="1"/>
  <c r="F17" i="1"/>
  <c r="E17" i="1"/>
  <c r="D17" i="1"/>
  <c r="C17" i="1"/>
  <c r="B17" i="1"/>
  <c r="H16" i="1"/>
  <c r="G16" i="1"/>
  <c r="F16" i="1"/>
  <c r="E16" i="1"/>
  <c r="D16" i="1"/>
  <c r="C16" i="1"/>
  <c r="B16" i="1"/>
  <c r="H15" i="1"/>
  <c r="G15" i="1"/>
  <c r="F15" i="1"/>
  <c r="E15" i="1"/>
  <c r="D15" i="1"/>
  <c r="C15" i="1"/>
  <c r="B15" i="1"/>
  <c r="H14" i="1"/>
  <c r="G14" i="1"/>
  <c r="F14" i="1"/>
  <c r="E14" i="1"/>
  <c r="D14" i="1"/>
  <c r="C14" i="1"/>
  <c r="B14" i="1"/>
  <c r="H13" i="1"/>
  <c r="G13" i="1"/>
  <c r="F13" i="1"/>
  <c r="E13" i="1"/>
  <c r="D13" i="1"/>
  <c r="C13" i="1"/>
  <c r="B13" i="1"/>
  <c r="H12" i="1"/>
  <c r="G12" i="1"/>
  <c r="F12" i="1"/>
  <c r="E12" i="1"/>
  <c r="D12" i="1"/>
  <c r="C12" i="1"/>
  <c r="B12" i="1"/>
  <c r="H11" i="1"/>
  <c r="G11" i="1"/>
  <c r="F11" i="1"/>
  <c r="E11" i="1"/>
  <c r="D11" i="1"/>
  <c r="C11" i="1"/>
  <c r="B11" i="1"/>
  <c r="H10" i="1"/>
  <c r="H7" i="1"/>
  <c r="H6" i="1"/>
  <c r="H5" i="1"/>
  <c r="C7" i="1"/>
  <c r="C6" i="1"/>
  <c r="C5" i="1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M205" i="2"/>
  <c r="M206" i="2"/>
  <c r="M207" i="2"/>
  <c r="M208" i="2"/>
  <c r="M209" i="2"/>
  <c r="M210" i="2"/>
  <c r="M211" i="2"/>
  <c r="M212" i="2"/>
  <c r="M213" i="2"/>
  <c r="M214" i="2"/>
  <c r="M215" i="2"/>
  <c r="M216" i="2"/>
  <c r="M217" i="2"/>
  <c r="M218" i="2"/>
  <c r="M219" i="2"/>
  <c r="M220" i="2"/>
  <c r="M221" i="2"/>
  <c r="M222" i="2"/>
  <c r="M223" i="2"/>
  <c r="M224" i="2"/>
  <c r="M225" i="2"/>
  <c r="M226" i="2"/>
  <c r="M227" i="2"/>
  <c r="M228" i="2"/>
  <c r="M229" i="2"/>
  <c r="M230" i="2"/>
  <c r="M231" i="2"/>
  <c r="M232" i="2"/>
  <c r="M233" i="2"/>
  <c r="M234" i="2"/>
  <c r="M235" i="2"/>
  <c r="M236" i="2"/>
  <c r="M237" i="2"/>
  <c r="M238" i="2"/>
  <c r="M239" i="2"/>
  <c r="M240" i="2"/>
  <c r="M241" i="2"/>
  <c r="M242" i="2"/>
  <c r="M243" i="2"/>
  <c r="M244" i="2"/>
  <c r="M245" i="2"/>
  <c r="M246" i="2"/>
  <c r="M247" i="2"/>
  <c r="M248" i="2"/>
  <c r="M249" i="2"/>
  <c r="M250" i="2"/>
  <c r="M251" i="2"/>
  <c r="M252" i="2"/>
  <c r="M253" i="2"/>
  <c r="M254" i="2"/>
  <c r="M255" i="2"/>
  <c r="M256" i="2"/>
  <c r="M257" i="2"/>
  <c r="M258" i="2"/>
  <c r="M259" i="2"/>
  <c r="M260" i="2"/>
  <c r="M261" i="2"/>
  <c r="M262" i="2"/>
  <c r="M263" i="2"/>
  <c r="M264" i="2"/>
  <c r="M265" i="2"/>
  <c r="M266" i="2"/>
  <c r="M267" i="2"/>
  <c r="M268" i="2"/>
  <c r="M269" i="2"/>
  <c r="M270" i="2"/>
  <c r="M271" i="2"/>
  <c r="M272" i="2"/>
  <c r="M273" i="2"/>
  <c r="M274" i="2"/>
  <c r="M275" i="2"/>
  <c r="M276" i="2"/>
  <c r="M277" i="2"/>
  <c r="M278" i="2"/>
  <c r="M279" i="2"/>
  <c r="M280" i="2"/>
  <c r="M281" i="2"/>
  <c r="M282" i="2"/>
  <c r="M283" i="2"/>
  <c r="M284" i="2"/>
  <c r="M285" i="2"/>
  <c r="M286" i="2"/>
  <c r="M287" i="2"/>
  <c r="M288" i="2"/>
  <c r="M289" i="2"/>
  <c r="M290" i="2"/>
  <c r="M291" i="2"/>
  <c r="M292" i="2"/>
  <c r="M293" i="2"/>
  <c r="M294" i="2"/>
  <c r="M295" i="2"/>
  <c r="M296" i="2"/>
  <c r="M297" i="2"/>
  <c r="M298" i="2"/>
  <c r="M299" i="2"/>
  <c r="M300" i="2"/>
  <c r="M301" i="2"/>
  <c r="M302" i="2"/>
  <c r="M303" i="2"/>
  <c r="M304" i="2"/>
  <c r="M305" i="2"/>
  <c r="M306" i="2"/>
  <c r="M307" i="2"/>
  <c r="M308" i="2"/>
  <c r="M309" i="2"/>
  <c r="M310" i="2"/>
  <c r="M311" i="2"/>
  <c r="M312" i="2"/>
  <c r="M313" i="2"/>
  <c r="M314" i="2"/>
  <c r="M315" i="2"/>
  <c r="M316" i="2"/>
  <c r="M317" i="2"/>
  <c r="M318" i="2"/>
  <c r="M319" i="2"/>
  <c r="M320" i="2"/>
  <c r="M321" i="2"/>
  <c r="M322" i="2"/>
  <c r="M323" i="2"/>
  <c r="M324" i="2"/>
  <c r="M325" i="2"/>
  <c r="M326" i="2"/>
  <c r="M327" i="2"/>
  <c r="M328" i="2"/>
  <c r="M329" i="2"/>
  <c r="M330" i="2"/>
  <c r="M331" i="2"/>
  <c r="M332" i="2"/>
  <c r="M333" i="2"/>
  <c r="M334" i="2"/>
  <c r="M335" i="2"/>
  <c r="M336" i="2"/>
  <c r="M337" i="2"/>
  <c r="M338" i="2"/>
  <c r="M339" i="2"/>
  <c r="M340" i="2"/>
  <c r="M341" i="2"/>
  <c r="M342" i="2"/>
  <c r="M343" i="2"/>
  <c r="M344" i="2"/>
  <c r="M345" i="2"/>
  <c r="M346" i="2"/>
  <c r="M347" i="2"/>
  <c r="M348" i="2"/>
  <c r="M349" i="2"/>
  <c r="M350" i="2"/>
  <c r="M351" i="2"/>
  <c r="M352" i="2"/>
  <c r="M353" i="2"/>
  <c r="M354" i="2"/>
  <c r="M355" i="2"/>
  <c r="M356" i="2"/>
  <c r="M357" i="2"/>
  <c r="M358" i="2"/>
  <c r="M359" i="2"/>
  <c r="M360" i="2"/>
  <c r="M361" i="2"/>
  <c r="M362" i="2"/>
  <c r="M363" i="2"/>
  <c r="M364" i="2"/>
  <c r="M365" i="2"/>
  <c r="M366" i="2"/>
  <c r="M367" i="2"/>
  <c r="M368" i="2"/>
  <c r="M369" i="2"/>
  <c r="M370" i="2"/>
  <c r="M371" i="2"/>
  <c r="M372" i="2"/>
  <c r="M373" i="2"/>
  <c r="M374" i="2"/>
  <c r="M375" i="2"/>
  <c r="M376" i="2"/>
  <c r="M377" i="2"/>
  <c r="M378" i="2"/>
  <c r="M379" i="2"/>
  <c r="M380" i="2"/>
  <c r="M381" i="2"/>
  <c r="M382" i="2"/>
  <c r="M383" i="2"/>
  <c r="M384" i="2"/>
  <c r="M385" i="2"/>
  <c r="M386" i="2"/>
  <c r="M387" i="2"/>
  <c r="M388" i="2"/>
  <c r="M389" i="2"/>
  <c r="M390" i="2"/>
  <c r="M391" i="2"/>
  <c r="M392" i="2"/>
  <c r="M393" i="2"/>
  <c r="M394" i="2"/>
  <c r="M395" i="2"/>
  <c r="M396" i="2"/>
  <c r="M397" i="2"/>
  <c r="M398" i="2"/>
  <c r="M399" i="2"/>
  <c r="M400" i="2"/>
  <c r="M401" i="2"/>
  <c r="M402" i="2"/>
  <c r="M403" i="2"/>
  <c r="M404" i="2"/>
  <c r="M405" i="2"/>
  <c r="M406" i="2"/>
  <c r="M407" i="2"/>
  <c r="M408" i="2"/>
  <c r="M409" i="2"/>
  <c r="M410" i="2"/>
  <c r="M411" i="2"/>
  <c r="M412" i="2"/>
  <c r="M413" i="2"/>
  <c r="M414" i="2"/>
  <c r="M415" i="2"/>
  <c r="M416" i="2"/>
  <c r="M417" i="2"/>
  <c r="M418" i="2"/>
  <c r="M419" i="2"/>
  <c r="M420" i="2"/>
  <c r="M421" i="2"/>
  <c r="M422" i="2"/>
  <c r="M423" i="2"/>
  <c r="M424" i="2"/>
  <c r="M425" i="2"/>
  <c r="M426" i="2"/>
  <c r="M427" i="2"/>
  <c r="M428" i="2"/>
  <c r="M429" i="2"/>
  <c r="M430" i="2"/>
  <c r="M431" i="2"/>
  <c r="M432" i="2"/>
  <c r="M433" i="2"/>
  <c r="M434" i="2"/>
  <c r="M435" i="2"/>
  <c r="M436" i="2"/>
  <c r="M437" i="2"/>
  <c r="M438" i="2"/>
  <c r="M439" i="2"/>
  <c r="M440" i="2"/>
  <c r="M441" i="2"/>
  <c r="M442" i="2"/>
  <c r="M443" i="2"/>
  <c r="M444" i="2"/>
  <c r="M445" i="2"/>
  <c r="M446" i="2"/>
  <c r="M447" i="2"/>
  <c r="M448" i="2"/>
  <c r="M449" i="2"/>
  <c r="M450" i="2"/>
  <c r="M451" i="2"/>
  <c r="M452" i="2"/>
  <c r="M453" i="2"/>
  <c r="M454" i="2"/>
  <c r="M455" i="2"/>
  <c r="M456" i="2"/>
  <c r="M457" i="2"/>
  <c r="M458" i="2"/>
  <c r="M459" i="2"/>
  <c r="M460" i="2"/>
  <c r="M461" i="2"/>
  <c r="M462" i="2"/>
  <c r="M463" i="2"/>
  <c r="M464" i="2"/>
  <c r="M465" i="2"/>
  <c r="M466" i="2"/>
  <c r="M467" i="2"/>
  <c r="M468" i="2"/>
  <c r="M469" i="2"/>
  <c r="M470" i="2"/>
  <c r="M471" i="2"/>
  <c r="M472" i="2"/>
  <c r="M473" i="2"/>
  <c r="M474" i="2"/>
  <c r="M475" i="2"/>
  <c r="M476" i="2"/>
  <c r="M477" i="2"/>
  <c r="M478" i="2"/>
  <c r="M479" i="2"/>
  <c r="M480" i="2"/>
  <c r="M481" i="2"/>
  <c r="M482" i="2"/>
  <c r="M483" i="2"/>
  <c r="M484" i="2"/>
  <c r="M485" i="2"/>
  <c r="M486" i="2"/>
  <c r="M487" i="2"/>
  <c r="M488" i="2"/>
  <c r="M489" i="2"/>
  <c r="M490" i="2"/>
  <c r="M491" i="2"/>
  <c r="M492" i="2"/>
  <c r="M493" i="2"/>
  <c r="M494" i="2"/>
  <c r="M495" i="2"/>
  <c r="M496" i="2"/>
  <c r="M497" i="2"/>
  <c r="M498" i="2"/>
  <c r="M499" i="2"/>
  <c r="M500" i="2"/>
  <c r="M501" i="2"/>
  <c r="M502" i="2"/>
  <c r="M503" i="2"/>
  <c r="M504" i="2"/>
  <c r="M505" i="2"/>
  <c r="M506" i="2"/>
  <c r="M507" i="2"/>
  <c r="M508" i="2"/>
  <c r="M509" i="2"/>
  <c r="M510" i="2"/>
  <c r="M511" i="2"/>
  <c r="M512" i="2"/>
  <c r="M513" i="2"/>
  <c r="M514" i="2"/>
  <c r="M515" i="2"/>
  <c r="M516" i="2"/>
  <c r="M517" i="2"/>
  <c r="M518" i="2"/>
  <c r="M519" i="2"/>
  <c r="M520" i="2"/>
  <c r="M521" i="2"/>
  <c r="M522" i="2"/>
  <c r="M523" i="2"/>
  <c r="M524" i="2"/>
  <c r="M525" i="2"/>
  <c r="M526" i="2"/>
  <c r="M527" i="2"/>
  <c r="M528" i="2"/>
  <c r="M529" i="2"/>
  <c r="M530" i="2"/>
  <c r="M531" i="2"/>
  <c r="M532" i="2"/>
  <c r="M533" i="2"/>
  <c r="M534" i="2"/>
  <c r="M535" i="2"/>
  <c r="M536" i="2"/>
  <c r="M537" i="2"/>
  <c r="M538" i="2"/>
  <c r="M539" i="2"/>
  <c r="M540" i="2"/>
  <c r="M541" i="2"/>
  <c r="M542" i="2"/>
  <c r="M543" i="2"/>
  <c r="M544" i="2"/>
  <c r="M545" i="2"/>
  <c r="M546" i="2"/>
  <c r="M547" i="2"/>
  <c r="M548" i="2"/>
  <c r="M549" i="2"/>
  <c r="M550" i="2"/>
  <c r="M551" i="2"/>
  <c r="M552" i="2"/>
  <c r="M553" i="2"/>
  <c r="M554" i="2"/>
  <c r="M555" i="2"/>
  <c r="M556" i="2"/>
  <c r="M557" i="2"/>
  <c r="M558" i="2"/>
  <c r="M559" i="2"/>
  <c r="M560" i="2"/>
  <c r="M561" i="2"/>
  <c r="M562" i="2"/>
  <c r="M563" i="2"/>
  <c r="M564" i="2"/>
  <c r="M565" i="2"/>
  <c r="M566" i="2"/>
  <c r="M567" i="2"/>
  <c r="M568" i="2"/>
  <c r="M569" i="2"/>
  <c r="M570" i="2"/>
  <c r="M571" i="2"/>
  <c r="M572" i="2"/>
  <c r="M573" i="2"/>
  <c r="M574" i="2"/>
  <c r="M575" i="2"/>
  <c r="M576" i="2"/>
  <c r="M577" i="2"/>
  <c r="M578" i="2"/>
  <c r="M579" i="2"/>
  <c r="M580" i="2"/>
  <c r="M581" i="2"/>
  <c r="M582" i="2"/>
  <c r="M583" i="2"/>
  <c r="M584" i="2"/>
  <c r="M585" i="2"/>
  <c r="M586" i="2"/>
  <c r="M587" i="2"/>
  <c r="M588" i="2"/>
  <c r="M589" i="2"/>
  <c r="M590" i="2"/>
  <c r="M591" i="2"/>
  <c r="M592" i="2"/>
  <c r="M593" i="2"/>
  <c r="M594" i="2"/>
  <c r="M595" i="2"/>
  <c r="M596" i="2"/>
  <c r="M597" i="2"/>
  <c r="M598" i="2"/>
  <c r="M599" i="2"/>
  <c r="M600" i="2"/>
  <c r="M601" i="2"/>
  <c r="M602" i="2"/>
  <c r="M603" i="2"/>
  <c r="M604" i="2"/>
  <c r="M605" i="2"/>
  <c r="M606" i="2"/>
  <c r="M607" i="2"/>
  <c r="M608" i="2"/>
  <c r="M609" i="2"/>
  <c r="M610" i="2"/>
  <c r="M611" i="2"/>
  <c r="M612" i="2"/>
  <c r="M613" i="2"/>
  <c r="M614" i="2"/>
  <c r="M615" i="2"/>
  <c r="M616" i="2"/>
  <c r="M617" i="2"/>
  <c r="M618" i="2"/>
  <c r="M619" i="2"/>
  <c r="M620" i="2"/>
  <c r="M621" i="2"/>
  <c r="M622" i="2"/>
  <c r="M623" i="2"/>
  <c r="M624" i="2"/>
  <c r="M625" i="2"/>
  <c r="M626" i="2"/>
  <c r="M627" i="2"/>
  <c r="M628" i="2"/>
  <c r="M629" i="2"/>
  <c r="M630" i="2"/>
  <c r="M631" i="2"/>
  <c r="M632" i="2"/>
  <c r="M633" i="2"/>
  <c r="M634" i="2"/>
  <c r="M635" i="2"/>
  <c r="M636" i="2"/>
  <c r="M637" i="2"/>
  <c r="M638" i="2"/>
  <c r="M639" i="2"/>
  <c r="M640" i="2"/>
  <c r="M641" i="2"/>
  <c r="M642" i="2"/>
  <c r="M643" i="2"/>
  <c r="M644" i="2"/>
  <c r="M645" i="2"/>
  <c r="M646" i="2"/>
  <c r="M647" i="2"/>
  <c r="M648" i="2"/>
  <c r="M649" i="2"/>
  <c r="M650" i="2"/>
  <c r="M651" i="2"/>
  <c r="M652" i="2"/>
  <c r="M653" i="2"/>
  <c r="M654" i="2"/>
  <c r="M655" i="2"/>
  <c r="M656" i="2"/>
  <c r="M657" i="2"/>
  <c r="M658" i="2"/>
  <c r="M659" i="2"/>
  <c r="M660" i="2"/>
  <c r="M661" i="2"/>
  <c r="M662" i="2"/>
  <c r="M663" i="2"/>
  <c r="M664" i="2"/>
  <c r="M665" i="2"/>
  <c r="M666" i="2"/>
  <c r="M667" i="2"/>
  <c r="M668" i="2"/>
  <c r="M669" i="2"/>
  <c r="M670" i="2"/>
  <c r="M671" i="2"/>
  <c r="M672" i="2"/>
  <c r="M673" i="2"/>
  <c r="M674" i="2"/>
  <c r="M675" i="2"/>
  <c r="M676" i="2"/>
  <c r="M677" i="2"/>
  <c r="M678" i="2"/>
  <c r="M679" i="2"/>
  <c r="M680" i="2"/>
  <c r="M681" i="2"/>
  <c r="M682" i="2"/>
  <c r="M683" i="2"/>
  <c r="M684" i="2"/>
  <c r="M685" i="2"/>
  <c r="M686" i="2"/>
  <c r="M687" i="2"/>
  <c r="M688" i="2"/>
  <c r="M689" i="2"/>
  <c r="M690" i="2"/>
  <c r="M691" i="2"/>
  <c r="M692" i="2"/>
  <c r="M693" i="2"/>
  <c r="M694" i="2"/>
  <c r="M695" i="2"/>
  <c r="M696" i="2"/>
  <c r="M697" i="2"/>
  <c r="M698" i="2"/>
  <c r="M699" i="2"/>
  <c r="M700" i="2"/>
  <c r="M701" i="2"/>
  <c r="M702" i="2"/>
  <c r="M703" i="2"/>
  <c r="M704" i="2"/>
  <c r="M705" i="2"/>
  <c r="M706" i="2"/>
  <c r="M707" i="2"/>
  <c r="M708" i="2"/>
  <c r="M709" i="2"/>
  <c r="M710" i="2"/>
  <c r="M711" i="2"/>
  <c r="M712" i="2"/>
  <c r="M713" i="2"/>
  <c r="M714" i="2"/>
  <c r="M715" i="2"/>
  <c r="M716" i="2"/>
  <c r="M717" i="2"/>
  <c r="M718" i="2"/>
  <c r="M719" i="2"/>
  <c r="M720" i="2"/>
  <c r="M721" i="2"/>
  <c r="M722" i="2"/>
  <c r="M723" i="2"/>
  <c r="M724" i="2"/>
  <c r="M725" i="2"/>
  <c r="M726" i="2"/>
  <c r="M727" i="2"/>
  <c r="M728" i="2"/>
  <c r="M729" i="2"/>
  <c r="M730" i="2"/>
  <c r="M731" i="2"/>
  <c r="M732" i="2"/>
  <c r="M733" i="2"/>
  <c r="M734" i="2"/>
  <c r="M735" i="2"/>
  <c r="M736" i="2"/>
  <c r="M737" i="2"/>
  <c r="M738" i="2"/>
  <c r="M739" i="2"/>
  <c r="M740" i="2"/>
  <c r="M741" i="2"/>
  <c r="M742" i="2"/>
  <c r="M743" i="2"/>
  <c r="M744" i="2"/>
  <c r="M745" i="2"/>
  <c r="M746" i="2"/>
  <c r="M747" i="2"/>
  <c r="M748" i="2"/>
  <c r="M749" i="2"/>
  <c r="M750" i="2"/>
  <c r="M751" i="2"/>
  <c r="M752" i="2"/>
  <c r="M753" i="2"/>
  <c r="M754" i="2"/>
  <c r="M755" i="2"/>
  <c r="M756" i="2"/>
  <c r="M757" i="2"/>
  <c r="M758" i="2"/>
  <c r="M759" i="2"/>
  <c r="M760" i="2"/>
  <c r="M761" i="2"/>
  <c r="M762" i="2"/>
  <c r="M763" i="2"/>
  <c r="M764" i="2"/>
  <c r="M765" i="2"/>
  <c r="M766" i="2"/>
  <c r="M767" i="2"/>
  <c r="M768" i="2"/>
  <c r="M769" i="2"/>
  <c r="M770" i="2"/>
  <c r="M771" i="2"/>
  <c r="M772" i="2"/>
  <c r="M773" i="2"/>
  <c r="M774" i="2"/>
  <c r="M775" i="2"/>
  <c r="M776" i="2"/>
  <c r="M777" i="2"/>
  <c r="M778" i="2"/>
  <c r="M779" i="2"/>
  <c r="M780" i="2"/>
  <c r="M781" i="2"/>
  <c r="M782" i="2"/>
  <c r="M783" i="2"/>
  <c r="M784" i="2"/>
  <c r="M785" i="2"/>
  <c r="M786" i="2"/>
  <c r="M787" i="2"/>
  <c r="M788" i="2"/>
  <c r="M789" i="2"/>
  <c r="M790" i="2"/>
  <c r="M791" i="2"/>
  <c r="M792" i="2"/>
  <c r="M793" i="2"/>
  <c r="M794" i="2"/>
  <c r="M795" i="2"/>
  <c r="M796" i="2"/>
  <c r="M797" i="2"/>
  <c r="M798" i="2"/>
  <c r="M799" i="2"/>
  <c r="M800" i="2"/>
  <c r="M801" i="2"/>
  <c r="M802" i="2"/>
  <c r="M803" i="2"/>
  <c r="M804" i="2"/>
  <c r="M805" i="2"/>
  <c r="M806" i="2"/>
  <c r="M807" i="2"/>
  <c r="M808" i="2"/>
  <c r="M809" i="2"/>
  <c r="M810" i="2"/>
  <c r="M811" i="2"/>
  <c r="M812" i="2"/>
  <c r="M813" i="2"/>
  <c r="M814" i="2"/>
  <c r="M815" i="2"/>
  <c r="M816" i="2"/>
  <c r="M817" i="2"/>
  <c r="M818" i="2"/>
  <c r="M819" i="2"/>
  <c r="M820" i="2"/>
  <c r="M821" i="2"/>
  <c r="M822" i="2"/>
  <c r="M823" i="2"/>
  <c r="M824" i="2"/>
  <c r="M825" i="2"/>
  <c r="M826" i="2"/>
  <c r="M827" i="2"/>
  <c r="M828" i="2"/>
  <c r="M829" i="2"/>
  <c r="M830" i="2"/>
  <c r="M831" i="2"/>
  <c r="M832" i="2"/>
  <c r="M833" i="2"/>
  <c r="M834" i="2"/>
  <c r="M835" i="2"/>
  <c r="M836" i="2"/>
  <c r="M837" i="2"/>
  <c r="M838" i="2"/>
  <c r="M839" i="2"/>
  <c r="M840" i="2"/>
  <c r="M841" i="2"/>
  <c r="M842" i="2"/>
  <c r="M843" i="2"/>
  <c r="M844" i="2"/>
  <c r="M845" i="2"/>
  <c r="M846" i="2"/>
  <c r="M847" i="2"/>
  <c r="M848" i="2"/>
  <c r="M849" i="2"/>
  <c r="M850" i="2"/>
  <c r="M851" i="2"/>
  <c r="M852" i="2"/>
  <c r="M853" i="2"/>
  <c r="M854" i="2"/>
  <c r="M855" i="2"/>
  <c r="M856" i="2"/>
  <c r="M857" i="2"/>
  <c r="M858" i="2"/>
  <c r="M859" i="2"/>
  <c r="M860" i="2"/>
  <c r="M861" i="2"/>
  <c r="M862" i="2"/>
  <c r="M863" i="2"/>
  <c r="M864" i="2"/>
  <c r="M865" i="2"/>
  <c r="M866" i="2"/>
  <c r="M867" i="2"/>
  <c r="M868" i="2"/>
  <c r="M869" i="2"/>
  <c r="M870" i="2"/>
  <c r="M871" i="2"/>
  <c r="M872" i="2"/>
  <c r="M873" i="2"/>
  <c r="M874" i="2"/>
  <c r="M875" i="2"/>
  <c r="M876" i="2"/>
  <c r="M877" i="2"/>
  <c r="M878" i="2"/>
  <c r="M879" i="2"/>
  <c r="M880" i="2"/>
  <c r="M881" i="2"/>
  <c r="M882" i="2"/>
  <c r="M883" i="2"/>
  <c r="M884" i="2"/>
  <c r="M885" i="2"/>
  <c r="M886" i="2"/>
  <c r="M887" i="2"/>
  <c r="M888" i="2"/>
  <c r="M889" i="2"/>
  <c r="M890" i="2"/>
  <c r="M891" i="2"/>
  <c r="M892" i="2"/>
  <c r="M893" i="2"/>
  <c r="M894" i="2"/>
  <c r="M895" i="2"/>
  <c r="M896" i="2"/>
  <c r="M897" i="2"/>
  <c r="M898" i="2"/>
  <c r="M899" i="2"/>
  <c r="M900" i="2"/>
  <c r="M901" i="2"/>
  <c r="M902" i="2"/>
  <c r="M903" i="2"/>
  <c r="M904" i="2"/>
  <c r="M905" i="2"/>
  <c r="M906" i="2"/>
  <c r="M907" i="2"/>
  <c r="M908" i="2"/>
  <c r="M909" i="2"/>
  <c r="M910" i="2"/>
  <c r="M911" i="2"/>
  <c r="M912" i="2"/>
  <c r="M913" i="2"/>
  <c r="M914" i="2"/>
  <c r="M915" i="2"/>
  <c r="M916" i="2"/>
  <c r="M917" i="2"/>
  <c r="M918" i="2"/>
  <c r="M919" i="2"/>
  <c r="M920" i="2"/>
  <c r="M921" i="2"/>
  <c r="M922" i="2"/>
  <c r="M923" i="2"/>
  <c r="M924" i="2"/>
  <c r="M925" i="2"/>
  <c r="M926" i="2"/>
  <c r="M927" i="2"/>
  <c r="M928" i="2"/>
  <c r="M929" i="2"/>
  <c r="M930" i="2"/>
  <c r="M931" i="2"/>
  <c r="M932" i="2"/>
  <c r="M933" i="2"/>
  <c r="M934" i="2"/>
  <c r="M935" i="2"/>
  <c r="M936" i="2"/>
  <c r="M937" i="2"/>
  <c r="M938" i="2"/>
  <c r="M939" i="2"/>
  <c r="M940" i="2"/>
  <c r="M941" i="2"/>
  <c r="M942" i="2"/>
  <c r="M943" i="2"/>
  <c r="M944" i="2"/>
  <c r="M945" i="2"/>
  <c r="M946" i="2"/>
  <c r="M947" i="2"/>
  <c r="M948" i="2"/>
  <c r="M949" i="2"/>
  <c r="M950" i="2"/>
  <c r="M951" i="2"/>
  <c r="M952" i="2"/>
  <c r="M953" i="2"/>
  <c r="M954" i="2"/>
  <c r="M955" i="2"/>
  <c r="M956" i="2"/>
  <c r="M957" i="2"/>
  <c r="M958" i="2"/>
  <c r="M959" i="2"/>
  <c r="M960" i="2"/>
  <c r="M961" i="2"/>
  <c r="M962" i="2"/>
  <c r="M963" i="2"/>
  <c r="M964" i="2"/>
  <c r="M965" i="2"/>
  <c r="M966" i="2"/>
  <c r="M967" i="2"/>
  <c r="M968" i="2"/>
  <c r="M969" i="2"/>
  <c r="M970" i="2"/>
  <c r="M971" i="2"/>
  <c r="M972" i="2"/>
  <c r="M973" i="2"/>
  <c r="M974" i="2"/>
  <c r="M975" i="2"/>
  <c r="M976" i="2"/>
  <c r="M977" i="2"/>
  <c r="M978" i="2"/>
  <c r="M979" i="2"/>
  <c r="M980" i="2"/>
  <c r="M981" i="2"/>
  <c r="M982" i="2"/>
  <c r="M983" i="2"/>
  <c r="M984" i="2"/>
  <c r="M985" i="2"/>
  <c r="M986" i="2"/>
  <c r="M987" i="2"/>
  <c r="M988" i="2"/>
  <c r="M989" i="2"/>
  <c r="M990" i="2"/>
  <c r="M991" i="2"/>
  <c r="M992" i="2"/>
  <c r="M993" i="2"/>
  <c r="M994" i="2"/>
  <c r="M995" i="2"/>
  <c r="M996" i="2"/>
  <c r="M997" i="2"/>
  <c r="M998" i="2"/>
  <c r="M999" i="2"/>
  <c r="M1000" i="2"/>
  <c r="M1001" i="2"/>
  <c r="M1002" i="2"/>
  <c r="M1003" i="2"/>
  <c r="M1004" i="2"/>
  <c r="M1005" i="2"/>
  <c r="M1006" i="2"/>
  <c r="M1007" i="2"/>
  <c r="M1008" i="2"/>
  <c r="M1009" i="2"/>
  <c r="M1010" i="2"/>
  <c r="M1011" i="2"/>
  <c r="M1012" i="2"/>
  <c r="M1013" i="2"/>
  <c r="M1014" i="2"/>
  <c r="M1015" i="2"/>
  <c r="M1016" i="2"/>
  <c r="M1017" i="2"/>
  <c r="M1018" i="2"/>
  <c r="M1019" i="2"/>
  <c r="M1020" i="2"/>
  <c r="M1021" i="2"/>
  <c r="M1022" i="2"/>
  <c r="M1023" i="2"/>
  <c r="M1024" i="2"/>
  <c r="M1025" i="2"/>
  <c r="M1026" i="2"/>
  <c r="M1027" i="2"/>
  <c r="M1028" i="2"/>
  <c r="M1029" i="2"/>
  <c r="M1030" i="2"/>
  <c r="M1031" i="2"/>
  <c r="M1032" i="2"/>
  <c r="M1033" i="2"/>
  <c r="M1034" i="2"/>
  <c r="M1035" i="2"/>
  <c r="M1036" i="2"/>
  <c r="M1037" i="2"/>
  <c r="M1038" i="2"/>
  <c r="M1039" i="2"/>
  <c r="M1040" i="2"/>
  <c r="M1041" i="2"/>
  <c r="M1042" i="2"/>
  <c r="M1043" i="2"/>
  <c r="M1044" i="2"/>
  <c r="M1045" i="2"/>
  <c r="M1046" i="2"/>
  <c r="M1047" i="2"/>
  <c r="M1048" i="2"/>
  <c r="M1049" i="2"/>
  <c r="M1050" i="2"/>
  <c r="M1051" i="2"/>
  <c r="M1052" i="2"/>
  <c r="M1053" i="2"/>
  <c r="M1054" i="2"/>
  <c r="M1055" i="2"/>
  <c r="M1056" i="2"/>
  <c r="M1057" i="2"/>
  <c r="M1058" i="2"/>
  <c r="M1059" i="2"/>
  <c r="M1060" i="2"/>
  <c r="M1061" i="2"/>
  <c r="M1062" i="2"/>
  <c r="M1063" i="2"/>
  <c r="M1064" i="2"/>
  <c r="M1065" i="2"/>
  <c r="M1066" i="2"/>
  <c r="M1067" i="2"/>
  <c r="M1068" i="2"/>
  <c r="M1069" i="2"/>
  <c r="M1070" i="2"/>
  <c r="M1071" i="2"/>
  <c r="M1072" i="2"/>
  <c r="M1073" i="2"/>
  <c r="M1074" i="2"/>
  <c r="M1075" i="2"/>
  <c r="M1076" i="2"/>
  <c r="M1077" i="2"/>
  <c r="M1078" i="2"/>
  <c r="M1079" i="2"/>
  <c r="M1080" i="2"/>
  <c r="M1081" i="2"/>
  <c r="M1082" i="2"/>
  <c r="M1083" i="2"/>
  <c r="M1084" i="2"/>
  <c r="M1085" i="2"/>
  <c r="M1086" i="2"/>
  <c r="M1087" i="2"/>
  <c r="M1088" i="2"/>
  <c r="M1089" i="2"/>
  <c r="M1090" i="2"/>
  <c r="M1091" i="2"/>
  <c r="M1092" i="2"/>
  <c r="M1093" i="2"/>
  <c r="M1094" i="2"/>
  <c r="M1095" i="2"/>
  <c r="M1096" i="2"/>
  <c r="M1097" i="2"/>
  <c r="M1098" i="2"/>
  <c r="M1099" i="2"/>
  <c r="M1100" i="2"/>
  <c r="M1101" i="2"/>
  <c r="M1102" i="2"/>
  <c r="M1103" i="2"/>
  <c r="M1104" i="2"/>
  <c r="M1105" i="2"/>
  <c r="M1106" i="2"/>
  <c r="M1107" i="2"/>
  <c r="M1108" i="2"/>
  <c r="M1109" i="2"/>
  <c r="M1110" i="2"/>
  <c r="M1111" i="2"/>
  <c r="M1112" i="2"/>
  <c r="M1113" i="2"/>
  <c r="M1114" i="2"/>
  <c r="M1115" i="2"/>
  <c r="M1116" i="2"/>
  <c r="M1117" i="2"/>
  <c r="M1118" i="2"/>
  <c r="M1119" i="2"/>
  <c r="M1120" i="2"/>
  <c r="M1121" i="2"/>
  <c r="M1122" i="2"/>
  <c r="M1123" i="2"/>
  <c r="M1124" i="2"/>
  <c r="M1125" i="2"/>
  <c r="M1126" i="2"/>
  <c r="M1127" i="2"/>
  <c r="M1128" i="2"/>
  <c r="M1129" i="2"/>
  <c r="M1130" i="2"/>
  <c r="M1131" i="2"/>
  <c r="M1132" i="2"/>
  <c r="M1133" i="2"/>
  <c r="M1134" i="2"/>
  <c r="M1135" i="2"/>
  <c r="M1136" i="2"/>
  <c r="M1137" i="2"/>
  <c r="M1138" i="2"/>
  <c r="M1139" i="2"/>
  <c r="M1140" i="2"/>
  <c r="M1141" i="2"/>
  <c r="M1142" i="2"/>
  <c r="M1143" i="2"/>
  <c r="M1144" i="2"/>
  <c r="M1145" i="2"/>
  <c r="M1146" i="2"/>
  <c r="M1147" i="2"/>
  <c r="M1148" i="2"/>
  <c r="M1149" i="2"/>
  <c r="M1150" i="2"/>
  <c r="M1151" i="2"/>
  <c r="M1152" i="2"/>
  <c r="M1153" i="2"/>
  <c r="M1154" i="2"/>
  <c r="M1155" i="2"/>
  <c r="M1156" i="2"/>
  <c r="M1157" i="2"/>
  <c r="M1158" i="2"/>
  <c r="M1159" i="2"/>
  <c r="M1160" i="2"/>
  <c r="M1161" i="2"/>
  <c r="M1162" i="2"/>
  <c r="M1163" i="2"/>
  <c r="M1164" i="2"/>
  <c r="M1165" i="2"/>
  <c r="M1166" i="2"/>
  <c r="M1167" i="2"/>
  <c r="M1168" i="2"/>
  <c r="M1169" i="2"/>
  <c r="M1170" i="2"/>
  <c r="M1171" i="2"/>
  <c r="M1172" i="2"/>
  <c r="M1173" i="2"/>
  <c r="M1174" i="2"/>
  <c r="M1175" i="2"/>
  <c r="M1176" i="2"/>
  <c r="M1177" i="2"/>
  <c r="M1178" i="2"/>
  <c r="M1179" i="2"/>
  <c r="M1180" i="2"/>
  <c r="M1181" i="2"/>
  <c r="M1182" i="2"/>
  <c r="M1183" i="2"/>
  <c r="M1184" i="2"/>
  <c r="M1185" i="2"/>
  <c r="M1186" i="2"/>
  <c r="M1187" i="2"/>
  <c r="M1188" i="2"/>
  <c r="M1189" i="2"/>
  <c r="M1190" i="2"/>
  <c r="M1191" i="2"/>
  <c r="M1192" i="2"/>
  <c r="M1193" i="2"/>
  <c r="M1194" i="2"/>
  <c r="M1195" i="2"/>
  <c r="M1196" i="2"/>
  <c r="M1197" i="2"/>
  <c r="M1198" i="2"/>
  <c r="M1199" i="2"/>
  <c r="M1200" i="2"/>
  <c r="M1201" i="2"/>
  <c r="M1202" i="2"/>
  <c r="M1203" i="2"/>
  <c r="M1204" i="2"/>
  <c r="M1205" i="2"/>
  <c r="M1206" i="2"/>
  <c r="M1207" i="2"/>
  <c r="M1208" i="2"/>
  <c r="M1209" i="2"/>
  <c r="M1210" i="2"/>
  <c r="M1211" i="2"/>
  <c r="M1212" i="2"/>
  <c r="M1213" i="2"/>
  <c r="M1214" i="2"/>
  <c r="M1215" i="2"/>
  <c r="M1216" i="2"/>
  <c r="M1217" i="2"/>
  <c r="M1218" i="2"/>
  <c r="M1219" i="2"/>
  <c r="M1220" i="2"/>
  <c r="M1221" i="2"/>
  <c r="M1222" i="2"/>
  <c r="M1223" i="2"/>
  <c r="M1224" i="2"/>
  <c r="M1225" i="2"/>
  <c r="M1226" i="2"/>
  <c r="M1227" i="2"/>
  <c r="M1228" i="2"/>
  <c r="M1229" i="2"/>
  <c r="M1230" i="2"/>
  <c r="M1231" i="2"/>
  <c r="M1232" i="2"/>
  <c r="M1233" i="2"/>
  <c r="M1234" i="2"/>
  <c r="M1235" i="2"/>
  <c r="M1236" i="2"/>
  <c r="M1237" i="2"/>
  <c r="M1238" i="2"/>
  <c r="M1239" i="2"/>
  <c r="M1240" i="2"/>
  <c r="M1241" i="2"/>
  <c r="M1242" i="2"/>
  <c r="M1243" i="2"/>
  <c r="M1244" i="2"/>
  <c r="M1245" i="2"/>
  <c r="M1246" i="2"/>
  <c r="M1247" i="2"/>
  <c r="M1248" i="2"/>
  <c r="M1249" i="2"/>
  <c r="M1250" i="2"/>
  <c r="M1251" i="2"/>
  <c r="M1252" i="2"/>
  <c r="M1253" i="2"/>
  <c r="M1254" i="2"/>
  <c r="M1255" i="2"/>
  <c r="M1256" i="2"/>
  <c r="M1257" i="2"/>
  <c r="M1258" i="2"/>
  <c r="M1259" i="2"/>
  <c r="M1260" i="2"/>
  <c r="M1261" i="2"/>
  <c r="M1262" i="2"/>
  <c r="M1263" i="2"/>
  <c r="M1264" i="2"/>
  <c r="M1265" i="2"/>
  <c r="M1266" i="2"/>
  <c r="M1267" i="2"/>
  <c r="M1268" i="2"/>
  <c r="M1269" i="2"/>
  <c r="M1270" i="2"/>
  <c r="M1271" i="2"/>
  <c r="M1272" i="2"/>
  <c r="M1273" i="2"/>
  <c r="M1274" i="2"/>
  <c r="M1275" i="2"/>
  <c r="M1276" i="2"/>
  <c r="M1277" i="2"/>
  <c r="M1278" i="2"/>
  <c r="M1279" i="2"/>
  <c r="M1280" i="2"/>
  <c r="M1281" i="2"/>
  <c r="M1282" i="2"/>
  <c r="M1283" i="2"/>
  <c r="M1284" i="2"/>
  <c r="M1285" i="2"/>
  <c r="M1286" i="2"/>
  <c r="M1287" i="2"/>
  <c r="M1288" i="2"/>
  <c r="M1289" i="2"/>
  <c r="M1290" i="2"/>
  <c r="M1291" i="2"/>
  <c r="M1292" i="2"/>
  <c r="M1293" i="2"/>
  <c r="M1294" i="2"/>
  <c r="M1295" i="2"/>
  <c r="M1296" i="2"/>
  <c r="M1297" i="2"/>
  <c r="M1298" i="2"/>
  <c r="M1299" i="2"/>
  <c r="M1300" i="2"/>
  <c r="M1301" i="2"/>
  <c r="M1302" i="2"/>
  <c r="M1303" i="2"/>
  <c r="M1304" i="2"/>
  <c r="M1305" i="2"/>
  <c r="M1306" i="2"/>
  <c r="M1307" i="2"/>
  <c r="M1308" i="2"/>
  <c r="M1309" i="2"/>
  <c r="M1310" i="2"/>
  <c r="M1311" i="2"/>
  <c r="M1312" i="2"/>
  <c r="M1313" i="2"/>
  <c r="M1314" i="2"/>
  <c r="M1315" i="2"/>
  <c r="M1316" i="2"/>
  <c r="M1317" i="2"/>
  <c r="M1318" i="2"/>
  <c r="M1319" i="2"/>
  <c r="M1320" i="2"/>
  <c r="M1321" i="2"/>
  <c r="M1322" i="2"/>
  <c r="M1323" i="2"/>
  <c r="M1324" i="2"/>
  <c r="M1325" i="2"/>
  <c r="M1326" i="2"/>
  <c r="M1327" i="2"/>
  <c r="M1328" i="2"/>
  <c r="M1329" i="2"/>
  <c r="M1330" i="2"/>
  <c r="M1331" i="2"/>
  <c r="M1332" i="2"/>
  <c r="M1333" i="2"/>
  <c r="M1334" i="2"/>
  <c r="M1335" i="2"/>
  <c r="M1336" i="2"/>
  <c r="M1337" i="2"/>
  <c r="M1338" i="2"/>
  <c r="M1339" i="2"/>
  <c r="M1340" i="2"/>
  <c r="M1341" i="2"/>
  <c r="M1342" i="2"/>
  <c r="M1343" i="2"/>
  <c r="M1344" i="2"/>
  <c r="M1345" i="2"/>
  <c r="M1346" i="2"/>
  <c r="M1347" i="2"/>
  <c r="M1348" i="2"/>
  <c r="M1349" i="2"/>
  <c r="M1350" i="2"/>
  <c r="M1351" i="2"/>
  <c r="M1352" i="2"/>
  <c r="M1353" i="2"/>
  <c r="M1354" i="2"/>
  <c r="M1355" i="2"/>
  <c r="M1356" i="2"/>
  <c r="M1357" i="2"/>
  <c r="M1358" i="2"/>
  <c r="M1359" i="2"/>
  <c r="M1360" i="2"/>
  <c r="M1361" i="2"/>
  <c r="M1362" i="2"/>
  <c r="M1363" i="2"/>
  <c r="M1364" i="2"/>
  <c r="M1365" i="2"/>
  <c r="M1366" i="2"/>
  <c r="M1367" i="2"/>
  <c r="M1368" i="2"/>
  <c r="M1369" i="2"/>
  <c r="M1370" i="2"/>
  <c r="M1371" i="2"/>
  <c r="M1372" i="2"/>
  <c r="M1373" i="2"/>
  <c r="M1374" i="2"/>
  <c r="M1375" i="2"/>
  <c r="M1376" i="2"/>
  <c r="M1377" i="2"/>
  <c r="M1378" i="2"/>
  <c r="M1379" i="2"/>
  <c r="M1380" i="2"/>
  <c r="M1381" i="2"/>
  <c r="M1382" i="2"/>
  <c r="M1383" i="2"/>
  <c r="M1384" i="2"/>
  <c r="M1385" i="2"/>
  <c r="M1386" i="2"/>
  <c r="M1387" i="2"/>
  <c r="M1388" i="2"/>
  <c r="M1389" i="2"/>
  <c r="M1390" i="2"/>
  <c r="M1391" i="2"/>
  <c r="M1392" i="2"/>
  <c r="M1393" i="2"/>
  <c r="M1394" i="2"/>
  <c r="M1395" i="2"/>
  <c r="M1396" i="2"/>
  <c r="M1397" i="2"/>
  <c r="M1398" i="2"/>
  <c r="M1399" i="2"/>
  <c r="M1400" i="2"/>
  <c r="M1401" i="2"/>
  <c r="M1402" i="2"/>
  <c r="M1403" i="2"/>
  <c r="M1404" i="2"/>
  <c r="M1405" i="2"/>
  <c r="M1406" i="2"/>
  <c r="M1407" i="2"/>
  <c r="M1408" i="2"/>
  <c r="M1409" i="2"/>
  <c r="M1410" i="2"/>
  <c r="M1411" i="2"/>
  <c r="M1412" i="2"/>
  <c r="M1413" i="2"/>
  <c r="M1414" i="2"/>
  <c r="M1415" i="2"/>
  <c r="M1416" i="2"/>
  <c r="M1417" i="2"/>
  <c r="M1418" i="2"/>
  <c r="M1419" i="2"/>
  <c r="M1420" i="2"/>
  <c r="M1421" i="2"/>
  <c r="M1422" i="2"/>
  <c r="M1423" i="2"/>
  <c r="M1424" i="2"/>
  <c r="M1425" i="2"/>
  <c r="M1426" i="2"/>
  <c r="M1427" i="2"/>
  <c r="M1428" i="2"/>
  <c r="M1429" i="2"/>
  <c r="M1430" i="2"/>
  <c r="M1431" i="2"/>
  <c r="M1432" i="2"/>
  <c r="M1433" i="2"/>
  <c r="M1434" i="2"/>
  <c r="M1435" i="2"/>
  <c r="M1436" i="2"/>
  <c r="M1437" i="2"/>
  <c r="M1438" i="2"/>
  <c r="M1439" i="2"/>
  <c r="M1440" i="2"/>
  <c r="M1441" i="2"/>
  <c r="M1442" i="2"/>
  <c r="M1443" i="2"/>
  <c r="M1444" i="2"/>
  <c r="M1445" i="2"/>
  <c r="M1446" i="2"/>
  <c r="M1447" i="2"/>
  <c r="M1448" i="2"/>
  <c r="M1449" i="2"/>
  <c r="M1450" i="2"/>
  <c r="M1451" i="2"/>
  <c r="M1452" i="2"/>
  <c r="M1453" i="2"/>
  <c r="M1454" i="2"/>
  <c r="M1455" i="2"/>
  <c r="M1456" i="2"/>
  <c r="M1457" i="2"/>
  <c r="M1458" i="2"/>
  <c r="M1459" i="2"/>
  <c r="M1460" i="2"/>
  <c r="M1461" i="2"/>
  <c r="M1462" i="2"/>
  <c r="M1463" i="2"/>
  <c r="M1464" i="2"/>
  <c r="M1465" i="2"/>
  <c r="M1466" i="2"/>
  <c r="M1467" i="2"/>
  <c r="M1468" i="2"/>
  <c r="M1469" i="2"/>
  <c r="M1470" i="2"/>
  <c r="M1471" i="2"/>
  <c r="M1472" i="2"/>
  <c r="M1473" i="2"/>
  <c r="M1474" i="2"/>
  <c r="M1475" i="2"/>
  <c r="M1476" i="2"/>
  <c r="M1477" i="2"/>
  <c r="M1478" i="2"/>
  <c r="M1479" i="2"/>
  <c r="M1480" i="2"/>
  <c r="M1481" i="2"/>
  <c r="M1482" i="2"/>
  <c r="M1483" i="2"/>
  <c r="M1484" i="2"/>
  <c r="M1485" i="2"/>
  <c r="M1486" i="2"/>
  <c r="M1487" i="2"/>
  <c r="M1488" i="2"/>
  <c r="M1489" i="2"/>
  <c r="M1490" i="2"/>
  <c r="M1491" i="2"/>
  <c r="M1492" i="2"/>
  <c r="M1493" i="2"/>
  <c r="M1494" i="2"/>
  <c r="M1495" i="2"/>
  <c r="M1496" i="2"/>
  <c r="M1497" i="2"/>
  <c r="M1498" i="2"/>
  <c r="M1499" i="2"/>
  <c r="M1500" i="2"/>
  <c r="M1501" i="2"/>
  <c r="M1502" i="2"/>
  <c r="M1503" i="2"/>
  <c r="M1504" i="2"/>
  <c r="M1505" i="2"/>
  <c r="M1506" i="2"/>
  <c r="M1507" i="2"/>
  <c r="M1508" i="2"/>
  <c r="M1509" i="2"/>
  <c r="M1510" i="2"/>
  <c r="M1511" i="2"/>
  <c r="M1512" i="2"/>
  <c r="M1513" i="2"/>
  <c r="M1514" i="2"/>
  <c r="M1515" i="2"/>
  <c r="M1516" i="2"/>
  <c r="M1517" i="2"/>
  <c r="M1518" i="2"/>
  <c r="M1519" i="2"/>
  <c r="M1520" i="2"/>
  <c r="M1521" i="2"/>
  <c r="M1522" i="2"/>
  <c r="M1523" i="2"/>
  <c r="M1524" i="2"/>
  <c r="M1525" i="2"/>
  <c r="M1526" i="2"/>
  <c r="M1527" i="2"/>
  <c r="M1528" i="2"/>
  <c r="M1529" i="2"/>
  <c r="M1530" i="2"/>
  <c r="M1531" i="2"/>
  <c r="M1532" i="2"/>
  <c r="M1533" i="2"/>
  <c r="M1534" i="2"/>
  <c r="M1535" i="2"/>
  <c r="M1536" i="2"/>
  <c r="M1537" i="2"/>
  <c r="M1538" i="2"/>
  <c r="M1539" i="2"/>
  <c r="M1540" i="2"/>
  <c r="M1541" i="2"/>
  <c r="M1542" i="2"/>
  <c r="M1543" i="2"/>
  <c r="M1544" i="2"/>
  <c r="M1545" i="2"/>
  <c r="M1546" i="2"/>
  <c r="M1547" i="2"/>
  <c r="M1548" i="2"/>
  <c r="M1549" i="2"/>
  <c r="M1550" i="2"/>
  <c r="M1551" i="2"/>
  <c r="M1552" i="2"/>
  <c r="M1553" i="2"/>
  <c r="M1554" i="2"/>
  <c r="M1555" i="2"/>
  <c r="M1556" i="2"/>
  <c r="M1557" i="2"/>
  <c r="M1558" i="2"/>
  <c r="M1559" i="2"/>
  <c r="M1560" i="2"/>
  <c r="M1561" i="2"/>
  <c r="M1562" i="2"/>
  <c r="M1563" i="2"/>
  <c r="M1564" i="2"/>
  <c r="M1565" i="2"/>
  <c r="M1566" i="2"/>
  <c r="M1567" i="2"/>
  <c r="M1568" i="2"/>
  <c r="M1569" i="2"/>
  <c r="M1570" i="2"/>
  <c r="M1571" i="2"/>
  <c r="M1572" i="2"/>
  <c r="M1573" i="2"/>
  <c r="M1574" i="2"/>
  <c r="M1575" i="2"/>
  <c r="M1576" i="2"/>
  <c r="M1577" i="2"/>
  <c r="M1578" i="2"/>
  <c r="M1579" i="2"/>
  <c r="M1580" i="2"/>
  <c r="M1581" i="2"/>
  <c r="M1582" i="2"/>
  <c r="M1583" i="2"/>
  <c r="M1584" i="2"/>
  <c r="M1585" i="2"/>
  <c r="M1586" i="2"/>
  <c r="M1587" i="2"/>
  <c r="M1588" i="2"/>
  <c r="M1589" i="2"/>
  <c r="M1590" i="2"/>
  <c r="M1591" i="2"/>
  <c r="M1592" i="2"/>
  <c r="M1593" i="2"/>
  <c r="M1594" i="2"/>
  <c r="M1595" i="2"/>
  <c r="M1596" i="2"/>
  <c r="M1597" i="2"/>
  <c r="M1598" i="2"/>
  <c r="M1599" i="2"/>
  <c r="M1600" i="2"/>
  <c r="M1601" i="2"/>
  <c r="M1602" i="2"/>
  <c r="M1603" i="2"/>
  <c r="M1604" i="2"/>
  <c r="M1605" i="2"/>
  <c r="M1606" i="2"/>
  <c r="M1607" i="2"/>
  <c r="M1608" i="2"/>
  <c r="M1609" i="2"/>
  <c r="M1610" i="2"/>
  <c r="M1611" i="2"/>
  <c r="M1612" i="2"/>
  <c r="M1613" i="2"/>
  <c r="M1614" i="2"/>
  <c r="M1615" i="2"/>
  <c r="M1616" i="2"/>
  <c r="M1617" i="2"/>
  <c r="M1618" i="2"/>
  <c r="M1619" i="2"/>
  <c r="M1620" i="2"/>
  <c r="M1621" i="2"/>
  <c r="M1622" i="2"/>
  <c r="M1623" i="2"/>
  <c r="M1624" i="2"/>
  <c r="M1625" i="2"/>
  <c r="M1626" i="2"/>
  <c r="M1627" i="2"/>
  <c r="M1628" i="2"/>
  <c r="M1629" i="2"/>
  <c r="M1630" i="2"/>
  <c r="M1631" i="2"/>
  <c r="M1632" i="2"/>
  <c r="M1633" i="2"/>
  <c r="M1634" i="2"/>
  <c r="M1635" i="2"/>
  <c r="M1636" i="2"/>
  <c r="M1637" i="2"/>
  <c r="M1638" i="2"/>
  <c r="M1639" i="2"/>
  <c r="M1640" i="2"/>
  <c r="M1641" i="2"/>
  <c r="M1642" i="2"/>
  <c r="M1643" i="2"/>
  <c r="M1644" i="2"/>
  <c r="M1645" i="2"/>
  <c r="M1646" i="2"/>
  <c r="M1647" i="2"/>
  <c r="M1648" i="2"/>
  <c r="M1649" i="2"/>
  <c r="M1650" i="2"/>
  <c r="M1651" i="2"/>
  <c r="M1652" i="2"/>
  <c r="M1653" i="2"/>
  <c r="M1654" i="2"/>
  <c r="M1655" i="2"/>
  <c r="M1656" i="2"/>
  <c r="M1657" i="2"/>
  <c r="M1658" i="2"/>
  <c r="M1659" i="2"/>
  <c r="M1660" i="2"/>
  <c r="M1661" i="2"/>
  <c r="M1662" i="2"/>
  <c r="M1663" i="2"/>
  <c r="M1664" i="2"/>
  <c r="M1665" i="2"/>
  <c r="M1666" i="2"/>
  <c r="M1667" i="2"/>
  <c r="M1668" i="2"/>
  <c r="M1669" i="2"/>
  <c r="M1670" i="2"/>
  <c r="M1671" i="2"/>
  <c r="M1672" i="2"/>
  <c r="M1673" i="2"/>
  <c r="M1674" i="2"/>
  <c r="M1675" i="2"/>
  <c r="M1676" i="2"/>
  <c r="M1677" i="2"/>
  <c r="M1678" i="2"/>
  <c r="M1679" i="2"/>
  <c r="M1680" i="2"/>
  <c r="M1681" i="2"/>
  <c r="M1682" i="2"/>
  <c r="M1683" i="2"/>
  <c r="M1684" i="2"/>
  <c r="M1685" i="2"/>
  <c r="M1686" i="2"/>
  <c r="M1687" i="2"/>
  <c r="M1688" i="2"/>
  <c r="M1689" i="2"/>
  <c r="M1690" i="2"/>
  <c r="M1691" i="2"/>
  <c r="M1692" i="2"/>
  <c r="M1693" i="2"/>
  <c r="M1694" i="2"/>
  <c r="M1695" i="2"/>
  <c r="M1696" i="2"/>
  <c r="M1697" i="2"/>
  <c r="M1698" i="2"/>
  <c r="M1699" i="2"/>
  <c r="M1700" i="2"/>
  <c r="M1701" i="2"/>
  <c r="M1702" i="2"/>
  <c r="M1703" i="2"/>
  <c r="M1704" i="2"/>
  <c r="M1705" i="2"/>
  <c r="M1706" i="2"/>
  <c r="M1707" i="2"/>
  <c r="M1708" i="2"/>
  <c r="M1709" i="2"/>
  <c r="M1710" i="2"/>
  <c r="M1711" i="2"/>
  <c r="M1712" i="2"/>
  <c r="M1713" i="2"/>
  <c r="M1714" i="2"/>
  <c r="M1715" i="2"/>
  <c r="M1716" i="2"/>
  <c r="M1717" i="2"/>
  <c r="M1718" i="2"/>
  <c r="M1719" i="2"/>
  <c r="M1720" i="2"/>
  <c r="M1721" i="2"/>
  <c r="M1722" i="2"/>
  <c r="M1723" i="2"/>
  <c r="M1724" i="2"/>
  <c r="M1725" i="2"/>
  <c r="M1726" i="2"/>
  <c r="M1727" i="2"/>
  <c r="M1728" i="2"/>
  <c r="M1729" i="2"/>
  <c r="M1730" i="2"/>
  <c r="M1731" i="2"/>
  <c r="M1732" i="2"/>
  <c r="M1733" i="2"/>
  <c r="M1734" i="2"/>
  <c r="M1735" i="2"/>
  <c r="M1736" i="2"/>
  <c r="M1737" i="2"/>
  <c r="M1738" i="2"/>
  <c r="M1739" i="2"/>
  <c r="M1740" i="2"/>
  <c r="M1741" i="2"/>
  <c r="M1742" i="2"/>
  <c r="M1743" i="2"/>
  <c r="M1744" i="2"/>
  <c r="M1745" i="2"/>
  <c r="M1746" i="2"/>
  <c r="M1747" i="2"/>
  <c r="M1748" i="2"/>
  <c r="M1749" i="2"/>
  <c r="M1750" i="2"/>
  <c r="M1751" i="2"/>
  <c r="M1752" i="2"/>
  <c r="M1753" i="2"/>
  <c r="M1754" i="2"/>
  <c r="M1755" i="2"/>
  <c r="M1756" i="2"/>
  <c r="M1757" i="2"/>
  <c r="M1758" i="2"/>
  <c r="M1759" i="2"/>
  <c r="M1760" i="2"/>
  <c r="M1761" i="2"/>
  <c r="M1762" i="2"/>
  <c r="M1763" i="2"/>
  <c r="M1764" i="2"/>
  <c r="M1765" i="2"/>
  <c r="M1766" i="2"/>
  <c r="M1767" i="2"/>
  <c r="M1768" i="2"/>
  <c r="M1769" i="2"/>
  <c r="M1770" i="2"/>
  <c r="M1771" i="2"/>
  <c r="M1772" i="2"/>
  <c r="M1773" i="2"/>
  <c r="M1774" i="2"/>
  <c r="M1775" i="2"/>
  <c r="M1776" i="2"/>
  <c r="M1777" i="2"/>
  <c r="M1778" i="2"/>
  <c r="M1779" i="2"/>
  <c r="M1780" i="2"/>
  <c r="M1781" i="2"/>
  <c r="M1782" i="2"/>
  <c r="M1783" i="2"/>
  <c r="M1784" i="2"/>
  <c r="M1785" i="2"/>
  <c r="M1786" i="2"/>
  <c r="M1787" i="2"/>
  <c r="M1788" i="2"/>
  <c r="M1789" i="2"/>
  <c r="M1790" i="2"/>
  <c r="M1791" i="2"/>
  <c r="M1792" i="2"/>
  <c r="M1793" i="2"/>
  <c r="M1794" i="2"/>
  <c r="M1795" i="2"/>
  <c r="M1796" i="2"/>
  <c r="M1797" i="2"/>
  <c r="M1798" i="2"/>
  <c r="M1799" i="2"/>
  <c r="M1800" i="2"/>
  <c r="M1801" i="2"/>
  <c r="M1802" i="2"/>
  <c r="M1803" i="2"/>
  <c r="M1804" i="2"/>
  <c r="M1805" i="2"/>
  <c r="M1806" i="2"/>
  <c r="M1807" i="2"/>
  <c r="M1808" i="2"/>
  <c r="M1809" i="2"/>
  <c r="M1810" i="2"/>
  <c r="M1811" i="2"/>
  <c r="M1812" i="2"/>
  <c r="M1813" i="2"/>
  <c r="M1814" i="2"/>
  <c r="M1815" i="2"/>
  <c r="M1816" i="2"/>
  <c r="M1817" i="2"/>
  <c r="M1818" i="2"/>
  <c r="M1819" i="2"/>
  <c r="M1820" i="2"/>
  <c r="M1821" i="2"/>
  <c r="M1822" i="2"/>
  <c r="M1823" i="2"/>
  <c r="M1824" i="2"/>
  <c r="M1825" i="2"/>
  <c r="M1826" i="2"/>
  <c r="M1827" i="2"/>
  <c r="M1828" i="2"/>
  <c r="M1829" i="2"/>
  <c r="M1830" i="2"/>
  <c r="M1831" i="2"/>
  <c r="M1832" i="2"/>
  <c r="M1833" i="2"/>
  <c r="M1834" i="2"/>
  <c r="M1835" i="2"/>
  <c r="M1836" i="2"/>
  <c r="M1837" i="2"/>
  <c r="M1838" i="2"/>
  <c r="M1839" i="2"/>
  <c r="M1840" i="2"/>
  <c r="M1841" i="2"/>
  <c r="M1842" i="2"/>
  <c r="M1843" i="2"/>
  <c r="M1844" i="2"/>
  <c r="M1845" i="2"/>
  <c r="M1846" i="2"/>
  <c r="M1847" i="2"/>
  <c r="M1848" i="2"/>
  <c r="M1849" i="2"/>
  <c r="M1850" i="2"/>
  <c r="M1851" i="2"/>
  <c r="M1852" i="2"/>
  <c r="M1853" i="2"/>
  <c r="M1854" i="2"/>
  <c r="M1855" i="2"/>
  <c r="M1856" i="2"/>
  <c r="M1857" i="2"/>
  <c r="M1858" i="2"/>
  <c r="M1859" i="2"/>
  <c r="M1860" i="2"/>
  <c r="M1861" i="2"/>
  <c r="M1862" i="2"/>
  <c r="M1863" i="2"/>
  <c r="M1864" i="2"/>
  <c r="M1865" i="2"/>
  <c r="M1866" i="2"/>
  <c r="M1867" i="2"/>
  <c r="M1868" i="2"/>
  <c r="M1869" i="2"/>
  <c r="M1870" i="2"/>
  <c r="M1871" i="2"/>
  <c r="M1872" i="2"/>
  <c r="M1873" i="2"/>
  <c r="M1874" i="2"/>
  <c r="M1875" i="2"/>
  <c r="M1876" i="2"/>
  <c r="M1877" i="2"/>
  <c r="M1878" i="2"/>
  <c r="M1879" i="2"/>
  <c r="M1880" i="2"/>
  <c r="M1881" i="2"/>
  <c r="M1882" i="2"/>
  <c r="M1883" i="2"/>
  <c r="M1884" i="2"/>
  <c r="M1885" i="2"/>
  <c r="M1886" i="2"/>
  <c r="M1887" i="2"/>
  <c r="M1888" i="2"/>
  <c r="M1889" i="2"/>
  <c r="M1890" i="2"/>
  <c r="M1891" i="2"/>
  <c r="M1892" i="2"/>
  <c r="M1893" i="2"/>
  <c r="M1894" i="2"/>
  <c r="M1895" i="2"/>
  <c r="M1896" i="2"/>
  <c r="M1897" i="2"/>
  <c r="M1898" i="2"/>
  <c r="M1899" i="2"/>
  <c r="M1900" i="2"/>
  <c r="M1901" i="2"/>
  <c r="M1902" i="2"/>
  <c r="M1903" i="2"/>
  <c r="M1904" i="2"/>
  <c r="M1905" i="2"/>
  <c r="M1906" i="2"/>
  <c r="M1907" i="2"/>
  <c r="M1908" i="2"/>
  <c r="M1909" i="2"/>
  <c r="M1910" i="2"/>
  <c r="M1911" i="2"/>
  <c r="M1912" i="2"/>
  <c r="M1913" i="2"/>
  <c r="M1914" i="2"/>
  <c r="M1915" i="2"/>
  <c r="M1916" i="2"/>
  <c r="M1917" i="2"/>
  <c r="M1918" i="2"/>
  <c r="M1919" i="2"/>
  <c r="M1920" i="2"/>
  <c r="M1921" i="2"/>
  <c r="M1922" i="2"/>
  <c r="M1923" i="2"/>
  <c r="M1924" i="2"/>
  <c r="M1925" i="2"/>
  <c r="M1926" i="2"/>
  <c r="M1927" i="2"/>
  <c r="M1928" i="2"/>
  <c r="M1929" i="2"/>
  <c r="M1930" i="2"/>
  <c r="M1931" i="2"/>
  <c r="M1932" i="2"/>
  <c r="M1933" i="2"/>
  <c r="M1934" i="2"/>
  <c r="M1935" i="2"/>
  <c r="M1936" i="2"/>
  <c r="M1937" i="2"/>
  <c r="M1938" i="2"/>
  <c r="M1939" i="2"/>
  <c r="M1940" i="2"/>
  <c r="M1941" i="2"/>
  <c r="M1942" i="2"/>
  <c r="M1943" i="2"/>
  <c r="M1944" i="2"/>
  <c r="M1945" i="2"/>
  <c r="M1946" i="2"/>
  <c r="M1947" i="2"/>
  <c r="M1948" i="2"/>
  <c r="M1949" i="2"/>
  <c r="M1950" i="2"/>
  <c r="M1951" i="2"/>
  <c r="M1952" i="2"/>
  <c r="M1953" i="2"/>
  <c r="M1954" i="2"/>
  <c r="M1955" i="2"/>
  <c r="M1956" i="2"/>
  <c r="M1957" i="2"/>
  <c r="M1958" i="2"/>
  <c r="M1959" i="2"/>
  <c r="M1960" i="2"/>
  <c r="M1961" i="2"/>
  <c r="M1962" i="2"/>
  <c r="M1963" i="2"/>
  <c r="M1964" i="2"/>
  <c r="M1965" i="2"/>
  <c r="M1966" i="2"/>
  <c r="M1967" i="2"/>
  <c r="M1968" i="2"/>
  <c r="M1969" i="2"/>
  <c r="M1970" i="2"/>
  <c r="M1971" i="2"/>
  <c r="M1972" i="2"/>
  <c r="M1973" i="2"/>
  <c r="M1974" i="2"/>
  <c r="M1975" i="2"/>
  <c r="M1976" i="2"/>
  <c r="M1977" i="2"/>
  <c r="M1978" i="2"/>
  <c r="M1979" i="2"/>
  <c r="M1980" i="2"/>
  <c r="M1981" i="2"/>
  <c r="M1982" i="2"/>
  <c r="M1983" i="2"/>
  <c r="M1984" i="2"/>
  <c r="M1985" i="2"/>
  <c r="M1986" i="2"/>
  <c r="M1987" i="2"/>
  <c r="M1988" i="2"/>
  <c r="M1989" i="2"/>
  <c r="M1990" i="2"/>
  <c r="M1991" i="2"/>
  <c r="M1992" i="2"/>
  <c r="M1993" i="2"/>
  <c r="M1994" i="2"/>
  <c r="M1995" i="2"/>
  <c r="M1996" i="2"/>
  <c r="M1997" i="2"/>
  <c r="M1998" i="2"/>
  <c r="M1999" i="2"/>
  <c r="M2000" i="2"/>
  <c r="M2001" i="2"/>
  <c r="M2002" i="2"/>
  <c r="M2003" i="2"/>
  <c r="M200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J505" i="2"/>
  <c r="J506" i="2"/>
  <c r="J507" i="2"/>
  <c r="J508" i="2"/>
  <c r="J509" i="2"/>
  <c r="J510" i="2"/>
  <c r="J511" i="2"/>
  <c r="J512" i="2"/>
  <c r="J513" i="2"/>
  <c r="J514" i="2"/>
  <c r="J515" i="2"/>
  <c r="J516" i="2"/>
  <c r="J517" i="2"/>
  <c r="J518" i="2"/>
  <c r="J519" i="2"/>
  <c r="J520" i="2"/>
  <c r="J521" i="2"/>
  <c r="J522" i="2"/>
  <c r="J523" i="2"/>
  <c r="J524" i="2"/>
  <c r="J525" i="2"/>
  <c r="J526" i="2"/>
  <c r="J527" i="2"/>
  <c r="J528" i="2"/>
  <c r="J529" i="2"/>
  <c r="J530" i="2"/>
  <c r="J531" i="2"/>
  <c r="J532" i="2"/>
  <c r="J533" i="2"/>
  <c r="J534" i="2"/>
  <c r="J535" i="2"/>
  <c r="J536" i="2"/>
  <c r="J537" i="2"/>
  <c r="J538" i="2"/>
  <c r="J539" i="2"/>
  <c r="J540" i="2"/>
  <c r="J541" i="2"/>
  <c r="J542" i="2"/>
  <c r="J543" i="2"/>
  <c r="J544" i="2"/>
  <c r="J545" i="2"/>
  <c r="J546" i="2"/>
  <c r="J547" i="2"/>
  <c r="J548" i="2"/>
  <c r="J549" i="2"/>
  <c r="J550" i="2"/>
  <c r="J551" i="2"/>
  <c r="J552" i="2"/>
  <c r="J553" i="2"/>
  <c r="J554" i="2"/>
  <c r="J555" i="2"/>
  <c r="J556" i="2"/>
  <c r="J557" i="2"/>
  <c r="J558" i="2"/>
  <c r="J559" i="2"/>
  <c r="J560" i="2"/>
  <c r="J561" i="2"/>
  <c r="J562" i="2"/>
  <c r="J563" i="2"/>
  <c r="J564" i="2"/>
  <c r="J565" i="2"/>
  <c r="J566" i="2"/>
  <c r="J567" i="2"/>
  <c r="J568" i="2"/>
  <c r="J569" i="2"/>
  <c r="J570" i="2"/>
  <c r="J571" i="2"/>
  <c r="J572" i="2"/>
  <c r="J573" i="2"/>
  <c r="J574" i="2"/>
  <c r="J575" i="2"/>
  <c r="J576" i="2"/>
  <c r="J577" i="2"/>
  <c r="J578" i="2"/>
  <c r="J579" i="2"/>
  <c r="J580" i="2"/>
  <c r="J581" i="2"/>
  <c r="J582" i="2"/>
  <c r="J583" i="2"/>
  <c r="J584" i="2"/>
  <c r="J585" i="2"/>
  <c r="J586" i="2"/>
  <c r="J587" i="2"/>
  <c r="J588" i="2"/>
  <c r="J589" i="2"/>
  <c r="J590" i="2"/>
  <c r="J591" i="2"/>
  <c r="J592" i="2"/>
  <c r="J593" i="2"/>
  <c r="J594" i="2"/>
  <c r="J595" i="2"/>
  <c r="J596" i="2"/>
  <c r="J597" i="2"/>
  <c r="J598" i="2"/>
  <c r="J599" i="2"/>
  <c r="J600" i="2"/>
  <c r="J601" i="2"/>
  <c r="J602" i="2"/>
  <c r="J603" i="2"/>
  <c r="J604" i="2"/>
  <c r="J605" i="2"/>
  <c r="J606" i="2"/>
  <c r="J607" i="2"/>
  <c r="J608" i="2"/>
  <c r="J609" i="2"/>
  <c r="J610" i="2"/>
  <c r="J611" i="2"/>
  <c r="J612" i="2"/>
  <c r="J613" i="2"/>
  <c r="J614" i="2"/>
  <c r="J615" i="2"/>
  <c r="J616" i="2"/>
  <c r="J617" i="2"/>
  <c r="J618" i="2"/>
  <c r="J619" i="2"/>
  <c r="J620" i="2"/>
  <c r="J621" i="2"/>
  <c r="J622" i="2"/>
  <c r="J623" i="2"/>
  <c r="J624" i="2"/>
  <c r="J625" i="2"/>
  <c r="J626" i="2"/>
  <c r="J627" i="2"/>
  <c r="J628" i="2"/>
  <c r="J629" i="2"/>
  <c r="J630" i="2"/>
  <c r="J631" i="2"/>
  <c r="J632" i="2"/>
  <c r="J633" i="2"/>
  <c r="J634" i="2"/>
  <c r="J635" i="2"/>
  <c r="J636" i="2"/>
  <c r="J637" i="2"/>
  <c r="J638" i="2"/>
  <c r="J639" i="2"/>
  <c r="J640" i="2"/>
  <c r="J641" i="2"/>
  <c r="J642" i="2"/>
  <c r="J643" i="2"/>
  <c r="J644" i="2"/>
  <c r="J645" i="2"/>
  <c r="J646" i="2"/>
  <c r="J647" i="2"/>
  <c r="J648" i="2"/>
  <c r="J649" i="2"/>
  <c r="J650" i="2"/>
  <c r="J651" i="2"/>
  <c r="J652" i="2"/>
  <c r="J653" i="2"/>
  <c r="J654" i="2"/>
  <c r="J655" i="2"/>
  <c r="J656" i="2"/>
  <c r="J657" i="2"/>
  <c r="J658" i="2"/>
  <c r="J659" i="2"/>
  <c r="J660" i="2"/>
  <c r="J661" i="2"/>
  <c r="J662" i="2"/>
  <c r="J663" i="2"/>
  <c r="J664" i="2"/>
  <c r="J665" i="2"/>
  <c r="J666" i="2"/>
  <c r="J667" i="2"/>
  <c r="J668" i="2"/>
  <c r="J669" i="2"/>
  <c r="J670" i="2"/>
  <c r="J671" i="2"/>
  <c r="J672" i="2"/>
  <c r="J673" i="2"/>
  <c r="J674" i="2"/>
  <c r="J675" i="2"/>
  <c r="J676" i="2"/>
  <c r="J677" i="2"/>
  <c r="J678" i="2"/>
  <c r="J679" i="2"/>
  <c r="J680" i="2"/>
  <c r="J681" i="2"/>
  <c r="J682" i="2"/>
  <c r="J683" i="2"/>
  <c r="J684" i="2"/>
  <c r="J685" i="2"/>
  <c r="J686" i="2"/>
  <c r="J687" i="2"/>
  <c r="J688" i="2"/>
  <c r="J689" i="2"/>
  <c r="J690" i="2"/>
  <c r="J691" i="2"/>
  <c r="J692" i="2"/>
  <c r="J693" i="2"/>
  <c r="J694" i="2"/>
  <c r="J695" i="2"/>
  <c r="J696" i="2"/>
  <c r="J697" i="2"/>
  <c r="J698" i="2"/>
  <c r="J699" i="2"/>
  <c r="J700" i="2"/>
  <c r="J701" i="2"/>
  <c r="J702" i="2"/>
  <c r="J703" i="2"/>
  <c r="J704" i="2"/>
  <c r="J705" i="2"/>
  <c r="J706" i="2"/>
  <c r="J707" i="2"/>
  <c r="J708" i="2"/>
  <c r="J709" i="2"/>
  <c r="J710" i="2"/>
  <c r="J711" i="2"/>
  <c r="J712" i="2"/>
  <c r="J713" i="2"/>
  <c r="J714" i="2"/>
  <c r="J715" i="2"/>
  <c r="J716" i="2"/>
  <c r="J717" i="2"/>
  <c r="J718" i="2"/>
  <c r="J719" i="2"/>
  <c r="J720" i="2"/>
  <c r="J721" i="2"/>
  <c r="J722" i="2"/>
  <c r="J723" i="2"/>
  <c r="J724" i="2"/>
  <c r="J725" i="2"/>
  <c r="J726" i="2"/>
  <c r="J727" i="2"/>
  <c r="J728" i="2"/>
  <c r="J729" i="2"/>
  <c r="J730" i="2"/>
  <c r="J731" i="2"/>
  <c r="J732" i="2"/>
  <c r="J733" i="2"/>
  <c r="J734" i="2"/>
  <c r="J735" i="2"/>
  <c r="J736" i="2"/>
  <c r="J737" i="2"/>
  <c r="J738" i="2"/>
  <c r="J739" i="2"/>
  <c r="J740" i="2"/>
  <c r="J741" i="2"/>
  <c r="J742" i="2"/>
  <c r="J743" i="2"/>
  <c r="J744" i="2"/>
  <c r="J745" i="2"/>
  <c r="J746" i="2"/>
  <c r="J747" i="2"/>
  <c r="J748" i="2"/>
  <c r="J749" i="2"/>
  <c r="J750" i="2"/>
  <c r="J751" i="2"/>
  <c r="J752" i="2"/>
  <c r="J753" i="2"/>
  <c r="J754" i="2"/>
  <c r="J755" i="2"/>
  <c r="J756" i="2"/>
  <c r="J757" i="2"/>
  <c r="J758" i="2"/>
  <c r="J759" i="2"/>
  <c r="J760" i="2"/>
  <c r="J761" i="2"/>
  <c r="J762" i="2"/>
  <c r="J763" i="2"/>
  <c r="J764" i="2"/>
  <c r="J765" i="2"/>
  <c r="J766" i="2"/>
  <c r="J767" i="2"/>
  <c r="J768" i="2"/>
  <c r="J769" i="2"/>
  <c r="J770" i="2"/>
  <c r="J771" i="2"/>
  <c r="J772" i="2"/>
  <c r="J773" i="2"/>
  <c r="J774" i="2"/>
  <c r="J775" i="2"/>
  <c r="J776" i="2"/>
  <c r="J777" i="2"/>
  <c r="J778" i="2"/>
  <c r="J779" i="2"/>
  <c r="J780" i="2"/>
  <c r="J781" i="2"/>
  <c r="J782" i="2"/>
  <c r="J783" i="2"/>
  <c r="J784" i="2"/>
  <c r="J785" i="2"/>
  <c r="J786" i="2"/>
  <c r="J787" i="2"/>
  <c r="J788" i="2"/>
  <c r="J789" i="2"/>
  <c r="J790" i="2"/>
  <c r="J791" i="2"/>
  <c r="J792" i="2"/>
  <c r="J793" i="2"/>
  <c r="J794" i="2"/>
  <c r="J795" i="2"/>
  <c r="J796" i="2"/>
  <c r="J797" i="2"/>
  <c r="J798" i="2"/>
  <c r="J799" i="2"/>
  <c r="J800" i="2"/>
  <c r="J801" i="2"/>
  <c r="J802" i="2"/>
  <c r="J803" i="2"/>
  <c r="J804" i="2"/>
  <c r="J805" i="2"/>
  <c r="J806" i="2"/>
  <c r="J807" i="2"/>
  <c r="J808" i="2"/>
  <c r="J809" i="2"/>
  <c r="J810" i="2"/>
  <c r="J811" i="2"/>
  <c r="J812" i="2"/>
  <c r="J813" i="2"/>
  <c r="J814" i="2"/>
  <c r="J815" i="2"/>
  <c r="J816" i="2"/>
  <c r="J817" i="2"/>
  <c r="J818" i="2"/>
  <c r="J819" i="2"/>
  <c r="J820" i="2"/>
  <c r="J821" i="2"/>
  <c r="J822" i="2"/>
  <c r="J823" i="2"/>
  <c r="J824" i="2"/>
  <c r="J825" i="2"/>
  <c r="J826" i="2"/>
  <c r="J827" i="2"/>
  <c r="J828" i="2"/>
  <c r="J829" i="2"/>
  <c r="J830" i="2"/>
  <c r="J831" i="2"/>
  <c r="J832" i="2"/>
  <c r="J833" i="2"/>
  <c r="J834" i="2"/>
  <c r="J835" i="2"/>
  <c r="J836" i="2"/>
  <c r="J837" i="2"/>
  <c r="J838" i="2"/>
  <c r="J839" i="2"/>
  <c r="J840" i="2"/>
  <c r="J841" i="2"/>
  <c r="J842" i="2"/>
  <c r="J843" i="2"/>
  <c r="J844" i="2"/>
  <c r="J845" i="2"/>
  <c r="J846" i="2"/>
  <c r="J847" i="2"/>
  <c r="J848" i="2"/>
  <c r="J849" i="2"/>
  <c r="J850" i="2"/>
  <c r="J851" i="2"/>
  <c r="J852" i="2"/>
  <c r="J853" i="2"/>
  <c r="J854" i="2"/>
  <c r="J855" i="2"/>
  <c r="J856" i="2"/>
  <c r="J857" i="2"/>
  <c r="J858" i="2"/>
  <c r="J859" i="2"/>
  <c r="J860" i="2"/>
  <c r="J861" i="2"/>
  <c r="J862" i="2"/>
  <c r="J863" i="2"/>
  <c r="J864" i="2"/>
  <c r="J865" i="2"/>
  <c r="J866" i="2"/>
  <c r="J867" i="2"/>
  <c r="J868" i="2"/>
  <c r="J869" i="2"/>
  <c r="J870" i="2"/>
  <c r="J871" i="2"/>
  <c r="J872" i="2"/>
  <c r="J873" i="2"/>
  <c r="J874" i="2"/>
  <c r="J875" i="2"/>
  <c r="J876" i="2"/>
  <c r="J877" i="2"/>
  <c r="J878" i="2"/>
  <c r="J879" i="2"/>
  <c r="J880" i="2"/>
  <c r="J881" i="2"/>
  <c r="J882" i="2"/>
  <c r="J883" i="2"/>
  <c r="J884" i="2"/>
  <c r="J885" i="2"/>
  <c r="J886" i="2"/>
  <c r="J887" i="2"/>
  <c r="J888" i="2"/>
  <c r="J889" i="2"/>
  <c r="J890" i="2"/>
  <c r="J891" i="2"/>
  <c r="J892" i="2"/>
  <c r="J893" i="2"/>
  <c r="J894" i="2"/>
  <c r="J895" i="2"/>
  <c r="J896" i="2"/>
  <c r="J897" i="2"/>
  <c r="J898" i="2"/>
  <c r="J899" i="2"/>
  <c r="J900" i="2"/>
  <c r="J901" i="2"/>
  <c r="J902" i="2"/>
  <c r="J903" i="2"/>
  <c r="J904" i="2"/>
  <c r="J905" i="2"/>
  <c r="J906" i="2"/>
  <c r="J907" i="2"/>
  <c r="J908" i="2"/>
  <c r="J909" i="2"/>
  <c r="J910" i="2"/>
  <c r="J911" i="2"/>
  <c r="J912" i="2"/>
  <c r="J913" i="2"/>
  <c r="J914" i="2"/>
  <c r="J915" i="2"/>
  <c r="J916" i="2"/>
  <c r="J917" i="2"/>
  <c r="J918" i="2"/>
  <c r="J919" i="2"/>
  <c r="J920" i="2"/>
  <c r="J921" i="2"/>
  <c r="J922" i="2"/>
  <c r="J923" i="2"/>
  <c r="J924" i="2"/>
  <c r="J925" i="2"/>
  <c r="J926" i="2"/>
  <c r="J927" i="2"/>
  <c r="J928" i="2"/>
  <c r="J929" i="2"/>
  <c r="J930" i="2"/>
  <c r="J931" i="2"/>
  <c r="J932" i="2"/>
  <c r="J933" i="2"/>
  <c r="J934" i="2"/>
  <c r="J935" i="2"/>
  <c r="J936" i="2"/>
  <c r="J937" i="2"/>
  <c r="J938" i="2"/>
  <c r="J939" i="2"/>
  <c r="J940" i="2"/>
  <c r="J941" i="2"/>
  <c r="J942" i="2"/>
  <c r="J943" i="2"/>
  <c r="J944" i="2"/>
  <c r="J945" i="2"/>
  <c r="J946" i="2"/>
  <c r="J947" i="2"/>
  <c r="J948" i="2"/>
  <c r="J949" i="2"/>
  <c r="J950" i="2"/>
  <c r="J951" i="2"/>
  <c r="J952" i="2"/>
  <c r="J953" i="2"/>
  <c r="J954" i="2"/>
  <c r="J955" i="2"/>
  <c r="J956" i="2"/>
  <c r="J957" i="2"/>
  <c r="J958" i="2"/>
  <c r="J959" i="2"/>
  <c r="J960" i="2"/>
  <c r="J961" i="2"/>
  <c r="J962" i="2"/>
  <c r="J963" i="2"/>
  <c r="J964" i="2"/>
  <c r="J965" i="2"/>
  <c r="J966" i="2"/>
  <c r="J967" i="2"/>
  <c r="J968" i="2"/>
  <c r="J969" i="2"/>
  <c r="J970" i="2"/>
  <c r="J971" i="2"/>
  <c r="J972" i="2"/>
  <c r="J973" i="2"/>
  <c r="J974" i="2"/>
  <c r="J975" i="2"/>
  <c r="J976" i="2"/>
  <c r="J977" i="2"/>
  <c r="J978" i="2"/>
  <c r="J979" i="2"/>
  <c r="J980" i="2"/>
  <c r="J981" i="2"/>
  <c r="J982" i="2"/>
  <c r="J983" i="2"/>
  <c r="J984" i="2"/>
  <c r="J985" i="2"/>
  <c r="J986" i="2"/>
  <c r="J987" i="2"/>
  <c r="J988" i="2"/>
  <c r="J989" i="2"/>
  <c r="J990" i="2"/>
  <c r="J991" i="2"/>
  <c r="J992" i="2"/>
  <c r="J993" i="2"/>
  <c r="J994" i="2"/>
  <c r="J995" i="2"/>
  <c r="J996" i="2"/>
  <c r="J997" i="2"/>
  <c r="J998" i="2"/>
  <c r="J999" i="2"/>
  <c r="J1000" i="2"/>
  <c r="J1001" i="2"/>
  <c r="J1002" i="2"/>
  <c r="J1003" i="2"/>
  <c r="J1004" i="2"/>
  <c r="J1005" i="2"/>
  <c r="J1006" i="2"/>
  <c r="J1007" i="2"/>
  <c r="J1008" i="2"/>
  <c r="J1009" i="2"/>
  <c r="J1010" i="2"/>
  <c r="J1011" i="2"/>
  <c r="J1012" i="2"/>
  <c r="J1013" i="2"/>
  <c r="J1014" i="2"/>
  <c r="J1015" i="2"/>
  <c r="J1016" i="2"/>
  <c r="J1017" i="2"/>
  <c r="J1018" i="2"/>
  <c r="J1019" i="2"/>
  <c r="J1020" i="2"/>
  <c r="J1021" i="2"/>
  <c r="J1022" i="2"/>
  <c r="J1023" i="2"/>
  <c r="J1024" i="2"/>
  <c r="J1025" i="2"/>
  <c r="J1026" i="2"/>
  <c r="J1027" i="2"/>
  <c r="J1028" i="2"/>
  <c r="J1029" i="2"/>
  <c r="J1030" i="2"/>
  <c r="J1031" i="2"/>
  <c r="J1032" i="2"/>
  <c r="J1033" i="2"/>
  <c r="J1034" i="2"/>
  <c r="J1035" i="2"/>
  <c r="J1036" i="2"/>
  <c r="J1037" i="2"/>
  <c r="J1038" i="2"/>
  <c r="J1039" i="2"/>
  <c r="J1040" i="2"/>
  <c r="J1041" i="2"/>
  <c r="J1042" i="2"/>
  <c r="J1043" i="2"/>
  <c r="J1044" i="2"/>
  <c r="J1045" i="2"/>
  <c r="J1046" i="2"/>
  <c r="J1047" i="2"/>
  <c r="J1048" i="2"/>
  <c r="J1049" i="2"/>
  <c r="J1050" i="2"/>
  <c r="J1051" i="2"/>
  <c r="J1052" i="2"/>
  <c r="J1053" i="2"/>
  <c r="J1054" i="2"/>
  <c r="J1055" i="2"/>
  <c r="J1056" i="2"/>
  <c r="J1057" i="2"/>
  <c r="J1058" i="2"/>
  <c r="J1059" i="2"/>
  <c r="J1060" i="2"/>
  <c r="J1061" i="2"/>
  <c r="J1062" i="2"/>
  <c r="J1063" i="2"/>
  <c r="J1064" i="2"/>
  <c r="J1065" i="2"/>
  <c r="J1066" i="2"/>
  <c r="J1067" i="2"/>
  <c r="J1068" i="2"/>
  <c r="J1069" i="2"/>
  <c r="J1070" i="2"/>
  <c r="J1071" i="2"/>
  <c r="J1072" i="2"/>
  <c r="J1073" i="2"/>
  <c r="J1074" i="2"/>
  <c r="J1075" i="2"/>
  <c r="J1076" i="2"/>
  <c r="J1077" i="2"/>
  <c r="J1078" i="2"/>
  <c r="J1079" i="2"/>
  <c r="J1080" i="2"/>
  <c r="J1081" i="2"/>
  <c r="J1082" i="2"/>
  <c r="J1083" i="2"/>
  <c r="J1084" i="2"/>
  <c r="J1085" i="2"/>
  <c r="J1086" i="2"/>
  <c r="J1087" i="2"/>
  <c r="J1088" i="2"/>
  <c r="J1089" i="2"/>
  <c r="J1090" i="2"/>
  <c r="J1091" i="2"/>
  <c r="J1092" i="2"/>
  <c r="J1093" i="2"/>
  <c r="J1094" i="2"/>
  <c r="J1095" i="2"/>
  <c r="J1096" i="2"/>
  <c r="J1097" i="2"/>
  <c r="J1098" i="2"/>
  <c r="J1099" i="2"/>
  <c r="J1100" i="2"/>
  <c r="J1101" i="2"/>
  <c r="J1102" i="2"/>
  <c r="J1103" i="2"/>
  <c r="J1104" i="2"/>
  <c r="J1105" i="2"/>
  <c r="J1106" i="2"/>
  <c r="J1107" i="2"/>
  <c r="J1108" i="2"/>
  <c r="J1109" i="2"/>
  <c r="J1110" i="2"/>
  <c r="J1111" i="2"/>
  <c r="J1112" i="2"/>
  <c r="J1113" i="2"/>
  <c r="J1114" i="2"/>
  <c r="J1115" i="2"/>
  <c r="J1116" i="2"/>
  <c r="J1117" i="2"/>
  <c r="J1118" i="2"/>
  <c r="J1119" i="2"/>
  <c r="J1120" i="2"/>
  <c r="J1121" i="2"/>
  <c r="J1122" i="2"/>
  <c r="J1123" i="2"/>
  <c r="J1124" i="2"/>
  <c r="J1125" i="2"/>
  <c r="J1126" i="2"/>
  <c r="J1127" i="2"/>
  <c r="J1128" i="2"/>
  <c r="J1129" i="2"/>
  <c r="J1130" i="2"/>
  <c r="J1131" i="2"/>
  <c r="J1132" i="2"/>
  <c r="J1133" i="2"/>
  <c r="J1134" i="2"/>
  <c r="J1135" i="2"/>
  <c r="J1136" i="2"/>
  <c r="J1137" i="2"/>
  <c r="J1138" i="2"/>
  <c r="J1139" i="2"/>
  <c r="J1140" i="2"/>
  <c r="J1141" i="2"/>
  <c r="J1142" i="2"/>
  <c r="J1143" i="2"/>
  <c r="J1144" i="2"/>
  <c r="J1145" i="2"/>
  <c r="J1146" i="2"/>
  <c r="J1147" i="2"/>
  <c r="J1148" i="2"/>
  <c r="J1149" i="2"/>
  <c r="J1150" i="2"/>
  <c r="J1151" i="2"/>
  <c r="J1152" i="2"/>
  <c r="J1153" i="2"/>
  <c r="J1154" i="2"/>
  <c r="J1155" i="2"/>
  <c r="J1156" i="2"/>
  <c r="J1157" i="2"/>
  <c r="J1158" i="2"/>
  <c r="J1159" i="2"/>
  <c r="J1160" i="2"/>
  <c r="J1161" i="2"/>
  <c r="J1162" i="2"/>
  <c r="J1163" i="2"/>
  <c r="J1164" i="2"/>
  <c r="J1165" i="2"/>
  <c r="J1166" i="2"/>
  <c r="J1167" i="2"/>
  <c r="J1168" i="2"/>
  <c r="J1169" i="2"/>
  <c r="J1170" i="2"/>
  <c r="J1171" i="2"/>
  <c r="J1172" i="2"/>
  <c r="J1173" i="2"/>
  <c r="J1174" i="2"/>
  <c r="J1175" i="2"/>
  <c r="J1176" i="2"/>
  <c r="J1177" i="2"/>
  <c r="J1178" i="2"/>
  <c r="J1179" i="2"/>
  <c r="J1180" i="2"/>
  <c r="J1181" i="2"/>
  <c r="J1182" i="2"/>
  <c r="J1183" i="2"/>
  <c r="J1184" i="2"/>
  <c r="J1185" i="2"/>
  <c r="J1186" i="2"/>
  <c r="J1187" i="2"/>
  <c r="J1188" i="2"/>
  <c r="J1189" i="2"/>
  <c r="J1190" i="2"/>
  <c r="J1191" i="2"/>
  <c r="J1192" i="2"/>
  <c r="J1193" i="2"/>
  <c r="J1194" i="2"/>
  <c r="J1195" i="2"/>
  <c r="J1196" i="2"/>
  <c r="J1197" i="2"/>
  <c r="J1198" i="2"/>
  <c r="J1199" i="2"/>
  <c r="J1200" i="2"/>
  <c r="J1201" i="2"/>
  <c r="J1202" i="2"/>
  <c r="J1203" i="2"/>
  <c r="J1204" i="2"/>
  <c r="J1205" i="2"/>
  <c r="J1206" i="2"/>
  <c r="J1207" i="2"/>
  <c r="J1208" i="2"/>
  <c r="J1209" i="2"/>
  <c r="J1210" i="2"/>
  <c r="J1211" i="2"/>
  <c r="J1212" i="2"/>
  <c r="J1213" i="2"/>
  <c r="J1214" i="2"/>
  <c r="J1215" i="2"/>
  <c r="J1216" i="2"/>
  <c r="J1217" i="2"/>
  <c r="J1218" i="2"/>
  <c r="J1219" i="2"/>
  <c r="J1220" i="2"/>
  <c r="J1221" i="2"/>
  <c r="J1222" i="2"/>
  <c r="J1223" i="2"/>
  <c r="J1224" i="2"/>
  <c r="J1225" i="2"/>
  <c r="J1226" i="2"/>
  <c r="J1227" i="2"/>
  <c r="J1228" i="2"/>
  <c r="J1229" i="2"/>
  <c r="J1230" i="2"/>
  <c r="J1231" i="2"/>
  <c r="J1232" i="2"/>
  <c r="J1233" i="2"/>
  <c r="J1234" i="2"/>
  <c r="J1235" i="2"/>
  <c r="J1236" i="2"/>
  <c r="J1237" i="2"/>
  <c r="J1238" i="2"/>
  <c r="J1239" i="2"/>
  <c r="J1240" i="2"/>
  <c r="J1241" i="2"/>
  <c r="J1242" i="2"/>
  <c r="J1243" i="2"/>
  <c r="J1244" i="2"/>
  <c r="J1245" i="2"/>
  <c r="J1246" i="2"/>
  <c r="J1247" i="2"/>
  <c r="J1248" i="2"/>
  <c r="J1249" i="2"/>
  <c r="J1250" i="2"/>
  <c r="J1251" i="2"/>
  <c r="J1252" i="2"/>
  <c r="J1253" i="2"/>
  <c r="J1254" i="2"/>
  <c r="J1255" i="2"/>
  <c r="J1256" i="2"/>
  <c r="J1257" i="2"/>
  <c r="J1258" i="2"/>
  <c r="J1259" i="2"/>
  <c r="J1260" i="2"/>
  <c r="J1261" i="2"/>
  <c r="J1262" i="2"/>
  <c r="J1263" i="2"/>
  <c r="J1264" i="2"/>
  <c r="J1265" i="2"/>
  <c r="J1266" i="2"/>
  <c r="J1267" i="2"/>
  <c r="J1268" i="2"/>
  <c r="J1269" i="2"/>
  <c r="J1270" i="2"/>
  <c r="J1271" i="2"/>
  <c r="J1272" i="2"/>
  <c r="J1273" i="2"/>
  <c r="J1274" i="2"/>
  <c r="J1275" i="2"/>
  <c r="J1276" i="2"/>
  <c r="J1277" i="2"/>
  <c r="J1278" i="2"/>
  <c r="J1279" i="2"/>
  <c r="J1280" i="2"/>
  <c r="J1281" i="2"/>
  <c r="J1282" i="2"/>
  <c r="J1283" i="2"/>
  <c r="J1284" i="2"/>
  <c r="J1285" i="2"/>
  <c r="J1286" i="2"/>
  <c r="J1287" i="2"/>
  <c r="J1288" i="2"/>
  <c r="J1289" i="2"/>
  <c r="J1290" i="2"/>
  <c r="J1291" i="2"/>
  <c r="J1292" i="2"/>
  <c r="J1293" i="2"/>
  <c r="J1294" i="2"/>
  <c r="J1295" i="2"/>
  <c r="J1296" i="2"/>
  <c r="J1297" i="2"/>
  <c r="J1298" i="2"/>
  <c r="J1299" i="2"/>
  <c r="J1300" i="2"/>
  <c r="J1301" i="2"/>
  <c r="J1302" i="2"/>
  <c r="J1303" i="2"/>
  <c r="J1304" i="2"/>
  <c r="J1305" i="2"/>
  <c r="J1306" i="2"/>
  <c r="J1307" i="2"/>
  <c r="J1308" i="2"/>
  <c r="J1309" i="2"/>
  <c r="J1310" i="2"/>
  <c r="J1311" i="2"/>
  <c r="J1312" i="2"/>
  <c r="J1313" i="2"/>
  <c r="J1314" i="2"/>
  <c r="J1315" i="2"/>
  <c r="J1316" i="2"/>
  <c r="J1317" i="2"/>
  <c r="J1318" i="2"/>
  <c r="J1319" i="2"/>
  <c r="J1320" i="2"/>
  <c r="J1321" i="2"/>
  <c r="J1322" i="2"/>
  <c r="J1323" i="2"/>
  <c r="J1324" i="2"/>
  <c r="J1325" i="2"/>
  <c r="J1326" i="2"/>
  <c r="J1327" i="2"/>
  <c r="J1328" i="2"/>
  <c r="J1329" i="2"/>
  <c r="J1330" i="2"/>
  <c r="J1331" i="2"/>
  <c r="J1332" i="2"/>
  <c r="J1333" i="2"/>
  <c r="J1334" i="2"/>
  <c r="J1335" i="2"/>
  <c r="J1336" i="2"/>
  <c r="J1337" i="2"/>
  <c r="J1338" i="2"/>
  <c r="J1339" i="2"/>
  <c r="J1340" i="2"/>
  <c r="J1341" i="2"/>
  <c r="J1342" i="2"/>
  <c r="J1343" i="2"/>
  <c r="J1344" i="2"/>
  <c r="J1345" i="2"/>
  <c r="J1346" i="2"/>
  <c r="J1347" i="2"/>
  <c r="J1348" i="2"/>
  <c r="J1349" i="2"/>
  <c r="J1350" i="2"/>
  <c r="J1351" i="2"/>
  <c r="J1352" i="2"/>
  <c r="J1353" i="2"/>
  <c r="J1354" i="2"/>
  <c r="J1355" i="2"/>
  <c r="J1356" i="2"/>
  <c r="J1357" i="2"/>
  <c r="J1358" i="2"/>
  <c r="J1359" i="2"/>
  <c r="J1360" i="2"/>
  <c r="J1361" i="2"/>
  <c r="J1362" i="2"/>
  <c r="J1363" i="2"/>
  <c r="J1364" i="2"/>
  <c r="J1365" i="2"/>
  <c r="J1366" i="2"/>
  <c r="J1367" i="2"/>
  <c r="J1368" i="2"/>
  <c r="J1369" i="2"/>
  <c r="J1370" i="2"/>
  <c r="J1371" i="2"/>
  <c r="J1372" i="2"/>
  <c r="J1373" i="2"/>
  <c r="J1374" i="2"/>
  <c r="J1375" i="2"/>
  <c r="J1376" i="2"/>
  <c r="J1377" i="2"/>
  <c r="J1378" i="2"/>
  <c r="J1379" i="2"/>
  <c r="J1380" i="2"/>
  <c r="J1381" i="2"/>
  <c r="J1382" i="2"/>
  <c r="J1383" i="2"/>
  <c r="J1384" i="2"/>
  <c r="J1385" i="2"/>
  <c r="J1386" i="2"/>
  <c r="J1387" i="2"/>
  <c r="J1388" i="2"/>
  <c r="J1389" i="2"/>
  <c r="J1390" i="2"/>
  <c r="J1391" i="2"/>
  <c r="J1392" i="2"/>
  <c r="J1393" i="2"/>
  <c r="J1394" i="2"/>
  <c r="J1395" i="2"/>
  <c r="J1396" i="2"/>
  <c r="J1397" i="2"/>
  <c r="J1398" i="2"/>
  <c r="J1399" i="2"/>
  <c r="J1400" i="2"/>
  <c r="J1401" i="2"/>
  <c r="J1402" i="2"/>
  <c r="J1403" i="2"/>
  <c r="J1404" i="2"/>
  <c r="J1405" i="2"/>
  <c r="J1406" i="2"/>
  <c r="J1407" i="2"/>
  <c r="J1408" i="2"/>
  <c r="J1409" i="2"/>
  <c r="J1410" i="2"/>
  <c r="J1411" i="2"/>
  <c r="J1412" i="2"/>
  <c r="J1413" i="2"/>
  <c r="J1414" i="2"/>
  <c r="J1415" i="2"/>
  <c r="J1416" i="2"/>
  <c r="J1417" i="2"/>
  <c r="J1418" i="2"/>
  <c r="J1419" i="2"/>
  <c r="J1420" i="2"/>
  <c r="J1421" i="2"/>
  <c r="J1422" i="2"/>
  <c r="J1423" i="2"/>
  <c r="J1424" i="2"/>
  <c r="J1425" i="2"/>
  <c r="J1426" i="2"/>
  <c r="J1427" i="2"/>
  <c r="J1428" i="2"/>
  <c r="J1429" i="2"/>
  <c r="J1430" i="2"/>
  <c r="J1431" i="2"/>
  <c r="J1432" i="2"/>
  <c r="J1433" i="2"/>
  <c r="J1434" i="2"/>
  <c r="J1435" i="2"/>
  <c r="J1436" i="2"/>
  <c r="J1437" i="2"/>
  <c r="J1438" i="2"/>
  <c r="J1439" i="2"/>
  <c r="J1440" i="2"/>
  <c r="J1441" i="2"/>
  <c r="J1442" i="2"/>
  <c r="J1443" i="2"/>
  <c r="J1444" i="2"/>
  <c r="J1445" i="2"/>
  <c r="J1446" i="2"/>
  <c r="J1447" i="2"/>
  <c r="J1448" i="2"/>
  <c r="J1449" i="2"/>
  <c r="J1450" i="2"/>
  <c r="J1451" i="2"/>
  <c r="J1452" i="2"/>
  <c r="J1453" i="2"/>
  <c r="J1454" i="2"/>
  <c r="J1455" i="2"/>
  <c r="J1456" i="2"/>
  <c r="J1457" i="2"/>
  <c r="J1458" i="2"/>
  <c r="J1459" i="2"/>
  <c r="J1460" i="2"/>
  <c r="J1461" i="2"/>
  <c r="J1462" i="2"/>
  <c r="J1463" i="2"/>
  <c r="J1464" i="2"/>
  <c r="J1465" i="2"/>
  <c r="J1466" i="2"/>
  <c r="J1467" i="2"/>
  <c r="J1468" i="2"/>
  <c r="J1469" i="2"/>
  <c r="J1470" i="2"/>
  <c r="J1471" i="2"/>
  <c r="J1472" i="2"/>
  <c r="J1473" i="2"/>
  <c r="J1474" i="2"/>
  <c r="J1475" i="2"/>
  <c r="J1476" i="2"/>
  <c r="J1477" i="2"/>
  <c r="J1478" i="2"/>
  <c r="J1479" i="2"/>
  <c r="J1480" i="2"/>
  <c r="J1481" i="2"/>
  <c r="J1482" i="2"/>
  <c r="J1483" i="2"/>
  <c r="J1484" i="2"/>
  <c r="J1485" i="2"/>
  <c r="J1486" i="2"/>
  <c r="J1487" i="2"/>
  <c r="J1488" i="2"/>
  <c r="J1489" i="2"/>
  <c r="J1490" i="2"/>
  <c r="J1491" i="2"/>
  <c r="J1492" i="2"/>
  <c r="J1493" i="2"/>
  <c r="J1494" i="2"/>
  <c r="J1495" i="2"/>
  <c r="J1496" i="2"/>
  <c r="J1497" i="2"/>
  <c r="J1498" i="2"/>
  <c r="J1499" i="2"/>
  <c r="J1500" i="2"/>
  <c r="J1501" i="2"/>
  <c r="J1502" i="2"/>
  <c r="J1503" i="2"/>
  <c r="J1504" i="2"/>
  <c r="J1505" i="2"/>
  <c r="J1506" i="2"/>
  <c r="J1507" i="2"/>
  <c r="J1508" i="2"/>
  <c r="J1509" i="2"/>
  <c r="J1510" i="2"/>
  <c r="J1511" i="2"/>
  <c r="J1512" i="2"/>
  <c r="J1513" i="2"/>
  <c r="J1514" i="2"/>
  <c r="J1515" i="2"/>
  <c r="J1516" i="2"/>
  <c r="J1517" i="2"/>
  <c r="J1518" i="2"/>
  <c r="J1519" i="2"/>
  <c r="J1520" i="2"/>
  <c r="J1521" i="2"/>
  <c r="J1522" i="2"/>
  <c r="J1523" i="2"/>
  <c r="J1524" i="2"/>
  <c r="J1525" i="2"/>
  <c r="J1526" i="2"/>
  <c r="J1527" i="2"/>
  <c r="J1528" i="2"/>
  <c r="J1529" i="2"/>
  <c r="J1530" i="2"/>
  <c r="J1531" i="2"/>
  <c r="J1532" i="2"/>
  <c r="J1533" i="2"/>
  <c r="J1534" i="2"/>
  <c r="J1535" i="2"/>
  <c r="J1536" i="2"/>
  <c r="J1537" i="2"/>
  <c r="J1538" i="2"/>
  <c r="J1539" i="2"/>
  <c r="J1540" i="2"/>
  <c r="J1541" i="2"/>
  <c r="J1542" i="2"/>
  <c r="J1543" i="2"/>
  <c r="J1544" i="2"/>
  <c r="J1545" i="2"/>
  <c r="J1546" i="2"/>
  <c r="J1547" i="2"/>
  <c r="J1548" i="2"/>
  <c r="J1549" i="2"/>
  <c r="J1550" i="2"/>
  <c r="J1551" i="2"/>
  <c r="J1552" i="2"/>
  <c r="J1553" i="2"/>
  <c r="J1554" i="2"/>
  <c r="J1555" i="2"/>
  <c r="J1556" i="2"/>
  <c r="J1557" i="2"/>
  <c r="J1558" i="2"/>
  <c r="J1559" i="2"/>
  <c r="J1560" i="2"/>
  <c r="J1561" i="2"/>
  <c r="J1562" i="2"/>
  <c r="J1563" i="2"/>
  <c r="J1564" i="2"/>
  <c r="J1565" i="2"/>
  <c r="J1566" i="2"/>
  <c r="J1567" i="2"/>
  <c r="J1568" i="2"/>
  <c r="J1569" i="2"/>
  <c r="J1570" i="2"/>
  <c r="J1571" i="2"/>
  <c r="J1572" i="2"/>
  <c r="J1573" i="2"/>
  <c r="J1574" i="2"/>
  <c r="J1575" i="2"/>
  <c r="J1576" i="2"/>
  <c r="J1577" i="2"/>
  <c r="J1578" i="2"/>
  <c r="J1579" i="2"/>
  <c r="J1580" i="2"/>
  <c r="J1581" i="2"/>
  <c r="J1582" i="2"/>
  <c r="J1583" i="2"/>
  <c r="J1584" i="2"/>
  <c r="J1585" i="2"/>
  <c r="J1586" i="2"/>
  <c r="J1587" i="2"/>
  <c r="J1588" i="2"/>
  <c r="J1589" i="2"/>
  <c r="J1590" i="2"/>
  <c r="J1591" i="2"/>
  <c r="J1592" i="2"/>
  <c r="J1593" i="2"/>
  <c r="J1594" i="2"/>
  <c r="J1595" i="2"/>
  <c r="J1596" i="2"/>
  <c r="J1597" i="2"/>
  <c r="J1598" i="2"/>
  <c r="J1599" i="2"/>
  <c r="J1600" i="2"/>
  <c r="J1601" i="2"/>
  <c r="J1602" i="2"/>
  <c r="J1603" i="2"/>
  <c r="J1604" i="2"/>
  <c r="J1605" i="2"/>
  <c r="J1606" i="2"/>
  <c r="J1607" i="2"/>
  <c r="J1608" i="2"/>
  <c r="J1609" i="2"/>
  <c r="J1610" i="2"/>
  <c r="J1611" i="2"/>
  <c r="J1612" i="2"/>
  <c r="J1613" i="2"/>
  <c r="J1614" i="2"/>
  <c r="J1615" i="2"/>
  <c r="J1616" i="2"/>
  <c r="J1617" i="2"/>
  <c r="J1618" i="2"/>
  <c r="J1619" i="2"/>
  <c r="J1620" i="2"/>
  <c r="J1621" i="2"/>
  <c r="J1622" i="2"/>
  <c r="J1623" i="2"/>
  <c r="J1624" i="2"/>
  <c r="J1625" i="2"/>
  <c r="J1626" i="2"/>
  <c r="J1627" i="2"/>
  <c r="J1628" i="2"/>
  <c r="J1629" i="2"/>
  <c r="J1630" i="2"/>
  <c r="J1631" i="2"/>
  <c r="J1632" i="2"/>
  <c r="J1633" i="2"/>
  <c r="J1634" i="2"/>
  <c r="J1635" i="2"/>
  <c r="J1636" i="2"/>
  <c r="J1637" i="2"/>
  <c r="J1638" i="2"/>
  <c r="J1639" i="2"/>
  <c r="J1640" i="2"/>
  <c r="J1641" i="2"/>
  <c r="J1642" i="2"/>
  <c r="J1643" i="2"/>
  <c r="J1644" i="2"/>
  <c r="J1645" i="2"/>
  <c r="J1646" i="2"/>
  <c r="J1647" i="2"/>
  <c r="J1648" i="2"/>
  <c r="J1649" i="2"/>
  <c r="J1650" i="2"/>
  <c r="J1651" i="2"/>
  <c r="J1652" i="2"/>
  <c r="J1653" i="2"/>
  <c r="J1654" i="2"/>
  <c r="J1655" i="2"/>
  <c r="J1656" i="2"/>
  <c r="J1657" i="2"/>
  <c r="J1658" i="2"/>
  <c r="J1659" i="2"/>
  <c r="J1660" i="2"/>
  <c r="J1661" i="2"/>
  <c r="J1662" i="2"/>
  <c r="J1663" i="2"/>
  <c r="J1664" i="2"/>
  <c r="J1665" i="2"/>
  <c r="J1666" i="2"/>
  <c r="J1667" i="2"/>
  <c r="J1668" i="2"/>
  <c r="J1669" i="2"/>
  <c r="J1670" i="2"/>
  <c r="J1671" i="2"/>
  <c r="J1672" i="2"/>
  <c r="J1673" i="2"/>
  <c r="J1674" i="2"/>
  <c r="J1675" i="2"/>
  <c r="J1676" i="2"/>
  <c r="J1677" i="2"/>
  <c r="J1678" i="2"/>
  <c r="J1679" i="2"/>
  <c r="J1680" i="2"/>
  <c r="J1681" i="2"/>
  <c r="J1682" i="2"/>
  <c r="J1683" i="2"/>
  <c r="J1684" i="2"/>
  <c r="J1685" i="2"/>
  <c r="J1686" i="2"/>
  <c r="J1687" i="2"/>
  <c r="J1688" i="2"/>
  <c r="J1689" i="2"/>
  <c r="J1690" i="2"/>
  <c r="J1691" i="2"/>
  <c r="J1692" i="2"/>
  <c r="J1693" i="2"/>
  <c r="J1694" i="2"/>
  <c r="J1695" i="2"/>
  <c r="J1696" i="2"/>
  <c r="J1697" i="2"/>
  <c r="J1698" i="2"/>
  <c r="J1699" i="2"/>
  <c r="J1700" i="2"/>
  <c r="J1701" i="2"/>
  <c r="J1702" i="2"/>
  <c r="J1703" i="2"/>
  <c r="J1704" i="2"/>
  <c r="J1705" i="2"/>
  <c r="J1706" i="2"/>
  <c r="J1707" i="2"/>
  <c r="J1708" i="2"/>
  <c r="J1709" i="2"/>
  <c r="J1710" i="2"/>
  <c r="J1711" i="2"/>
  <c r="J1712" i="2"/>
  <c r="J1713" i="2"/>
  <c r="J1714" i="2"/>
  <c r="J1715" i="2"/>
  <c r="J1716" i="2"/>
  <c r="J1717" i="2"/>
  <c r="J1718" i="2"/>
  <c r="J1719" i="2"/>
  <c r="J1720" i="2"/>
  <c r="J1721" i="2"/>
  <c r="J1722" i="2"/>
  <c r="J1723" i="2"/>
  <c r="J1724" i="2"/>
  <c r="J1725" i="2"/>
  <c r="J1726" i="2"/>
  <c r="J1727" i="2"/>
  <c r="J1728" i="2"/>
  <c r="J1729" i="2"/>
  <c r="J1730" i="2"/>
  <c r="J1731" i="2"/>
  <c r="J1732" i="2"/>
  <c r="J1733" i="2"/>
  <c r="J1734" i="2"/>
  <c r="J1735" i="2"/>
  <c r="J1736" i="2"/>
  <c r="J1737" i="2"/>
  <c r="J1738" i="2"/>
  <c r="J1739" i="2"/>
  <c r="J1740" i="2"/>
  <c r="J1741" i="2"/>
  <c r="J1742" i="2"/>
  <c r="J1743" i="2"/>
  <c r="J1744" i="2"/>
  <c r="J1745" i="2"/>
  <c r="J1746" i="2"/>
  <c r="J1747" i="2"/>
  <c r="J1748" i="2"/>
  <c r="J1749" i="2"/>
  <c r="J1750" i="2"/>
  <c r="J1751" i="2"/>
  <c r="J1752" i="2"/>
  <c r="J1753" i="2"/>
  <c r="J1754" i="2"/>
  <c r="J1755" i="2"/>
  <c r="J1756" i="2"/>
  <c r="J1757" i="2"/>
  <c r="J1758" i="2"/>
  <c r="J1759" i="2"/>
  <c r="J1760" i="2"/>
  <c r="J1761" i="2"/>
  <c r="J1762" i="2"/>
  <c r="J1763" i="2"/>
  <c r="J1764" i="2"/>
  <c r="J1765" i="2"/>
  <c r="J1766" i="2"/>
  <c r="J1767" i="2"/>
  <c r="J1768" i="2"/>
  <c r="J1769" i="2"/>
  <c r="J1770" i="2"/>
  <c r="J1771" i="2"/>
  <c r="J1772" i="2"/>
  <c r="J1773" i="2"/>
  <c r="J1774" i="2"/>
  <c r="J1775" i="2"/>
  <c r="J1776" i="2"/>
  <c r="J1777" i="2"/>
  <c r="J1778" i="2"/>
  <c r="J1779" i="2"/>
  <c r="J1780" i="2"/>
  <c r="J1781" i="2"/>
  <c r="J1782" i="2"/>
  <c r="J1783" i="2"/>
  <c r="J1784" i="2"/>
  <c r="J1785" i="2"/>
  <c r="J1786" i="2"/>
  <c r="J1787" i="2"/>
  <c r="J1788" i="2"/>
  <c r="J1789" i="2"/>
  <c r="J1790" i="2"/>
  <c r="J1791" i="2"/>
  <c r="J1792" i="2"/>
  <c r="J1793" i="2"/>
  <c r="J1794" i="2"/>
  <c r="J1795" i="2"/>
  <c r="J1796" i="2"/>
  <c r="J1797" i="2"/>
  <c r="J1798" i="2"/>
  <c r="J1799" i="2"/>
  <c r="J1800" i="2"/>
  <c r="J1801" i="2"/>
  <c r="J1802" i="2"/>
  <c r="J1803" i="2"/>
  <c r="J1804" i="2"/>
  <c r="J1805" i="2"/>
  <c r="J1806" i="2"/>
  <c r="J1807" i="2"/>
  <c r="J1808" i="2"/>
  <c r="J1809" i="2"/>
  <c r="J1810" i="2"/>
  <c r="J1811" i="2"/>
  <c r="J1812" i="2"/>
  <c r="J1813" i="2"/>
  <c r="J1814" i="2"/>
  <c r="J1815" i="2"/>
  <c r="J1816" i="2"/>
  <c r="J1817" i="2"/>
  <c r="J1818" i="2"/>
  <c r="J1819" i="2"/>
  <c r="J1820" i="2"/>
  <c r="J1821" i="2"/>
  <c r="J1822" i="2"/>
  <c r="J1823" i="2"/>
  <c r="J1824" i="2"/>
  <c r="J1825" i="2"/>
  <c r="J1826" i="2"/>
  <c r="J1827" i="2"/>
  <c r="J1828" i="2"/>
  <c r="J1829" i="2"/>
  <c r="J1830" i="2"/>
  <c r="J1831" i="2"/>
  <c r="J1832" i="2"/>
  <c r="J1833" i="2"/>
  <c r="J1834" i="2"/>
  <c r="J1835" i="2"/>
  <c r="J1836" i="2"/>
  <c r="J1837" i="2"/>
  <c r="J1838" i="2"/>
  <c r="J1839" i="2"/>
  <c r="J1840" i="2"/>
  <c r="J1841" i="2"/>
  <c r="J1842" i="2"/>
  <c r="J1843" i="2"/>
  <c r="J1844" i="2"/>
  <c r="J1845" i="2"/>
  <c r="J1846" i="2"/>
  <c r="J1847" i="2"/>
  <c r="J1848" i="2"/>
  <c r="J1849" i="2"/>
  <c r="J1850" i="2"/>
  <c r="J1851" i="2"/>
  <c r="J1852" i="2"/>
  <c r="J1853" i="2"/>
  <c r="J1854" i="2"/>
  <c r="J1855" i="2"/>
  <c r="J1856" i="2"/>
  <c r="J1857" i="2"/>
  <c r="J1858" i="2"/>
  <c r="J1859" i="2"/>
  <c r="J1860" i="2"/>
  <c r="J1861" i="2"/>
  <c r="J1862" i="2"/>
  <c r="J1863" i="2"/>
  <c r="J1864" i="2"/>
  <c r="J1865" i="2"/>
  <c r="J1866" i="2"/>
  <c r="J1867" i="2"/>
  <c r="J1868" i="2"/>
  <c r="J1869" i="2"/>
  <c r="J1870" i="2"/>
  <c r="J1871" i="2"/>
  <c r="J1872" i="2"/>
  <c r="J1873" i="2"/>
  <c r="J1874" i="2"/>
  <c r="J1875" i="2"/>
  <c r="J1876" i="2"/>
  <c r="J1877" i="2"/>
  <c r="J1878" i="2"/>
  <c r="J1879" i="2"/>
  <c r="J1880" i="2"/>
  <c r="J1881" i="2"/>
  <c r="J1882" i="2"/>
  <c r="J1883" i="2"/>
  <c r="J1884" i="2"/>
  <c r="J1885" i="2"/>
  <c r="J1886" i="2"/>
  <c r="J1887" i="2"/>
  <c r="J1888" i="2"/>
  <c r="J1889" i="2"/>
  <c r="J1890" i="2"/>
  <c r="J1891" i="2"/>
  <c r="J1892" i="2"/>
  <c r="J1893" i="2"/>
  <c r="J1894" i="2"/>
  <c r="J1895" i="2"/>
  <c r="J1896" i="2"/>
  <c r="J1897" i="2"/>
  <c r="J1898" i="2"/>
  <c r="J1899" i="2"/>
  <c r="J1900" i="2"/>
  <c r="J1901" i="2"/>
  <c r="J1902" i="2"/>
  <c r="J1903" i="2"/>
  <c r="J1904" i="2"/>
  <c r="J1905" i="2"/>
  <c r="J1906" i="2"/>
  <c r="J1907" i="2"/>
  <c r="J1908" i="2"/>
  <c r="J1909" i="2"/>
  <c r="J1910" i="2"/>
  <c r="J1911" i="2"/>
  <c r="J1912" i="2"/>
  <c r="J1913" i="2"/>
  <c r="J1914" i="2"/>
  <c r="J1915" i="2"/>
  <c r="J1916" i="2"/>
  <c r="J1917" i="2"/>
  <c r="J1918" i="2"/>
  <c r="J1919" i="2"/>
  <c r="J1920" i="2"/>
  <c r="J1921" i="2"/>
  <c r="J1922" i="2"/>
  <c r="J1923" i="2"/>
  <c r="J1924" i="2"/>
  <c r="J1925" i="2"/>
  <c r="J1926" i="2"/>
  <c r="J1927" i="2"/>
  <c r="J1928" i="2"/>
  <c r="J1929" i="2"/>
  <c r="J1930" i="2"/>
  <c r="J1931" i="2"/>
  <c r="J1932" i="2"/>
  <c r="J1933" i="2"/>
  <c r="J1934" i="2"/>
  <c r="J1935" i="2"/>
  <c r="J1936" i="2"/>
  <c r="J1937" i="2"/>
  <c r="J1938" i="2"/>
  <c r="J1939" i="2"/>
  <c r="J1940" i="2"/>
  <c r="J1941" i="2"/>
  <c r="J1942" i="2"/>
  <c r="J1943" i="2"/>
  <c r="J1944" i="2"/>
  <c r="J1945" i="2"/>
  <c r="J1946" i="2"/>
  <c r="J1947" i="2"/>
  <c r="J1948" i="2"/>
  <c r="J1949" i="2"/>
  <c r="J1950" i="2"/>
  <c r="J1951" i="2"/>
  <c r="J1952" i="2"/>
  <c r="J1953" i="2"/>
  <c r="J1954" i="2"/>
  <c r="J1955" i="2"/>
  <c r="J1956" i="2"/>
  <c r="J1957" i="2"/>
  <c r="J1958" i="2"/>
  <c r="J1959" i="2"/>
  <c r="J1960" i="2"/>
  <c r="J1961" i="2"/>
  <c r="J1962" i="2"/>
  <c r="J1963" i="2"/>
  <c r="J1964" i="2"/>
  <c r="J1965" i="2"/>
  <c r="J1966" i="2"/>
  <c r="J1967" i="2"/>
  <c r="J1968" i="2"/>
  <c r="J1969" i="2"/>
  <c r="J1970" i="2"/>
  <c r="J1971" i="2"/>
  <c r="J1972" i="2"/>
  <c r="J1973" i="2"/>
  <c r="J1974" i="2"/>
  <c r="J1975" i="2"/>
  <c r="J1976" i="2"/>
  <c r="J1977" i="2"/>
  <c r="J1978" i="2"/>
  <c r="J1979" i="2"/>
  <c r="J1980" i="2"/>
  <c r="J1981" i="2"/>
  <c r="J1982" i="2"/>
  <c r="J1983" i="2"/>
  <c r="J1984" i="2"/>
  <c r="J1985" i="2"/>
  <c r="J1986" i="2"/>
  <c r="J1987" i="2"/>
  <c r="J1988" i="2"/>
  <c r="J1989" i="2"/>
  <c r="J1990" i="2"/>
  <c r="J1991" i="2"/>
  <c r="J1992" i="2"/>
  <c r="J1993" i="2"/>
  <c r="J1994" i="2"/>
  <c r="J1995" i="2"/>
  <c r="J1996" i="2"/>
  <c r="J1997" i="2"/>
  <c r="J1998" i="2"/>
  <c r="J1999" i="2"/>
  <c r="J2000" i="2"/>
  <c r="J2001" i="2"/>
  <c r="J2002" i="2"/>
  <c r="J2003" i="2"/>
  <c r="J200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1503" i="2"/>
  <c r="G1504" i="2"/>
  <c r="G1505" i="2"/>
  <c r="G1506" i="2"/>
  <c r="G1507" i="2"/>
  <c r="G1508" i="2"/>
  <c r="G1509" i="2"/>
  <c r="G1510" i="2"/>
  <c r="G1511" i="2"/>
  <c r="G1512" i="2"/>
  <c r="G1513" i="2"/>
  <c r="G1514" i="2"/>
  <c r="G1515" i="2"/>
  <c r="G1516" i="2"/>
  <c r="G1517" i="2"/>
  <c r="G1518" i="2"/>
  <c r="G1519" i="2"/>
  <c r="G1520" i="2"/>
  <c r="G1521" i="2"/>
  <c r="G1522" i="2"/>
  <c r="G1523" i="2"/>
  <c r="G1524" i="2"/>
  <c r="G1525" i="2"/>
  <c r="G1526" i="2"/>
  <c r="G1527" i="2"/>
  <c r="G1528" i="2"/>
  <c r="G1529" i="2"/>
  <c r="G1530" i="2"/>
  <c r="G1531" i="2"/>
  <c r="G1532" i="2"/>
  <c r="G1533" i="2"/>
  <c r="G1534" i="2"/>
  <c r="G1535" i="2"/>
  <c r="G1536" i="2"/>
  <c r="G1537" i="2"/>
  <c r="G1538" i="2"/>
  <c r="G1539" i="2"/>
  <c r="G1540" i="2"/>
  <c r="G1541" i="2"/>
  <c r="G1542" i="2"/>
  <c r="G1543" i="2"/>
  <c r="G1544" i="2"/>
  <c r="G1545" i="2"/>
  <c r="G1546" i="2"/>
  <c r="G1547" i="2"/>
  <c r="G1548" i="2"/>
  <c r="G1549" i="2"/>
  <c r="G1550" i="2"/>
  <c r="G1551" i="2"/>
  <c r="G1552" i="2"/>
  <c r="G1553" i="2"/>
  <c r="G1554" i="2"/>
  <c r="G1555" i="2"/>
  <c r="G1556" i="2"/>
  <c r="G1557" i="2"/>
  <c r="G1558" i="2"/>
  <c r="G1559" i="2"/>
  <c r="G1560" i="2"/>
  <c r="G1561" i="2"/>
  <c r="G1562" i="2"/>
  <c r="G1563" i="2"/>
  <c r="G1564" i="2"/>
  <c r="G1565" i="2"/>
  <c r="G1566" i="2"/>
  <c r="G1567" i="2"/>
  <c r="G1568" i="2"/>
  <c r="G1569" i="2"/>
  <c r="G1570" i="2"/>
  <c r="G1571" i="2"/>
  <c r="G1572" i="2"/>
  <c r="G1573" i="2"/>
  <c r="G1574" i="2"/>
  <c r="G1575" i="2"/>
  <c r="G1576" i="2"/>
  <c r="G1577" i="2"/>
  <c r="G1578" i="2"/>
  <c r="G1579" i="2"/>
  <c r="G1580" i="2"/>
  <c r="G1581" i="2"/>
  <c r="G1582" i="2"/>
  <c r="G1583" i="2"/>
  <c r="G1584" i="2"/>
  <c r="G1585" i="2"/>
  <c r="G1586" i="2"/>
  <c r="G1587" i="2"/>
  <c r="G1588" i="2"/>
  <c r="G1589" i="2"/>
  <c r="G1590" i="2"/>
  <c r="G1591" i="2"/>
  <c r="G1592" i="2"/>
  <c r="G1593" i="2"/>
  <c r="G1594" i="2"/>
  <c r="G1595" i="2"/>
  <c r="G1596" i="2"/>
  <c r="G1597" i="2"/>
  <c r="G1598" i="2"/>
  <c r="G1599" i="2"/>
  <c r="G1600" i="2"/>
  <c r="G1601" i="2"/>
  <c r="G1602" i="2"/>
  <c r="G1603" i="2"/>
  <c r="G1604" i="2"/>
  <c r="G1605" i="2"/>
  <c r="G1606" i="2"/>
  <c r="G1607" i="2"/>
  <c r="G1608" i="2"/>
  <c r="G1609" i="2"/>
  <c r="G1610" i="2"/>
  <c r="G1611" i="2"/>
  <c r="G1612" i="2"/>
  <c r="G1613" i="2"/>
  <c r="G1614" i="2"/>
  <c r="G1615" i="2"/>
  <c r="G1616" i="2"/>
  <c r="G1617" i="2"/>
  <c r="G1618" i="2"/>
  <c r="G1619" i="2"/>
  <c r="G1620" i="2"/>
  <c r="G1621" i="2"/>
  <c r="G1622" i="2"/>
  <c r="G1623" i="2"/>
  <c r="G1624" i="2"/>
  <c r="G1625" i="2"/>
  <c r="G1626" i="2"/>
  <c r="G1627" i="2"/>
  <c r="G1628" i="2"/>
  <c r="G1629" i="2"/>
  <c r="G1630" i="2"/>
  <c r="G1631" i="2"/>
  <c r="G1632" i="2"/>
  <c r="G1633" i="2"/>
  <c r="G1634" i="2"/>
  <c r="G1635" i="2"/>
  <c r="G1636" i="2"/>
  <c r="G1637" i="2"/>
  <c r="G1638" i="2"/>
  <c r="G1639" i="2"/>
  <c r="G1640" i="2"/>
  <c r="G1641" i="2"/>
  <c r="G1642" i="2"/>
  <c r="G1643" i="2"/>
  <c r="G1644" i="2"/>
  <c r="G1645" i="2"/>
  <c r="G1646" i="2"/>
  <c r="G1647" i="2"/>
  <c r="G1648" i="2"/>
  <c r="G1649" i="2"/>
  <c r="G1650" i="2"/>
  <c r="G1651" i="2"/>
  <c r="G1652" i="2"/>
  <c r="G1653" i="2"/>
  <c r="G1654" i="2"/>
  <c r="G1655" i="2"/>
  <c r="G1656" i="2"/>
  <c r="G1657" i="2"/>
  <c r="G1658" i="2"/>
  <c r="G1659" i="2"/>
  <c r="G1660" i="2"/>
  <c r="G1661" i="2"/>
  <c r="G1662" i="2"/>
  <c r="G1663" i="2"/>
  <c r="G1664" i="2"/>
  <c r="G1665" i="2"/>
  <c r="G1666" i="2"/>
  <c r="G1667" i="2"/>
  <c r="G1668" i="2"/>
  <c r="G1669" i="2"/>
  <c r="G1670" i="2"/>
  <c r="G1671" i="2"/>
  <c r="G1672" i="2"/>
  <c r="G1673" i="2"/>
  <c r="G1674" i="2"/>
  <c r="G1675" i="2"/>
  <c r="G1676" i="2"/>
  <c r="G1677" i="2"/>
  <c r="G1678" i="2"/>
  <c r="G1679" i="2"/>
  <c r="G1680" i="2"/>
  <c r="G1681" i="2"/>
  <c r="G1682" i="2"/>
  <c r="G1683" i="2"/>
  <c r="G1684" i="2"/>
  <c r="G1685" i="2"/>
  <c r="G1686" i="2"/>
  <c r="G1687" i="2"/>
  <c r="G1688" i="2"/>
  <c r="G1689" i="2"/>
  <c r="G1690" i="2"/>
  <c r="G1691" i="2"/>
  <c r="G1692" i="2"/>
  <c r="G1693" i="2"/>
  <c r="G1694" i="2"/>
  <c r="G1695" i="2"/>
  <c r="G1696" i="2"/>
  <c r="G1697" i="2"/>
  <c r="G1698" i="2"/>
  <c r="G1699" i="2"/>
  <c r="G1700" i="2"/>
  <c r="G1701" i="2"/>
  <c r="G1702" i="2"/>
  <c r="G1703" i="2"/>
  <c r="G1704" i="2"/>
  <c r="G1705" i="2"/>
  <c r="G1706" i="2"/>
  <c r="G1707" i="2"/>
  <c r="G1708" i="2"/>
  <c r="G1709" i="2"/>
  <c r="G1710" i="2"/>
  <c r="G1711" i="2"/>
  <c r="G1712" i="2"/>
  <c r="G1713" i="2"/>
  <c r="G1714" i="2"/>
  <c r="G1715" i="2"/>
  <c r="G1716" i="2"/>
  <c r="G1717" i="2"/>
  <c r="G1718" i="2"/>
  <c r="G1719" i="2"/>
  <c r="G1720" i="2"/>
  <c r="G1721" i="2"/>
  <c r="G1722" i="2"/>
  <c r="G1723" i="2"/>
  <c r="G1724" i="2"/>
  <c r="G1725" i="2"/>
  <c r="G1726" i="2"/>
  <c r="G1727" i="2"/>
  <c r="G1728" i="2"/>
  <c r="G1729" i="2"/>
  <c r="G1730" i="2"/>
  <c r="G1731" i="2"/>
  <c r="G1732" i="2"/>
  <c r="G1733" i="2"/>
  <c r="G1734" i="2"/>
  <c r="G1735" i="2"/>
  <c r="G1736" i="2"/>
  <c r="G1737" i="2"/>
  <c r="G1738" i="2"/>
  <c r="G1739" i="2"/>
  <c r="G1740" i="2"/>
  <c r="G1741" i="2"/>
  <c r="G1742" i="2"/>
  <c r="G1743" i="2"/>
  <c r="G1744" i="2"/>
  <c r="G1745" i="2"/>
  <c r="G1746" i="2"/>
  <c r="G1747" i="2"/>
  <c r="G1748" i="2"/>
  <c r="G1749" i="2"/>
  <c r="G1750" i="2"/>
  <c r="G1751" i="2"/>
  <c r="G1752" i="2"/>
  <c r="G1753" i="2"/>
  <c r="G1754" i="2"/>
  <c r="G1755" i="2"/>
  <c r="G1756" i="2"/>
  <c r="G1757" i="2"/>
  <c r="G1758" i="2"/>
  <c r="G1759" i="2"/>
  <c r="G1760" i="2"/>
  <c r="G1761" i="2"/>
  <c r="G1762" i="2"/>
  <c r="G1763" i="2"/>
  <c r="G1764" i="2"/>
  <c r="G1765" i="2"/>
  <c r="G1766" i="2"/>
  <c r="G1767" i="2"/>
  <c r="G1768" i="2"/>
  <c r="G1769" i="2"/>
  <c r="G1770" i="2"/>
  <c r="G1771" i="2"/>
  <c r="G1772" i="2"/>
  <c r="G1773" i="2"/>
  <c r="G1774" i="2"/>
  <c r="G1775" i="2"/>
  <c r="G1776" i="2"/>
  <c r="G1777" i="2"/>
  <c r="G1778" i="2"/>
  <c r="G1779" i="2"/>
  <c r="G1780" i="2"/>
  <c r="G1781" i="2"/>
  <c r="G1782" i="2"/>
  <c r="G1783" i="2"/>
  <c r="G1784" i="2"/>
  <c r="G1785" i="2"/>
  <c r="G1786" i="2"/>
  <c r="G1787" i="2"/>
  <c r="G1788" i="2"/>
  <c r="G1789" i="2"/>
  <c r="G1790" i="2"/>
  <c r="G1791" i="2"/>
  <c r="G1792" i="2"/>
  <c r="G1793" i="2"/>
  <c r="G1794" i="2"/>
  <c r="G1795" i="2"/>
  <c r="G1796" i="2"/>
  <c r="G1797" i="2"/>
  <c r="G1798" i="2"/>
  <c r="G1799" i="2"/>
  <c r="G1800" i="2"/>
  <c r="G1801" i="2"/>
  <c r="G1802" i="2"/>
  <c r="G1803" i="2"/>
  <c r="G1804" i="2"/>
  <c r="G1805" i="2"/>
  <c r="G1806" i="2"/>
  <c r="G1807" i="2"/>
  <c r="G1808" i="2"/>
  <c r="G1809" i="2"/>
  <c r="G1810" i="2"/>
  <c r="G1811" i="2"/>
  <c r="G1812" i="2"/>
  <c r="G1813" i="2"/>
  <c r="G1814" i="2"/>
  <c r="G1815" i="2"/>
  <c r="G1816" i="2"/>
  <c r="G1817" i="2"/>
  <c r="G1818" i="2"/>
  <c r="G1819" i="2"/>
  <c r="G1820" i="2"/>
  <c r="G1821" i="2"/>
  <c r="G1822" i="2"/>
  <c r="G1823" i="2"/>
  <c r="G1824" i="2"/>
  <c r="G1825" i="2"/>
  <c r="G1826" i="2"/>
  <c r="G1827" i="2"/>
  <c r="G1828" i="2"/>
  <c r="G1829" i="2"/>
  <c r="G1830" i="2"/>
  <c r="G1831" i="2"/>
  <c r="G1832" i="2"/>
  <c r="G1833" i="2"/>
  <c r="G1834" i="2"/>
  <c r="G1835" i="2"/>
  <c r="G1836" i="2"/>
  <c r="G1837" i="2"/>
  <c r="G1838" i="2"/>
  <c r="G1839" i="2"/>
  <c r="G1840" i="2"/>
  <c r="G1841" i="2"/>
  <c r="G1842" i="2"/>
  <c r="G1843" i="2"/>
  <c r="G1844" i="2"/>
  <c r="G1845" i="2"/>
  <c r="G1846" i="2"/>
  <c r="G1847" i="2"/>
  <c r="G1848" i="2"/>
  <c r="G1849" i="2"/>
  <c r="G1850" i="2"/>
  <c r="G1851" i="2"/>
  <c r="G1852" i="2"/>
  <c r="G1853" i="2"/>
  <c r="G1854" i="2"/>
  <c r="G1855" i="2"/>
  <c r="G1856" i="2"/>
  <c r="G1857" i="2"/>
  <c r="G1858" i="2"/>
  <c r="G1859" i="2"/>
  <c r="G1860" i="2"/>
  <c r="G1861" i="2"/>
  <c r="G1862" i="2"/>
  <c r="G1863" i="2"/>
  <c r="G1864" i="2"/>
  <c r="G1865" i="2"/>
  <c r="G1866" i="2"/>
  <c r="G1867" i="2"/>
  <c r="G1868" i="2"/>
  <c r="G1869" i="2"/>
  <c r="G1870" i="2"/>
  <c r="G1871" i="2"/>
  <c r="G1872" i="2"/>
  <c r="G1873" i="2"/>
  <c r="G1874" i="2"/>
  <c r="G1875" i="2"/>
  <c r="G1876" i="2"/>
  <c r="G1877" i="2"/>
  <c r="G1878" i="2"/>
  <c r="G1879" i="2"/>
  <c r="G1880" i="2"/>
  <c r="G1881" i="2"/>
  <c r="G1882" i="2"/>
  <c r="G1883" i="2"/>
  <c r="G1884" i="2"/>
  <c r="G1885" i="2"/>
  <c r="G1886" i="2"/>
  <c r="G1887" i="2"/>
  <c r="G1888" i="2"/>
  <c r="G1889" i="2"/>
  <c r="G1890" i="2"/>
  <c r="G1891" i="2"/>
  <c r="G1892" i="2"/>
  <c r="G1893" i="2"/>
  <c r="G1894" i="2"/>
  <c r="G1895" i="2"/>
  <c r="G1896" i="2"/>
  <c r="G1897" i="2"/>
  <c r="G1898" i="2"/>
  <c r="G1899" i="2"/>
  <c r="G1900" i="2"/>
  <c r="G1901" i="2"/>
  <c r="G1902" i="2"/>
  <c r="G1903" i="2"/>
  <c r="G1904" i="2"/>
  <c r="G1905" i="2"/>
  <c r="G1906" i="2"/>
  <c r="G1907" i="2"/>
  <c r="G1908" i="2"/>
  <c r="G1909" i="2"/>
  <c r="G1910" i="2"/>
  <c r="G1911" i="2"/>
  <c r="G1912" i="2"/>
  <c r="G1913" i="2"/>
  <c r="G1914" i="2"/>
  <c r="G1915" i="2"/>
  <c r="G1916" i="2"/>
  <c r="G1917" i="2"/>
  <c r="G1918" i="2"/>
  <c r="G1919" i="2"/>
  <c r="G1920" i="2"/>
  <c r="G1921" i="2"/>
  <c r="G1922" i="2"/>
  <c r="G1923" i="2"/>
  <c r="G1924" i="2"/>
  <c r="G1925" i="2"/>
  <c r="G1926" i="2"/>
  <c r="G1927" i="2"/>
  <c r="G1928" i="2"/>
  <c r="G1929" i="2"/>
  <c r="G1930" i="2"/>
  <c r="G1931" i="2"/>
  <c r="G1932" i="2"/>
  <c r="G1933" i="2"/>
  <c r="G1934" i="2"/>
  <c r="G1935" i="2"/>
  <c r="G1936" i="2"/>
  <c r="G1937" i="2"/>
  <c r="G1938" i="2"/>
  <c r="G1939" i="2"/>
  <c r="G1940" i="2"/>
  <c r="G1941" i="2"/>
  <c r="G1942" i="2"/>
  <c r="G1943" i="2"/>
  <c r="G1944" i="2"/>
  <c r="G1945" i="2"/>
  <c r="G1946" i="2"/>
  <c r="G1947" i="2"/>
  <c r="G1948" i="2"/>
  <c r="G1949" i="2"/>
  <c r="G1950" i="2"/>
  <c r="G1951" i="2"/>
  <c r="G1952" i="2"/>
  <c r="G1953" i="2"/>
  <c r="G1954" i="2"/>
  <c r="G1955" i="2"/>
  <c r="G1956" i="2"/>
  <c r="G1957" i="2"/>
  <c r="G1958" i="2"/>
  <c r="G1959" i="2"/>
  <c r="G1960" i="2"/>
  <c r="G1961" i="2"/>
  <c r="G1962" i="2"/>
  <c r="G1963" i="2"/>
  <c r="G1964" i="2"/>
  <c r="G1965" i="2"/>
  <c r="G1966" i="2"/>
  <c r="G1967" i="2"/>
  <c r="G1968" i="2"/>
  <c r="G1969" i="2"/>
  <c r="G1970" i="2"/>
  <c r="G1971" i="2"/>
  <c r="G1972" i="2"/>
  <c r="G1973" i="2"/>
  <c r="G1974" i="2"/>
  <c r="G1975" i="2"/>
  <c r="G1976" i="2"/>
  <c r="G1977" i="2"/>
  <c r="G1978" i="2"/>
  <c r="G1979" i="2"/>
  <c r="G1980" i="2"/>
  <c r="G1981" i="2"/>
  <c r="G1982" i="2"/>
  <c r="G1983" i="2"/>
  <c r="G1984" i="2"/>
  <c r="G1985" i="2"/>
  <c r="G1986" i="2"/>
  <c r="G1987" i="2"/>
  <c r="G1988" i="2"/>
  <c r="G1989" i="2"/>
  <c r="G1990" i="2"/>
  <c r="G1991" i="2"/>
  <c r="G1992" i="2"/>
  <c r="G1993" i="2"/>
  <c r="G1994" i="2"/>
  <c r="G1995" i="2"/>
  <c r="G1996" i="2"/>
  <c r="G1997" i="2"/>
  <c r="G1998" i="2"/>
  <c r="G1999" i="2"/>
  <c r="G2000" i="2"/>
  <c r="G2001" i="2"/>
  <c r="G2002" i="2"/>
  <c r="G2003" i="2"/>
  <c r="G200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5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2" i="2"/>
  <c r="F993" i="2"/>
  <c r="F994" i="2"/>
  <c r="F995" i="2"/>
  <c r="F996" i="2"/>
  <c r="F997" i="2"/>
  <c r="F998" i="2"/>
  <c r="F999" i="2"/>
  <c r="F1000" i="2"/>
  <c r="F1001" i="2"/>
  <c r="F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F1034" i="2"/>
  <c r="F1035" i="2"/>
  <c r="F1036" i="2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3" i="2"/>
  <c r="F1054" i="2"/>
  <c r="F1055" i="2"/>
  <c r="F1056" i="2"/>
  <c r="F1057" i="2"/>
  <c r="F1058" i="2"/>
  <c r="F1059" i="2"/>
  <c r="F1060" i="2"/>
  <c r="F1061" i="2"/>
  <c r="F1062" i="2"/>
  <c r="F1063" i="2"/>
  <c r="F1064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6" i="2"/>
  <c r="F1087" i="2"/>
  <c r="F1088" i="2"/>
  <c r="F1089" i="2"/>
  <c r="F1090" i="2"/>
  <c r="F1091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F1110" i="2"/>
  <c r="F1111" i="2"/>
  <c r="F1112" i="2"/>
  <c r="F1113" i="2"/>
  <c r="F1114" i="2"/>
  <c r="F1115" i="2"/>
  <c r="F1116" i="2"/>
  <c r="F1117" i="2"/>
  <c r="F1118" i="2"/>
  <c r="F1119" i="2"/>
  <c r="F1120" i="2"/>
  <c r="F1121" i="2"/>
  <c r="F1122" i="2"/>
  <c r="F1123" i="2"/>
  <c r="F1124" i="2"/>
  <c r="F1125" i="2"/>
  <c r="F1126" i="2"/>
  <c r="F1127" i="2"/>
  <c r="F1128" i="2"/>
  <c r="F1129" i="2"/>
  <c r="F1130" i="2"/>
  <c r="F1131" i="2"/>
  <c r="F1132" i="2"/>
  <c r="F1133" i="2"/>
  <c r="F1134" i="2"/>
  <c r="F1135" i="2"/>
  <c r="F1136" i="2"/>
  <c r="F1137" i="2"/>
  <c r="F1138" i="2"/>
  <c r="F1139" i="2"/>
  <c r="F1140" i="2"/>
  <c r="F1141" i="2"/>
  <c r="F1142" i="2"/>
  <c r="F1143" i="2"/>
  <c r="F1144" i="2"/>
  <c r="F1145" i="2"/>
  <c r="F1146" i="2"/>
  <c r="F1147" i="2"/>
  <c r="F1148" i="2"/>
  <c r="F1149" i="2"/>
  <c r="F1150" i="2"/>
  <c r="F1151" i="2"/>
  <c r="F1152" i="2"/>
  <c r="F1153" i="2"/>
  <c r="F1154" i="2"/>
  <c r="F1155" i="2"/>
  <c r="F1156" i="2"/>
  <c r="F1157" i="2"/>
  <c r="F1158" i="2"/>
  <c r="F1159" i="2"/>
  <c r="F1160" i="2"/>
  <c r="F1161" i="2"/>
  <c r="F1162" i="2"/>
  <c r="F1163" i="2"/>
  <c r="F1164" i="2"/>
  <c r="F1165" i="2"/>
  <c r="F1166" i="2"/>
  <c r="F1167" i="2"/>
  <c r="F1168" i="2"/>
  <c r="F1169" i="2"/>
  <c r="F1170" i="2"/>
  <c r="F1171" i="2"/>
  <c r="F1172" i="2"/>
  <c r="F1173" i="2"/>
  <c r="F1174" i="2"/>
  <c r="F1175" i="2"/>
  <c r="F1176" i="2"/>
  <c r="F1177" i="2"/>
  <c r="F1178" i="2"/>
  <c r="F1179" i="2"/>
  <c r="F1180" i="2"/>
  <c r="F1181" i="2"/>
  <c r="F1182" i="2"/>
  <c r="F1183" i="2"/>
  <c r="F1184" i="2"/>
  <c r="F1185" i="2"/>
  <c r="F1186" i="2"/>
  <c r="F1187" i="2"/>
  <c r="F1188" i="2"/>
  <c r="F1189" i="2"/>
  <c r="F1190" i="2"/>
  <c r="F1191" i="2"/>
  <c r="F1192" i="2"/>
  <c r="F1193" i="2"/>
  <c r="F1194" i="2"/>
  <c r="F1195" i="2"/>
  <c r="F1196" i="2"/>
  <c r="F1197" i="2"/>
  <c r="F1198" i="2"/>
  <c r="F1199" i="2"/>
  <c r="F1200" i="2"/>
  <c r="F1201" i="2"/>
  <c r="F1202" i="2"/>
  <c r="F1203" i="2"/>
  <c r="F1204" i="2"/>
  <c r="F1205" i="2"/>
  <c r="F1206" i="2"/>
  <c r="F1207" i="2"/>
  <c r="F1208" i="2"/>
  <c r="F1209" i="2"/>
  <c r="F1210" i="2"/>
  <c r="F1211" i="2"/>
  <c r="F1212" i="2"/>
  <c r="F1213" i="2"/>
  <c r="F1214" i="2"/>
  <c r="F1215" i="2"/>
  <c r="F1216" i="2"/>
  <c r="F1217" i="2"/>
  <c r="F1218" i="2"/>
  <c r="F1219" i="2"/>
  <c r="F1220" i="2"/>
  <c r="F1221" i="2"/>
  <c r="F1222" i="2"/>
  <c r="F1223" i="2"/>
  <c r="F1224" i="2"/>
  <c r="F1225" i="2"/>
  <c r="F1226" i="2"/>
  <c r="F1227" i="2"/>
  <c r="F1228" i="2"/>
  <c r="F1229" i="2"/>
  <c r="F1230" i="2"/>
  <c r="F1231" i="2"/>
  <c r="F1232" i="2"/>
  <c r="F1233" i="2"/>
  <c r="F1234" i="2"/>
  <c r="F1235" i="2"/>
  <c r="F1236" i="2"/>
  <c r="F1237" i="2"/>
  <c r="F1238" i="2"/>
  <c r="F1239" i="2"/>
  <c r="F1240" i="2"/>
  <c r="F1241" i="2"/>
  <c r="F1242" i="2"/>
  <c r="F1243" i="2"/>
  <c r="F1244" i="2"/>
  <c r="F1245" i="2"/>
  <c r="F1246" i="2"/>
  <c r="F1247" i="2"/>
  <c r="F1248" i="2"/>
  <c r="F1249" i="2"/>
  <c r="F1250" i="2"/>
  <c r="F1251" i="2"/>
  <c r="F1252" i="2"/>
  <c r="F1253" i="2"/>
  <c r="F1254" i="2"/>
  <c r="F1255" i="2"/>
  <c r="F1256" i="2"/>
  <c r="F1257" i="2"/>
  <c r="F1258" i="2"/>
  <c r="F1259" i="2"/>
  <c r="F1260" i="2"/>
  <c r="F1261" i="2"/>
  <c r="F1262" i="2"/>
  <c r="F1263" i="2"/>
  <c r="F1264" i="2"/>
  <c r="F1265" i="2"/>
  <c r="F1266" i="2"/>
  <c r="F1267" i="2"/>
  <c r="F1268" i="2"/>
  <c r="F1269" i="2"/>
  <c r="F1270" i="2"/>
  <c r="F1271" i="2"/>
  <c r="F1272" i="2"/>
  <c r="F1273" i="2"/>
  <c r="F1274" i="2"/>
  <c r="F1275" i="2"/>
  <c r="F1276" i="2"/>
  <c r="F1277" i="2"/>
  <c r="F1278" i="2"/>
  <c r="F1279" i="2"/>
  <c r="F1280" i="2"/>
  <c r="F1281" i="2"/>
  <c r="F1282" i="2"/>
  <c r="F1283" i="2"/>
  <c r="F1284" i="2"/>
  <c r="F1285" i="2"/>
  <c r="F1286" i="2"/>
  <c r="F1287" i="2"/>
  <c r="F1288" i="2"/>
  <c r="F1289" i="2"/>
  <c r="F1290" i="2"/>
  <c r="F1291" i="2"/>
  <c r="F1292" i="2"/>
  <c r="F1293" i="2"/>
  <c r="F1294" i="2"/>
  <c r="F1295" i="2"/>
  <c r="F1296" i="2"/>
  <c r="F1297" i="2"/>
  <c r="F1298" i="2"/>
  <c r="F1299" i="2"/>
  <c r="F1300" i="2"/>
  <c r="F1301" i="2"/>
  <c r="F1302" i="2"/>
  <c r="F1303" i="2"/>
  <c r="F1304" i="2"/>
  <c r="F1305" i="2"/>
  <c r="F1306" i="2"/>
  <c r="F1307" i="2"/>
  <c r="F1308" i="2"/>
  <c r="F1309" i="2"/>
  <c r="F1310" i="2"/>
  <c r="F1311" i="2"/>
  <c r="F1312" i="2"/>
  <c r="F1313" i="2"/>
  <c r="F1314" i="2"/>
  <c r="F1315" i="2"/>
  <c r="F1316" i="2"/>
  <c r="F1317" i="2"/>
  <c r="F1318" i="2"/>
  <c r="F1319" i="2"/>
  <c r="F1320" i="2"/>
  <c r="F1321" i="2"/>
  <c r="F1322" i="2"/>
  <c r="F1323" i="2"/>
  <c r="F1324" i="2"/>
  <c r="F1325" i="2"/>
  <c r="F1326" i="2"/>
  <c r="F1327" i="2"/>
  <c r="F1328" i="2"/>
  <c r="F1329" i="2"/>
  <c r="F1330" i="2"/>
  <c r="F1331" i="2"/>
  <c r="F1332" i="2"/>
  <c r="F1333" i="2"/>
  <c r="F1334" i="2"/>
  <c r="F1335" i="2"/>
  <c r="F1336" i="2"/>
  <c r="F1337" i="2"/>
  <c r="F1338" i="2"/>
  <c r="F1339" i="2"/>
  <c r="F1340" i="2"/>
  <c r="F1341" i="2"/>
  <c r="F1342" i="2"/>
  <c r="F1343" i="2"/>
  <c r="F1344" i="2"/>
  <c r="F1345" i="2"/>
  <c r="F1346" i="2"/>
  <c r="F1347" i="2"/>
  <c r="F1348" i="2"/>
  <c r="F1349" i="2"/>
  <c r="F1350" i="2"/>
  <c r="F1351" i="2"/>
  <c r="F1352" i="2"/>
  <c r="F1353" i="2"/>
  <c r="F1354" i="2"/>
  <c r="F1355" i="2"/>
  <c r="F1356" i="2"/>
  <c r="F1357" i="2"/>
  <c r="F1358" i="2"/>
  <c r="F1359" i="2"/>
  <c r="F1360" i="2"/>
  <c r="F1361" i="2"/>
  <c r="F1362" i="2"/>
  <c r="F1363" i="2"/>
  <c r="F1364" i="2"/>
  <c r="F1365" i="2"/>
  <c r="F1366" i="2"/>
  <c r="F1367" i="2"/>
  <c r="F1368" i="2"/>
  <c r="F1369" i="2"/>
  <c r="F1370" i="2"/>
  <c r="F1371" i="2"/>
  <c r="F1372" i="2"/>
  <c r="F1373" i="2"/>
  <c r="F1374" i="2"/>
  <c r="F1375" i="2"/>
  <c r="F1376" i="2"/>
  <c r="F1377" i="2"/>
  <c r="F1378" i="2"/>
  <c r="F1379" i="2"/>
  <c r="F1380" i="2"/>
  <c r="F1381" i="2"/>
  <c r="F1382" i="2"/>
  <c r="F1383" i="2"/>
  <c r="F1384" i="2"/>
  <c r="F1385" i="2"/>
  <c r="F1386" i="2"/>
  <c r="F1387" i="2"/>
  <c r="F1388" i="2"/>
  <c r="F1389" i="2"/>
  <c r="F1390" i="2"/>
  <c r="F1391" i="2"/>
  <c r="F1392" i="2"/>
  <c r="F1393" i="2"/>
  <c r="F1394" i="2"/>
  <c r="F1395" i="2"/>
  <c r="F1396" i="2"/>
  <c r="F1397" i="2"/>
  <c r="F1398" i="2"/>
  <c r="F1399" i="2"/>
  <c r="F1400" i="2"/>
  <c r="F1401" i="2"/>
  <c r="F1402" i="2"/>
  <c r="F1403" i="2"/>
  <c r="F1404" i="2"/>
  <c r="F1405" i="2"/>
  <c r="F1406" i="2"/>
  <c r="F1407" i="2"/>
  <c r="F1408" i="2"/>
  <c r="F1409" i="2"/>
  <c r="F1410" i="2"/>
  <c r="F1411" i="2"/>
  <c r="F1412" i="2"/>
  <c r="F1413" i="2"/>
  <c r="F1414" i="2"/>
  <c r="F1415" i="2"/>
  <c r="F1416" i="2"/>
  <c r="F1417" i="2"/>
  <c r="F1418" i="2"/>
  <c r="F1419" i="2"/>
  <c r="F1420" i="2"/>
  <c r="F1421" i="2"/>
  <c r="F1422" i="2"/>
  <c r="F1423" i="2"/>
  <c r="F1424" i="2"/>
  <c r="F1425" i="2"/>
  <c r="F1426" i="2"/>
  <c r="F1427" i="2"/>
  <c r="F1428" i="2"/>
  <c r="F1429" i="2"/>
  <c r="F1430" i="2"/>
  <c r="F1431" i="2"/>
  <c r="F1432" i="2"/>
  <c r="F1433" i="2"/>
  <c r="F1434" i="2"/>
  <c r="F1435" i="2"/>
  <c r="F1436" i="2"/>
  <c r="F1437" i="2"/>
  <c r="F1438" i="2"/>
  <c r="F1439" i="2"/>
  <c r="F1440" i="2"/>
  <c r="F1441" i="2"/>
  <c r="F1442" i="2"/>
  <c r="F1443" i="2"/>
  <c r="F1444" i="2"/>
  <c r="F1445" i="2"/>
  <c r="F1446" i="2"/>
  <c r="F1447" i="2"/>
  <c r="F1448" i="2"/>
  <c r="F1449" i="2"/>
  <c r="F1450" i="2"/>
  <c r="F1451" i="2"/>
  <c r="F1452" i="2"/>
  <c r="F1453" i="2"/>
  <c r="F1454" i="2"/>
  <c r="F1455" i="2"/>
  <c r="F1456" i="2"/>
  <c r="F1457" i="2"/>
  <c r="F1458" i="2"/>
  <c r="F1459" i="2"/>
  <c r="F1460" i="2"/>
  <c r="F1461" i="2"/>
  <c r="F1462" i="2"/>
  <c r="F1463" i="2"/>
  <c r="F1464" i="2"/>
  <c r="F1465" i="2"/>
  <c r="F1466" i="2"/>
  <c r="F1467" i="2"/>
  <c r="F1468" i="2"/>
  <c r="F1469" i="2"/>
  <c r="F1470" i="2"/>
  <c r="F1471" i="2"/>
  <c r="F1472" i="2"/>
  <c r="F1473" i="2"/>
  <c r="F1474" i="2"/>
  <c r="F1475" i="2"/>
  <c r="F1476" i="2"/>
  <c r="F1477" i="2"/>
  <c r="F1478" i="2"/>
  <c r="F1479" i="2"/>
  <c r="F1480" i="2"/>
  <c r="F1481" i="2"/>
  <c r="F1482" i="2"/>
  <c r="F1483" i="2"/>
  <c r="F1484" i="2"/>
  <c r="F1485" i="2"/>
  <c r="F1486" i="2"/>
  <c r="F1487" i="2"/>
  <c r="F1488" i="2"/>
  <c r="F1489" i="2"/>
  <c r="F1490" i="2"/>
  <c r="F1491" i="2"/>
  <c r="F1492" i="2"/>
  <c r="F1493" i="2"/>
  <c r="F1494" i="2"/>
  <c r="F1495" i="2"/>
  <c r="F1496" i="2"/>
  <c r="F1497" i="2"/>
  <c r="F1498" i="2"/>
  <c r="F1499" i="2"/>
  <c r="F1500" i="2"/>
  <c r="F1501" i="2"/>
  <c r="F1502" i="2"/>
  <c r="F1503" i="2"/>
  <c r="F1504" i="2"/>
  <c r="F1505" i="2"/>
  <c r="F1506" i="2"/>
  <c r="F1507" i="2"/>
  <c r="F1508" i="2"/>
  <c r="F1509" i="2"/>
  <c r="F1510" i="2"/>
  <c r="F1511" i="2"/>
  <c r="F1512" i="2"/>
  <c r="F1513" i="2"/>
  <c r="F1514" i="2"/>
  <c r="F1515" i="2"/>
  <c r="F1516" i="2"/>
  <c r="F1517" i="2"/>
  <c r="F1518" i="2"/>
  <c r="F1519" i="2"/>
  <c r="F1520" i="2"/>
  <c r="F1521" i="2"/>
  <c r="F1522" i="2"/>
  <c r="F1523" i="2"/>
  <c r="F1524" i="2"/>
  <c r="F1525" i="2"/>
  <c r="F1526" i="2"/>
  <c r="F1527" i="2"/>
  <c r="F1528" i="2"/>
  <c r="F1529" i="2"/>
  <c r="F1530" i="2"/>
  <c r="F1531" i="2"/>
  <c r="F1532" i="2"/>
  <c r="F1533" i="2"/>
  <c r="F1534" i="2"/>
  <c r="F1535" i="2"/>
  <c r="F1536" i="2"/>
  <c r="F1537" i="2"/>
  <c r="F1538" i="2"/>
  <c r="F1539" i="2"/>
  <c r="F1540" i="2"/>
  <c r="F1541" i="2"/>
  <c r="F1542" i="2"/>
  <c r="F1543" i="2"/>
  <c r="F1544" i="2"/>
  <c r="F1545" i="2"/>
  <c r="F1546" i="2"/>
  <c r="F1547" i="2"/>
  <c r="F1548" i="2"/>
  <c r="F1549" i="2"/>
  <c r="F1550" i="2"/>
  <c r="F1551" i="2"/>
  <c r="F1552" i="2"/>
  <c r="F1553" i="2"/>
  <c r="F1554" i="2"/>
  <c r="F1555" i="2"/>
  <c r="F1556" i="2"/>
  <c r="F1557" i="2"/>
  <c r="F1558" i="2"/>
  <c r="F1559" i="2"/>
  <c r="F1560" i="2"/>
  <c r="F1561" i="2"/>
  <c r="F1562" i="2"/>
  <c r="F1563" i="2"/>
  <c r="F1564" i="2"/>
  <c r="F1565" i="2"/>
  <c r="F1566" i="2"/>
  <c r="F1567" i="2"/>
  <c r="F1568" i="2"/>
  <c r="F1569" i="2"/>
  <c r="F1570" i="2"/>
  <c r="F1571" i="2"/>
  <c r="F1572" i="2"/>
  <c r="F1573" i="2"/>
  <c r="F1574" i="2"/>
  <c r="F1575" i="2"/>
  <c r="F1576" i="2"/>
  <c r="F1577" i="2"/>
  <c r="F1578" i="2"/>
  <c r="F1579" i="2"/>
  <c r="F1580" i="2"/>
  <c r="F1581" i="2"/>
  <c r="F1582" i="2"/>
  <c r="F1583" i="2"/>
  <c r="F1584" i="2"/>
  <c r="F1585" i="2"/>
  <c r="F1586" i="2"/>
  <c r="F1587" i="2"/>
  <c r="F1588" i="2"/>
  <c r="F1589" i="2"/>
  <c r="F1590" i="2"/>
  <c r="F1591" i="2"/>
  <c r="F1592" i="2"/>
  <c r="F1593" i="2"/>
  <c r="F1594" i="2"/>
  <c r="F1595" i="2"/>
  <c r="F1596" i="2"/>
  <c r="F1597" i="2"/>
  <c r="F1598" i="2"/>
  <c r="F1599" i="2"/>
  <c r="F1600" i="2"/>
  <c r="F1601" i="2"/>
  <c r="F1602" i="2"/>
  <c r="F1603" i="2"/>
  <c r="F1604" i="2"/>
  <c r="F1605" i="2"/>
  <c r="F1606" i="2"/>
  <c r="F1607" i="2"/>
  <c r="F1608" i="2"/>
  <c r="F1609" i="2"/>
  <c r="F1610" i="2"/>
  <c r="F1611" i="2"/>
  <c r="F1612" i="2"/>
  <c r="F1613" i="2"/>
  <c r="F1614" i="2"/>
  <c r="F1615" i="2"/>
  <c r="F1616" i="2"/>
  <c r="F1617" i="2"/>
  <c r="F1618" i="2"/>
  <c r="F1619" i="2"/>
  <c r="F1620" i="2"/>
  <c r="F1621" i="2"/>
  <c r="F1622" i="2"/>
  <c r="F1623" i="2"/>
  <c r="F1624" i="2"/>
  <c r="F1625" i="2"/>
  <c r="F1626" i="2"/>
  <c r="F1627" i="2"/>
  <c r="F1628" i="2"/>
  <c r="F1629" i="2"/>
  <c r="F1630" i="2"/>
  <c r="F1631" i="2"/>
  <c r="F1632" i="2"/>
  <c r="F1633" i="2"/>
  <c r="F1634" i="2"/>
  <c r="F1635" i="2"/>
  <c r="F1636" i="2"/>
  <c r="F1637" i="2"/>
  <c r="F1638" i="2"/>
  <c r="F1639" i="2"/>
  <c r="F1640" i="2"/>
  <c r="F1641" i="2"/>
  <c r="F1642" i="2"/>
  <c r="F1643" i="2"/>
  <c r="F1644" i="2"/>
  <c r="F1645" i="2"/>
  <c r="F1646" i="2"/>
  <c r="F1647" i="2"/>
  <c r="F1648" i="2"/>
  <c r="F1649" i="2"/>
  <c r="F1650" i="2"/>
  <c r="F1651" i="2"/>
  <c r="F1652" i="2"/>
  <c r="F1653" i="2"/>
  <c r="F1654" i="2"/>
  <c r="F1655" i="2"/>
  <c r="F1656" i="2"/>
  <c r="F1657" i="2"/>
  <c r="F1658" i="2"/>
  <c r="F1659" i="2"/>
  <c r="F1660" i="2"/>
  <c r="F1661" i="2"/>
  <c r="F1662" i="2"/>
  <c r="F1663" i="2"/>
  <c r="F1664" i="2"/>
  <c r="F1665" i="2"/>
  <c r="F1666" i="2"/>
  <c r="F1667" i="2"/>
  <c r="F1668" i="2"/>
  <c r="F1669" i="2"/>
  <c r="F1670" i="2"/>
  <c r="F1671" i="2"/>
  <c r="F1672" i="2"/>
  <c r="F1673" i="2"/>
  <c r="F1674" i="2"/>
  <c r="F1675" i="2"/>
  <c r="F1676" i="2"/>
  <c r="F1677" i="2"/>
  <c r="F1678" i="2"/>
  <c r="F1679" i="2"/>
  <c r="F1680" i="2"/>
  <c r="F1681" i="2"/>
  <c r="F1682" i="2"/>
  <c r="F1683" i="2"/>
  <c r="F1684" i="2"/>
  <c r="F1685" i="2"/>
  <c r="F1686" i="2"/>
  <c r="F1687" i="2"/>
  <c r="F1688" i="2"/>
  <c r="F1689" i="2"/>
  <c r="F1690" i="2"/>
  <c r="F1691" i="2"/>
  <c r="F1692" i="2"/>
  <c r="F1693" i="2"/>
  <c r="F1694" i="2"/>
  <c r="F1695" i="2"/>
  <c r="F1696" i="2"/>
  <c r="F1697" i="2"/>
  <c r="F1698" i="2"/>
  <c r="F1699" i="2"/>
  <c r="F1700" i="2"/>
  <c r="F1701" i="2"/>
  <c r="F1702" i="2"/>
  <c r="F1703" i="2"/>
  <c r="F1704" i="2"/>
  <c r="F1705" i="2"/>
  <c r="F1706" i="2"/>
  <c r="F1707" i="2"/>
  <c r="F1708" i="2"/>
  <c r="F1709" i="2"/>
  <c r="F1710" i="2"/>
  <c r="F1711" i="2"/>
  <c r="F1712" i="2"/>
  <c r="F1713" i="2"/>
  <c r="F1714" i="2"/>
  <c r="F1715" i="2"/>
  <c r="F1716" i="2"/>
  <c r="F1717" i="2"/>
  <c r="F1718" i="2"/>
  <c r="F1719" i="2"/>
  <c r="F1720" i="2"/>
  <c r="F1721" i="2"/>
  <c r="F1722" i="2"/>
  <c r="F1723" i="2"/>
  <c r="F1724" i="2"/>
  <c r="F1725" i="2"/>
  <c r="F1726" i="2"/>
  <c r="F1727" i="2"/>
  <c r="F1728" i="2"/>
  <c r="F1729" i="2"/>
  <c r="F1730" i="2"/>
  <c r="F1731" i="2"/>
  <c r="F1732" i="2"/>
  <c r="F1733" i="2"/>
  <c r="F1734" i="2"/>
  <c r="F1735" i="2"/>
  <c r="F1736" i="2"/>
  <c r="F1737" i="2"/>
  <c r="F1738" i="2"/>
  <c r="F1739" i="2"/>
  <c r="F1740" i="2"/>
  <c r="F1741" i="2"/>
  <c r="F1742" i="2"/>
  <c r="F1743" i="2"/>
  <c r="F1744" i="2"/>
  <c r="F1745" i="2"/>
  <c r="F1746" i="2"/>
  <c r="F1747" i="2"/>
  <c r="F1748" i="2"/>
  <c r="F1749" i="2"/>
  <c r="F1750" i="2"/>
  <c r="F1751" i="2"/>
  <c r="F1752" i="2"/>
  <c r="F1753" i="2"/>
  <c r="F1754" i="2"/>
  <c r="F1755" i="2"/>
  <c r="F1756" i="2"/>
  <c r="F1757" i="2"/>
  <c r="F1758" i="2"/>
  <c r="F1759" i="2"/>
  <c r="F1760" i="2"/>
  <c r="F1761" i="2"/>
  <c r="F1762" i="2"/>
  <c r="F1763" i="2"/>
  <c r="F1764" i="2"/>
  <c r="F1765" i="2"/>
  <c r="F1766" i="2"/>
  <c r="F1767" i="2"/>
  <c r="F1768" i="2"/>
  <c r="F1769" i="2"/>
  <c r="F1770" i="2"/>
  <c r="F1771" i="2"/>
  <c r="F1772" i="2"/>
  <c r="F1773" i="2"/>
  <c r="F1774" i="2"/>
  <c r="F1775" i="2"/>
  <c r="F1776" i="2"/>
  <c r="F1777" i="2"/>
  <c r="F1778" i="2"/>
  <c r="F1779" i="2"/>
  <c r="F1780" i="2"/>
  <c r="F1781" i="2"/>
  <c r="F1782" i="2"/>
  <c r="F1783" i="2"/>
  <c r="F1784" i="2"/>
  <c r="F1785" i="2"/>
  <c r="F1786" i="2"/>
  <c r="F1787" i="2"/>
  <c r="F1788" i="2"/>
  <c r="F1789" i="2"/>
  <c r="F1790" i="2"/>
  <c r="F1791" i="2"/>
  <c r="F1792" i="2"/>
  <c r="F1793" i="2"/>
  <c r="F1794" i="2"/>
  <c r="F1795" i="2"/>
  <c r="F1796" i="2"/>
  <c r="F1797" i="2"/>
  <c r="F1798" i="2"/>
  <c r="F1799" i="2"/>
  <c r="F1800" i="2"/>
  <c r="F1801" i="2"/>
  <c r="F1802" i="2"/>
  <c r="F1803" i="2"/>
  <c r="F1804" i="2"/>
  <c r="F1805" i="2"/>
  <c r="F1806" i="2"/>
  <c r="F1807" i="2"/>
  <c r="F1808" i="2"/>
  <c r="F1809" i="2"/>
  <c r="F1810" i="2"/>
  <c r="F1811" i="2"/>
  <c r="F1812" i="2"/>
  <c r="F1813" i="2"/>
  <c r="F1814" i="2"/>
  <c r="F1815" i="2"/>
  <c r="F1816" i="2"/>
  <c r="F1817" i="2"/>
  <c r="F1818" i="2"/>
  <c r="F1819" i="2"/>
  <c r="F1820" i="2"/>
  <c r="F1821" i="2"/>
  <c r="F1822" i="2"/>
  <c r="F1823" i="2"/>
  <c r="F1824" i="2"/>
  <c r="F1825" i="2"/>
  <c r="F1826" i="2"/>
  <c r="F1827" i="2"/>
  <c r="F1828" i="2"/>
  <c r="F1829" i="2"/>
  <c r="F1830" i="2"/>
  <c r="F1831" i="2"/>
  <c r="F1832" i="2"/>
  <c r="F1833" i="2"/>
  <c r="F1834" i="2"/>
  <c r="F1835" i="2"/>
  <c r="F1836" i="2"/>
  <c r="F1837" i="2"/>
  <c r="F1838" i="2"/>
  <c r="F1839" i="2"/>
  <c r="F1840" i="2"/>
  <c r="F1841" i="2"/>
  <c r="F1842" i="2"/>
  <c r="F1843" i="2"/>
  <c r="F1844" i="2"/>
  <c r="F1845" i="2"/>
  <c r="F1846" i="2"/>
  <c r="F1847" i="2"/>
  <c r="F1848" i="2"/>
  <c r="F1849" i="2"/>
  <c r="F1850" i="2"/>
  <c r="F1851" i="2"/>
  <c r="F1852" i="2"/>
  <c r="F1853" i="2"/>
  <c r="F1854" i="2"/>
  <c r="F1855" i="2"/>
  <c r="F1856" i="2"/>
  <c r="F1857" i="2"/>
  <c r="F1858" i="2"/>
  <c r="F1859" i="2"/>
  <c r="F1860" i="2"/>
  <c r="F1861" i="2"/>
  <c r="F1862" i="2"/>
  <c r="F1863" i="2"/>
  <c r="F1864" i="2"/>
  <c r="F1865" i="2"/>
  <c r="F1866" i="2"/>
  <c r="F1867" i="2"/>
  <c r="F1868" i="2"/>
  <c r="F1869" i="2"/>
  <c r="F1870" i="2"/>
  <c r="F1871" i="2"/>
  <c r="F1872" i="2"/>
  <c r="F1873" i="2"/>
  <c r="F1874" i="2"/>
  <c r="F1875" i="2"/>
  <c r="F1876" i="2"/>
  <c r="F1877" i="2"/>
  <c r="F1878" i="2"/>
  <c r="F1879" i="2"/>
  <c r="F1880" i="2"/>
  <c r="F1881" i="2"/>
  <c r="F1882" i="2"/>
  <c r="F1883" i="2"/>
  <c r="F1884" i="2"/>
  <c r="F1885" i="2"/>
  <c r="F1886" i="2"/>
  <c r="F1887" i="2"/>
  <c r="F1888" i="2"/>
  <c r="F1889" i="2"/>
  <c r="F1890" i="2"/>
  <c r="F1891" i="2"/>
  <c r="F1892" i="2"/>
  <c r="F1893" i="2"/>
  <c r="F1894" i="2"/>
  <c r="F1895" i="2"/>
  <c r="F1896" i="2"/>
  <c r="F1897" i="2"/>
  <c r="F1898" i="2"/>
  <c r="F1899" i="2"/>
  <c r="F1900" i="2"/>
  <c r="F1901" i="2"/>
  <c r="F1902" i="2"/>
  <c r="F1903" i="2"/>
  <c r="F1904" i="2"/>
  <c r="F1905" i="2"/>
  <c r="F1906" i="2"/>
  <c r="F1907" i="2"/>
  <c r="F1908" i="2"/>
  <c r="F1909" i="2"/>
  <c r="F1910" i="2"/>
  <c r="F1911" i="2"/>
  <c r="F1912" i="2"/>
  <c r="F1913" i="2"/>
  <c r="F1914" i="2"/>
  <c r="F1915" i="2"/>
  <c r="F1916" i="2"/>
  <c r="F1917" i="2"/>
  <c r="F1918" i="2"/>
  <c r="F1919" i="2"/>
  <c r="F1920" i="2"/>
  <c r="F1921" i="2"/>
  <c r="F1922" i="2"/>
  <c r="F1923" i="2"/>
  <c r="F1924" i="2"/>
  <c r="F1925" i="2"/>
  <c r="F1926" i="2"/>
  <c r="F1927" i="2"/>
  <c r="F1928" i="2"/>
  <c r="F1929" i="2"/>
  <c r="F1930" i="2"/>
  <c r="F1931" i="2"/>
  <c r="F1932" i="2"/>
  <c r="F1933" i="2"/>
  <c r="F1934" i="2"/>
  <c r="F1935" i="2"/>
  <c r="F1936" i="2"/>
  <c r="F1937" i="2"/>
  <c r="F1938" i="2"/>
  <c r="F1939" i="2"/>
  <c r="F1940" i="2"/>
  <c r="F1941" i="2"/>
  <c r="F1942" i="2"/>
  <c r="F1943" i="2"/>
  <c r="F1944" i="2"/>
  <c r="F1945" i="2"/>
  <c r="F1946" i="2"/>
  <c r="F1947" i="2"/>
  <c r="F1948" i="2"/>
  <c r="F1949" i="2"/>
  <c r="F1950" i="2"/>
  <c r="F1951" i="2"/>
  <c r="F1952" i="2"/>
  <c r="F1953" i="2"/>
  <c r="F1954" i="2"/>
  <c r="F1955" i="2"/>
  <c r="F1956" i="2"/>
  <c r="F1957" i="2"/>
  <c r="F1958" i="2"/>
  <c r="F1959" i="2"/>
  <c r="F1960" i="2"/>
  <c r="F1961" i="2"/>
  <c r="F1962" i="2"/>
  <c r="F1963" i="2"/>
  <c r="F1964" i="2"/>
  <c r="F1965" i="2"/>
  <c r="F1966" i="2"/>
  <c r="F1967" i="2"/>
  <c r="F1968" i="2"/>
  <c r="F1969" i="2"/>
  <c r="F1970" i="2"/>
  <c r="F1971" i="2"/>
  <c r="F1972" i="2"/>
  <c r="F1973" i="2"/>
  <c r="F1974" i="2"/>
  <c r="F1975" i="2"/>
  <c r="F1976" i="2"/>
  <c r="F1977" i="2"/>
  <c r="F1978" i="2"/>
  <c r="F1979" i="2"/>
  <c r="F1980" i="2"/>
  <c r="F1981" i="2"/>
  <c r="F1982" i="2"/>
  <c r="F1983" i="2"/>
  <c r="F1984" i="2"/>
  <c r="F1985" i="2"/>
  <c r="F1986" i="2"/>
  <c r="F1987" i="2"/>
  <c r="F1988" i="2"/>
  <c r="F1989" i="2"/>
  <c r="F1990" i="2"/>
  <c r="F1991" i="2"/>
  <c r="F1992" i="2"/>
  <c r="F1993" i="2"/>
  <c r="F1994" i="2"/>
  <c r="F1995" i="2"/>
  <c r="F1996" i="2"/>
  <c r="F1997" i="2"/>
  <c r="F1998" i="2"/>
  <c r="F1999" i="2"/>
  <c r="F2000" i="2"/>
  <c r="F2001" i="2"/>
  <c r="F2002" i="2"/>
  <c r="F2003" i="2"/>
  <c r="F2004" i="2"/>
</calcChain>
</file>

<file path=xl/sharedStrings.xml><?xml version="1.0" encoding="utf-8"?>
<sst xmlns="http://schemas.openxmlformats.org/spreadsheetml/2006/main" count="172" uniqueCount="99">
  <si>
    <t>Produse și stocuri inițiale</t>
  </si>
  <si>
    <t>Un rând pentru fiecare produs: codul, denumirea, prețul de evidență, stocul de la care pornești și stocul minim sub care trebuie să comanzi.</t>
  </si>
  <si>
    <t>Cod</t>
  </si>
  <si>
    <t>Denumire produs</t>
  </si>
  <si>
    <t>U.M.</t>
  </si>
  <si>
    <t>Preț unitar (lei)</t>
  </si>
  <si>
    <t>Stoc inițial</t>
  </si>
  <si>
    <t>Stoc minim</t>
  </si>
  <si>
    <t>P01</t>
  </si>
  <si>
    <t>Cablu electric CYY-F 3×2,5 mm²</t>
  </si>
  <si>
    <t>m</t>
  </si>
  <si>
    <t>P02</t>
  </si>
  <si>
    <t>Tub PVC 32 mm (bară 3 m)</t>
  </si>
  <si>
    <t>buc</t>
  </si>
  <si>
    <t>P03</t>
  </si>
  <si>
    <t>Doză aparent IP65</t>
  </si>
  <si>
    <t>P04</t>
  </si>
  <si>
    <t>Siguranță automată 16 A</t>
  </si>
  <si>
    <t>P05</t>
  </si>
  <si>
    <t>Bandă izolatoare</t>
  </si>
  <si>
    <t>rolă</t>
  </si>
  <si>
    <t>P06</t>
  </si>
  <si>
    <t>Priză dublă aparentă</t>
  </si>
  <si>
    <t>Tipuri de documente</t>
  </si>
  <si>
    <t>NIR</t>
  </si>
  <si>
    <t>Bon de consum</t>
  </si>
  <si>
    <t>Aviz de însoțire</t>
  </si>
  <si>
    <t>Factură</t>
  </si>
  <si>
    <t>Retur</t>
  </si>
  <si>
    <t>Transfer</t>
  </si>
  <si>
    <t>Proces-verbal inventar</t>
  </si>
  <si>
    <t>Alt document</t>
  </si>
  <si>
    <t>Jurnalul mișcărilor de stoc</t>
  </si>
  <si>
    <t>Trece fiecare intrare și ieșire în ordinea datelor, cu documentul și motivul. Stocul după operație se calculează automat; roșu = ieșire mai mare decât stocul, galben = rând incomplet.</t>
  </si>
  <si>
    <t>Data</t>
  </si>
  <si>
    <t>Tip document</t>
  </si>
  <si>
    <t>Nr. document</t>
  </si>
  <si>
    <t>Cod produs</t>
  </si>
  <si>
    <t>Denumire</t>
  </si>
  <si>
    <t>Intrare</t>
  </si>
  <si>
    <t>Ieșire</t>
  </si>
  <si>
    <t>Stoc după operație</t>
  </si>
  <si>
    <t>Explicație / motiv</t>
  </si>
  <si>
    <t>Furnizor / loc de consum</t>
  </si>
  <si>
    <t>Recepție comandă furnizor</t>
  </si>
  <si>
    <t>Electro Distrib SRL</t>
  </si>
  <si>
    <t>Lucrare hală Ploiești</t>
  </si>
  <si>
    <t>Echipa 1</t>
  </si>
  <si>
    <t>Livrare client</t>
  </si>
  <si>
    <t>Instal Pro SRL</t>
  </si>
  <si>
    <t>Lucrare birouri Buftea</t>
  </si>
  <si>
    <t>Echipa 2</t>
  </si>
  <si>
    <t>Material neconsumat returnat</t>
  </si>
  <si>
    <t>Lucrare depozit Chitila</t>
  </si>
  <si>
    <t>T-07</t>
  </si>
  <si>
    <t>Transfer către punctul de lucru Cluj</t>
  </si>
  <si>
    <t>Magazie Cluj</t>
  </si>
  <si>
    <t>Cabluri Nord SA</t>
  </si>
  <si>
    <t>Lucrare showroom Otopeni</t>
  </si>
  <si>
    <t>PV-10</t>
  </si>
  <si>
    <t>Lipsă la inventar (capete de rolă)</t>
  </si>
  <si>
    <t>Comisia de inventariere</t>
  </si>
  <si>
    <t>Unitatea:</t>
  </si>
  <si>
    <t>Exemplu Instalații SRL</t>
  </si>
  <si>
    <t>FIȘĂ DE MAGAZIE</t>
  </si>
  <si>
    <t>Cod produs:</t>
  </si>
  <si>
    <t>← alege produsul</t>
  </si>
  <si>
    <t>Magazia:</t>
  </si>
  <si>
    <t>Magazie centrală</t>
  </si>
  <si>
    <t>Denumire:</t>
  </si>
  <si>
    <t>U.M.:</t>
  </si>
  <si>
    <t>Preț unitar:</t>
  </si>
  <si>
    <t>Stoc minim:</t>
  </si>
  <si>
    <t>Stoc actual:</t>
  </si>
  <si>
    <t>Valoare stoc:</t>
  </si>
  <si>
    <t>Nr.</t>
  </si>
  <si>
    <t>Document</t>
  </si>
  <si>
    <t>Intrări</t>
  </si>
  <si>
    <t>Ieșiri</t>
  </si>
  <si>
    <t>Stoc</t>
  </si>
  <si>
    <t>Viza control</t>
  </si>
  <si>
    <t>–</t>
  </si>
  <si>
    <t>TOTAL / STOC FINAL</t>
  </si>
  <si>
    <t>Gestionar: _______________</t>
  </si>
  <si>
    <t>Control (contabilitate): _______________</t>
  </si>
  <si>
    <t>Situația stocurilor</t>
  </si>
  <si>
    <t>Stocul actual al fiecărui produs, calculat din stocul inițial și din toate mișcările. Galben = sub stocul minim, roșu = stoc negativ (ieșiri neacoperite de intrări).</t>
  </si>
  <si>
    <t>Total intrări</t>
  </si>
  <si>
    <t>Total ieșiri</t>
  </si>
  <si>
    <t>Stoc actual</t>
  </si>
  <si>
    <t>Valoare stoc (lei)</t>
  </si>
  <si>
    <t>Ultima mișcare</t>
  </si>
  <si>
    <t>Nr. mișcări</t>
  </si>
  <si>
    <t>Stare</t>
  </si>
  <si>
    <t>TOTAL</t>
  </si>
  <si>
    <t>Model fișă de magazie Excel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</si>
  <si>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</si>
  <si>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</si>
  <si>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modelexcel.ro/model-fisa-de-magazie-excel/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</si>
</sst>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0"/>
  </numFmts>
  <fonts count="13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17734A"/>
      <name val="Calibri"/>
      <family val="2"/>
    </font>
    <font>
      <i/>
      <sz val="10"/>
      <color theme="1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b/>
      <sz val="18"/>
      <color rgb="FF17734A"/>
      <name val="Calibri"/>
      <family val="2"/>
    </font>
    <font>
      <b/>
      <sz val="14"/>
      <color theme="1"/>
      <name val="Calibri"/>
      <family val="2"/>
    </font>
    <font>
      <sz val="10"/>
      <color rgb="FFB4322A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rgb="FF6D6D6D"/>
      <name val="Calibri"/>
      <family val="2"/>
    </font>
    <font>
      <i/>
      <sz val="11"/>
      <color rgb="FF6D6D6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7734A"/>
        <bgColor indexed="64"/>
      </patternFill>
    </fill>
    <fill>
      <patternFill patternType="solid">
        <fgColor rgb="FFF6FAF7"/>
        <bgColor indexed="64"/>
      </patternFill>
    </fill>
    <fill>
      <patternFill patternType="solid">
        <fgColor rgb="FFE3F1E9"/>
        <bgColor indexed="64"/>
      </patternFill>
    </fill>
  </fills>
  <borders count="2">
    <border>
      <left/>
      <right/>
      <top/>
      <bottom/>
      <diagonal/>
    </border>
    <border>
      <left style="thin">
        <color rgb="FFD8E0DB"/>
      </left>
      <right style="thin">
        <color rgb="FFD8E0DB"/>
      </right>
      <top style="thin">
        <color rgb="FFD8E0DB"/>
      </top>
      <bottom style="thin">
        <color rgb="FFD8E0DB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4" fontId="1" fillId="3" borderId="1" xfId="0" applyNumberFormat="1" applyFont="1" applyFill="1" applyBorder="1"/>
    <xf numFmtId="164" fontId="1" fillId="3" borderId="1" xfId="0" applyNumberFormat="1" applyFont="1" applyFill="1" applyBorder="1"/>
    <xf numFmtId="14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5" fillId="0" borderId="1" xfId="0" applyNumberFormat="1" applyFont="1" applyBorder="1"/>
    <xf numFmtId="0" fontId="7" fillId="0" borderId="0" xfId="0" applyFont="1"/>
    <xf numFmtId="0" fontId="5" fillId="0" borderId="0" xfId="0" applyFont="1" applyAlignment="1">
      <alignment horizontal="right"/>
    </xf>
    <xf numFmtId="0" fontId="8" fillId="4" borderId="0" xfId="0" applyFont="1" applyFill="1" applyAlignment="1">
      <alignment horizontal="center"/>
    </xf>
    <xf numFmtId="164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164" fontId="3" fillId="4" borderId="1" xfId="0" applyNumberFormat="1" applyFont="1" applyFill="1" applyBorder="1"/>
    <xf numFmtId="164" fontId="1" fillId="0" borderId="1" xfId="0" applyNumberFormat="1" applyFont="1" applyBorder="1"/>
    <xf numFmtId="0" fontId="5" fillId="4" borderId="1" xfId="0" applyFont="1" applyFill="1" applyBorder="1"/>
    <xf numFmtId="164" fontId="5" fillId="4" borderId="1" xfId="0" applyNumberFormat="1" applyFont="1" applyFill="1" applyBorder="1"/>
    <xf numFmtId="0" fontId="9" fillId="0" borderId="0" xfId="0" applyFont="1"/>
    <xf numFmtId="4" fontId="1" fillId="0" borderId="1" xfId="0" applyNumberFormat="1" applyFont="1" applyBorder="1"/>
    <xf numFmtId="4" fontId="5" fillId="4" borderId="1" xfId="0" applyNumberFormat="1" applyFont="1" applyFill="1" applyBorder="1"/>
    <xf numFmtId="0" fontId="1" fillId="4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left"/>
    </xf>
    <xf numFmtId="0" fontId="8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8">
    <dxf>
      <font>
        <color rgb="FFFFFFFF"/>
      </font>
      <fill>
        <patternFill>
          <bgColor rgb="FFB4322A"/>
        </patternFill>
      </fill>
    </dxf>
    <dxf>
      <fill>
        <patternFill>
          <bgColor rgb="FFFFE68C"/>
        </patternFill>
      </fill>
    </dxf>
    <dxf>
      <font>
        <color rgb="FFFFFFFF"/>
      </font>
      <fill>
        <patternFill>
          <bgColor rgb="FFB4322A"/>
        </patternFill>
      </fill>
    </dxf>
    <dxf>
      <font>
        <color rgb="FFFFFFFF"/>
      </font>
      <fill>
        <patternFill>
          <bgColor rgb="FFB4322A"/>
        </patternFill>
      </fill>
    </dxf>
    <dxf>
      <font>
        <b/>
        <i val="0"/>
        <color rgb="FFB4322A"/>
      </font>
    </dxf>
    <dxf>
      <fill>
        <patternFill>
          <bgColor rgb="FFFFE68C"/>
        </patternFill>
      </fill>
    </dxf>
    <dxf>
      <font>
        <color rgb="FFFFFFFF"/>
      </font>
      <fill>
        <patternFill>
          <bgColor rgb="FFB4322A"/>
        </patternFill>
      </fill>
    </dxf>
    <dxf>
      <fill>
        <patternFill>
          <bgColor rgb="FFFFE68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fisa-de-magazie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61C68-2BF0-49F0-8CEB-841FEC2769DD}">
  <sheetPr>
    <pageSetUpPr fitToPage="1"/>
  </sheetPr>
  <dimension ref="B1:ZZ1000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10.7109375" style="1" customWidth="1"/>
    <col min="3" max="3" width="11.7109375" style="1" customWidth="1"/>
    <col min="4" max="4" width="26.7109375" style="1" customWidth="1"/>
    <col min="5" max="5" width="33.7109375" style="1" customWidth="1"/>
    <col min="6" max="7" width="9.7109375" style="1" customWidth="1"/>
    <col min="8" max="8" width="10.7109375" style="1" customWidth="1"/>
    <col min="9" max="9" width="12.7109375" style="1" customWidth="1"/>
    <col min="10" max="16384" width="11.42578125" style="1"/>
  </cols>
  <sheetData>
    <row r="1" spans="2:9" x14ac:dyDescent="0.2">
      <c r="B1" s="4" t="s">
        <v>62</v>
      </c>
      <c r="C1" s="4" t="s">
        <v>63</v>
      </c>
    </row>
    <row r="2" spans="2:9" ht="23.25" x14ac:dyDescent="0.35">
      <c r="B2" s="15" t="s">
        <v>64</v>
      </c>
      <c r="G2" s="16" t="s">
        <v>65</v>
      </c>
      <c r="H2" s="17" t="s">
        <v>8</v>
      </c>
      <c r="I2" s="3" t="s">
        <v>66</v>
      </c>
    </row>
    <row r="4" spans="2:9" x14ac:dyDescent="0.2">
      <c r="B4" s="4" t="s">
        <v>67</v>
      </c>
      <c r="C4" s="30" t="s">
        <v>68</v>
      </c>
      <c r="D4" s="30"/>
      <c r="E4" s="30"/>
    </row>
    <row r="5" spans="2:9" x14ac:dyDescent="0.2">
      <c r="B5" s="4" t="s">
        <v>69</v>
      </c>
      <c r="C5" s="31" t="str">
        <f>IFERROR(VLOOKUP(CodFisa,TabProd,2,FALSE),"Cod inexistent")</f>
        <v>Cablu electric CYY-F 3×2,5 mm²</v>
      </c>
      <c r="D5" s="31"/>
      <c r="E5" s="31"/>
      <c r="G5" s="16" t="s">
        <v>72</v>
      </c>
      <c r="H5" s="18">
        <f>IFERROR(VLOOKUP(CodFisa,TabProd,6,FALSE),"")</f>
        <v>150</v>
      </c>
    </row>
    <row r="6" spans="2:9" x14ac:dyDescent="0.2">
      <c r="B6" s="4" t="s">
        <v>70</v>
      </c>
      <c r="C6" s="31" t="str">
        <f>IFERROR(VLOOKUP(CodFisa,TabProd,3,FALSE),"")</f>
        <v>m</v>
      </c>
      <c r="D6" s="31"/>
      <c r="E6" s="31"/>
      <c r="G6" s="16" t="s">
        <v>73</v>
      </c>
      <c r="H6" s="20">
        <f>IFERROR(VLOOKUP(CodFisa,TabProd,5,FALSE),0)+SUMIFS(Mișcări!$H$5:$H$2004,Mișcări!$E$5:$E$2004,CodFisa)-SUMIFS(Mișcări!$I$5:$I$2004,Mișcări!$E$5:$E$2004,CodFisa)</f>
        <v>267</v>
      </c>
    </row>
    <row r="7" spans="2:9" x14ac:dyDescent="0.2">
      <c r="B7" s="4" t="s">
        <v>71</v>
      </c>
      <c r="C7" s="32">
        <f>IFERROR(VLOOKUP(CodFisa,TabProd,4,FALSE),"")</f>
        <v>7.8</v>
      </c>
      <c r="D7" s="31"/>
      <c r="E7" s="31"/>
      <c r="G7" s="16" t="s">
        <v>74</v>
      </c>
      <c r="H7" s="19">
        <f>IFERROR(H6*VLOOKUP(CodFisa,TabProd,4,FALSE),0)</f>
        <v>2082.6</v>
      </c>
    </row>
    <row r="9" spans="2:9" x14ac:dyDescent="0.2">
      <c r="B9" s="5" t="s">
        <v>75</v>
      </c>
      <c r="C9" s="5" t="s">
        <v>34</v>
      </c>
      <c r="D9" s="5" t="s">
        <v>76</v>
      </c>
      <c r="E9" s="5" t="s">
        <v>42</v>
      </c>
      <c r="F9" s="5" t="s">
        <v>77</v>
      </c>
      <c r="G9" s="5" t="s">
        <v>78</v>
      </c>
      <c r="H9" s="5" t="s">
        <v>79</v>
      </c>
      <c r="I9" s="5" t="s">
        <v>80</v>
      </c>
    </row>
    <row r="10" spans="2:9" x14ac:dyDescent="0.2">
      <c r="B10" s="21" t="s">
        <v>81</v>
      </c>
      <c r="C10" s="21"/>
      <c r="D10" s="21"/>
      <c r="E10" s="22" t="s">
        <v>6</v>
      </c>
      <c r="F10" s="23"/>
      <c r="G10" s="23"/>
      <c r="H10" s="23">
        <f>IFERROR(VLOOKUP(CodFisa,TabProd,5,FALSE),0)</f>
        <v>400</v>
      </c>
      <c r="I10" s="22"/>
    </row>
    <row r="11" spans="2:9" x14ac:dyDescent="0.2">
      <c r="B11" s="13">
        <f>IF(ISNUMBER(MATCH(CodFisa&amp;"|"&amp;1,Mișcări!$M$5:$M$2004,0)),1,"")</f>
        <v>1</v>
      </c>
      <c r="C11" s="13" t="str">
        <f>IF($B11="","",RIGHT("0"&amp;DAY(INDEX(Mișcări!$B$5:$B$2004,MATCH(CodFisa&amp;"|"&amp;1,Mișcări!$M$5:$M$2004,0))),2)&amp;"."&amp;RIGHT("0"&amp;MONTH(INDEX(Mișcări!$B$5:$B$2004,MATCH(CodFisa&amp;"|"&amp;1,Mișcări!$M$5:$M$2004,0))),2)&amp;"."&amp;YEAR(INDEX(Mișcări!$B$5:$B$2004,MATCH(CodFisa&amp;"|"&amp;1,Mișcări!$M$5:$M$2004,0))))</f>
        <v>01.10.2026</v>
      </c>
      <c r="D11" s="13" t="str">
        <f>IF($B11="","",INDEX(Mișcări!$C$5:$C$2004,MATCH(CodFisa&amp;"|"&amp;1,Mișcări!$M$5:$M$2004,0))&amp;" "&amp;INDEX(Mișcări!$D$5:$D$2004,MATCH(CodFisa&amp;"|"&amp;1,Mișcări!$M$5:$M$2004,0)))</f>
        <v>NIR 1045</v>
      </c>
      <c r="E11" s="12" t="str">
        <f>IF($B11="","",INDEX(Mișcări!$K$5:$K$2004,MATCH(CodFisa&amp;"|"&amp;1,Mișcări!$M$5:$M$2004,0)))</f>
        <v>Recepție comandă furnizor</v>
      </c>
      <c r="F11" s="24">
        <f>IF($B11="","",IF(N(INDEX(Mișcări!$H$5:$H$2004,MATCH(CodFisa&amp;"|"&amp;1,Mișcări!$M$5:$M$2004,0)))=0,"",INDEX(Mișcări!$H$5:$H$2004,MATCH(CodFisa&amp;"|"&amp;1,Mișcări!$M$5:$M$2004,0))))</f>
        <v>200</v>
      </c>
      <c r="G11" s="24" t="str">
        <f>IF($B11="","",IF(N(INDEX(Mișcări!$I$5:$I$2004,MATCH(CodFisa&amp;"|"&amp;1,Mișcări!$M$5:$M$2004,0)))=0,"",INDEX(Mișcări!$I$5:$I$2004,MATCH(CodFisa&amp;"|"&amp;1,Mișcări!$M$5:$M$2004,0))))</f>
        <v/>
      </c>
      <c r="H11" s="14">
        <f>IF($B11="","",INDEX(Mișcări!$J$5:$J$2004,MATCH(CodFisa&amp;"|"&amp;1,Mișcări!$M$5:$M$2004,0)))</f>
        <v>600</v>
      </c>
      <c r="I11" s="12"/>
    </row>
    <row r="12" spans="2:9" x14ac:dyDescent="0.2">
      <c r="B12" s="13">
        <f>IF(ISNUMBER(MATCH(CodFisa&amp;"|"&amp;2,Mișcări!$M$5:$M$2004,0)),2,"")</f>
        <v>2</v>
      </c>
      <c r="C12" s="13" t="str">
        <f>IF($B12="","",RIGHT("0"&amp;DAY(INDEX(Mișcări!$B$5:$B$2004,MATCH(CodFisa&amp;"|"&amp;2,Mișcări!$M$5:$M$2004,0))),2)&amp;"."&amp;RIGHT("0"&amp;MONTH(INDEX(Mișcări!$B$5:$B$2004,MATCH(CodFisa&amp;"|"&amp;2,Mișcări!$M$5:$M$2004,0))),2)&amp;"."&amp;YEAR(INDEX(Mișcări!$B$5:$B$2004,MATCH(CodFisa&amp;"|"&amp;2,Mișcări!$M$5:$M$2004,0))))</f>
        <v>02.10.2026</v>
      </c>
      <c r="D12" s="13" t="str">
        <f>IF($B12="","",INDEX(Mișcări!$C$5:$C$2004,MATCH(CodFisa&amp;"|"&amp;2,Mișcări!$M$5:$M$2004,0))&amp;" "&amp;INDEX(Mișcări!$D$5:$D$2004,MATCH(CodFisa&amp;"|"&amp;2,Mișcări!$M$5:$M$2004,0)))</f>
        <v>Bon de consum 311</v>
      </c>
      <c r="E12" s="12" t="str">
        <f>IF($B12="","",INDEX(Mișcări!$K$5:$K$2004,MATCH(CodFisa&amp;"|"&amp;2,Mișcări!$M$5:$M$2004,0)))</f>
        <v>Lucrare hală Ploiești</v>
      </c>
      <c r="F12" s="24" t="str">
        <f>IF($B12="","",IF(N(INDEX(Mișcări!$H$5:$H$2004,MATCH(CodFisa&amp;"|"&amp;2,Mișcări!$M$5:$M$2004,0)))=0,"",INDEX(Mișcări!$H$5:$H$2004,MATCH(CodFisa&amp;"|"&amp;2,Mișcări!$M$5:$M$2004,0))))</f>
        <v/>
      </c>
      <c r="G12" s="24">
        <f>IF($B12="","",IF(N(INDEX(Mișcări!$I$5:$I$2004,MATCH(CodFisa&amp;"|"&amp;2,Mișcări!$M$5:$M$2004,0)))=0,"",INDEX(Mișcări!$I$5:$I$2004,MATCH(CodFisa&amp;"|"&amp;2,Mișcări!$M$5:$M$2004,0))))</f>
        <v>120</v>
      </c>
      <c r="H12" s="14">
        <f>IF($B12="","",INDEX(Mișcări!$J$5:$J$2004,MATCH(CodFisa&amp;"|"&amp;2,Mișcări!$M$5:$M$2004,0)))</f>
        <v>480</v>
      </c>
      <c r="I12" s="12"/>
    </row>
    <row r="13" spans="2:9" x14ac:dyDescent="0.2">
      <c r="B13" s="13">
        <f>IF(ISNUMBER(MATCH(CodFisa&amp;"|"&amp;3,Mișcări!$M$5:$M$2004,0)),3,"")</f>
        <v>3</v>
      </c>
      <c r="C13" s="13" t="str">
        <f>IF($B13="","",RIGHT("0"&amp;DAY(INDEX(Mișcări!$B$5:$B$2004,MATCH(CodFisa&amp;"|"&amp;3,Mișcări!$M$5:$M$2004,0))),2)&amp;"."&amp;RIGHT("0"&amp;MONTH(INDEX(Mișcări!$B$5:$B$2004,MATCH(CodFisa&amp;"|"&amp;3,Mișcări!$M$5:$M$2004,0))),2)&amp;"."&amp;YEAR(INDEX(Mișcări!$B$5:$B$2004,MATCH(CodFisa&amp;"|"&amp;3,Mișcări!$M$5:$M$2004,0))))</f>
        <v>06.10.2026</v>
      </c>
      <c r="D13" s="13" t="str">
        <f>IF($B13="","",INDEX(Mișcări!$C$5:$C$2004,MATCH(CodFisa&amp;"|"&amp;3,Mișcări!$M$5:$M$2004,0))&amp;" "&amp;INDEX(Mișcări!$D$5:$D$2004,MATCH(CodFisa&amp;"|"&amp;3,Mișcări!$M$5:$M$2004,0)))</f>
        <v>Bon de consum 312</v>
      </c>
      <c r="E13" s="12" t="str">
        <f>IF($B13="","",INDEX(Mișcări!$K$5:$K$2004,MATCH(CodFisa&amp;"|"&amp;3,Mișcări!$M$5:$M$2004,0)))</f>
        <v>Lucrare birouri Buftea</v>
      </c>
      <c r="F13" s="24" t="str">
        <f>IF($B13="","",IF(N(INDEX(Mișcări!$H$5:$H$2004,MATCH(CodFisa&amp;"|"&amp;3,Mișcări!$M$5:$M$2004,0)))=0,"",INDEX(Mișcări!$H$5:$H$2004,MATCH(CodFisa&amp;"|"&amp;3,Mișcări!$M$5:$M$2004,0))))</f>
        <v/>
      </c>
      <c r="G13" s="24">
        <f>IF($B13="","",IF(N(INDEX(Mișcări!$I$5:$I$2004,MATCH(CodFisa&amp;"|"&amp;3,Mișcări!$M$5:$M$2004,0)))=0,"",INDEX(Mișcări!$I$5:$I$2004,MATCH(CodFisa&amp;"|"&amp;3,Mișcări!$M$5:$M$2004,0))))</f>
        <v>95</v>
      </c>
      <c r="H13" s="14">
        <f>IF($B13="","",INDEX(Mișcări!$J$5:$J$2004,MATCH(CodFisa&amp;"|"&amp;3,Mișcări!$M$5:$M$2004,0)))</f>
        <v>385</v>
      </c>
      <c r="I13" s="12"/>
    </row>
    <row r="14" spans="2:9" x14ac:dyDescent="0.2">
      <c r="B14" s="13">
        <f>IF(ISNUMBER(MATCH(CodFisa&amp;"|"&amp;4,Mișcări!$M$5:$M$2004,0)),4,"")</f>
        <v>4</v>
      </c>
      <c r="C14" s="13" t="str">
        <f>IF($B14="","",RIGHT("0"&amp;DAY(INDEX(Mișcări!$B$5:$B$2004,MATCH(CodFisa&amp;"|"&amp;4,Mișcări!$M$5:$M$2004,0))),2)&amp;"."&amp;RIGHT("0"&amp;MONTH(INDEX(Mișcări!$B$5:$B$2004,MATCH(CodFisa&amp;"|"&amp;4,Mișcări!$M$5:$M$2004,0))),2)&amp;"."&amp;YEAR(INDEX(Mișcări!$B$5:$B$2004,MATCH(CodFisa&amp;"|"&amp;4,Mișcări!$M$5:$M$2004,0))))</f>
        <v>08.10.2026</v>
      </c>
      <c r="D14" s="13" t="str">
        <f>IF($B14="","",INDEX(Mișcări!$C$5:$C$2004,MATCH(CodFisa&amp;"|"&amp;4,Mișcări!$M$5:$M$2004,0))&amp;" "&amp;INDEX(Mișcări!$D$5:$D$2004,MATCH(CodFisa&amp;"|"&amp;4,Mișcări!$M$5:$M$2004,0)))</f>
        <v>Retur 312</v>
      </c>
      <c r="E14" s="12" t="str">
        <f>IF($B14="","",INDEX(Mișcări!$K$5:$K$2004,MATCH(CodFisa&amp;"|"&amp;4,Mișcări!$M$5:$M$2004,0)))</f>
        <v>Material neconsumat returnat</v>
      </c>
      <c r="F14" s="24">
        <f>IF($B14="","",IF(N(INDEX(Mișcări!$H$5:$H$2004,MATCH(CodFisa&amp;"|"&amp;4,Mișcări!$M$5:$M$2004,0)))=0,"",INDEX(Mișcări!$H$5:$H$2004,MATCH(CodFisa&amp;"|"&amp;4,Mișcări!$M$5:$M$2004,0))))</f>
        <v>15</v>
      </c>
      <c r="G14" s="24" t="str">
        <f>IF($B14="","",IF(N(INDEX(Mișcări!$I$5:$I$2004,MATCH(CodFisa&amp;"|"&amp;4,Mișcări!$M$5:$M$2004,0)))=0,"",INDEX(Mișcări!$I$5:$I$2004,MATCH(CodFisa&amp;"|"&amp;4,Mișcări!$M$5:$M$2004,0))))</f>
        <v/>
      </c>
      <c r="H14" s="14">
        <f>IF($B14="","",INDEX(Mișcări!$J$5:$J$2004,MATCH(CodFisa&amp;"|"&amp;4,Mișcări!$M$5:$M$2004,0)))</f>
        <v>400</v>
      </c>
      <c r="I14" s="12"/>
    </row>
    <row r="15" spans="2:9" x14ac:dyDescent="0.2">
      <c r="B15" s="13">
        <f>IF(ISNUMBER(MATCH(CodFisa&amp;"|"&amp;5,Mișcări!$M$5:$M$2004,0)),5,"")</f>
        <v>5</v>
      </c>
      <c r="C15" s="13" t="str">
        <f>IF($B15="","",RIGHT("0"&amp;DAY(INDEX(Mișcări!$B$5:$B$2004,MATCH(CodFisa&amp;"|"&amp;5,Mișcări!$M$5:$M$2004,0))),2)&amp;"."&amp;RIGHT("0"&amp;MONTH(INDEX(Mișcări!$B$5:$B$2004,MATCH(CodFisa&amp;"|"&amp;5,Mișcări!$M$5:$M$2004,0))),2)&amp;"."&amp;YEAR(INDEX(Mișcări!$B$5:$B$2004,MATCH(CodFisa&amp;"|"&amp;5,Mișcări!$M$5:$M$2004,0))))</f>
        <v>13.10.2026</v>
      </c>
      <c r="D15" s="13" t="str">
        <f>IF($B15="","",INDEX(Mișcări!$C$5:$C$2004,MATCH(CodFisa&amp;"|"&amp;5,Mișcări!$M$5:$M$2004,0))&amp;" "&amp;INDEX(Mișcări!$D$5:$D$2004,MATCH(CodFisa&amp;"|"&amp;5,Mișcări!$M$5:$M$2004,0)))</f>
        <v>Bon de consum 314</v>
      </c>
      <c r="E15" s="12" t="str">
        <f>IF($B15="","",INDEX(Mișcări!$K$5:$K$2004,MATCH(CodFisa&amp;"|"&amp;5,Mișcări!$M$5:$M$2004,0)))</f>
        <v>Lucrare depozit Chitila</v>
      </c>
      <c r="F15" s="24" t="str">
        <f>IF($B15="","",IF(N(INDEX(Mișcări!$H$5:$H$2004,MATCH(CodFisa&amp;"|"&amp;5,Mișcări!$M$5:$M$2004,0)))=0,"",INDEX(Mișcări!$H$5:$H$2004,MATCH(CodFisa&amp;"|"&amp;5,Mișcări!$M$5:$M$2004,0))))</f>
        <v/>
      </c>
      <c r="G15" s="24">
        <f>IF($B15="","",IF(N(INDEX(Mișcări!$I$5:$I$2004,MATCH(CodFisa&amp;"|"&amp;5,Mișcări!$M$5:$M$2004,0)))=0,"",INDEX(Mișcări!$I$5:$I$2004,MATCH(CodFisa&amp;"|"&amp;5,Mișcări!$M$5:$M$2004,0))))</f>
        <v>180</v>
      </c>
      <c r="H15" s="14">
        <f>IF($B15="","",INDEX(Mișcări!$J$5:$J$2004,MATCH(CodFisa&amp;"|"&amp;5,Mișcări!$M$5:$M$2004,0)))</f>
        <v>220</v>
      </c>
      <c r="I15" s="12"/>
    </row>
    <row r="16" spans="2:9" x14ac:dyDescent="0.2">
      <c r="B16" s="13">
        <f>IF(ISNUMBER(MATCH(CodFisa&amp;"|"&amp;6,Mișcări!$M$5:$M$2004,0)),6,"")</f>
        <v>6</v>
      </c>
      <c r="C16" s="13" t="str">
        <f>IF($B16="","",RIGHT("0"&amp;DAY(INDEX(Mișcări!$B$5:$B$2004,MATCH(CodFisa&amp;"|"&amp;6,Mișcări!$M$5:$M$2004,0))),2)&amp;"."&amp;RIGHT("0"&amp;MONTH(INDEX(Mișcări!$B$5:$B$2004,MATCH(CodFisa&amp;"|"&amp;6,Mișcări!$M$5:$M$2004,0))),2)&amp;"."&amp;YEAR(INDEX(Mișcări!$B$5:$B$2004,MATCH(CodFisa&amp;"|"&amp;6,Mișcări!$M$5:$M$2004,0))))</f>
        <v>16.10.2026</v>
      </c>
      <c r="D16" s="13" t="str">
        <f>IF($B16="","",INDEX(Mișcări!$C$5:$C$2004,MATCH(CodFisa&amp;"|"&amp;6,Mișcări!$M$5:$M$2004,0))&amp;" "&amp;INDEX(Mișcări!$D$5:$D$2004,MATCH(CodFisa&amp;"|"&amp;6,Mișcări!$M$5:$M$2004,0)))</f>
        <v>NIR 1060</v>
      </c>
      <c r="E16" s="12" t="str">
        <f>IF($B16="","",INDEX(Mișcări!$K$5:$K$2004,MATCH(CodFisa&amp;"|"&amp;6,Mișcări!$M$5:$M$2004,0)))</f>
        <v>Recepție comandă furnizor</v>
      </c>
      <c r="F16" s="24">
        <f>IF($B16="","",IF(N(INDEX(Mișcări!$H$5:$H$2004,MATCH(CodFisa&amp;"|"&amp;6,Mișcări!$M$5:$M$2004,0)))=0,"",INDEX(Mișcări!$H$5:$H$2004,MATCH(CodFisa&amp;"|"&amp;6,Mișcări!$M$5:$M$2004,0))))</f>
        <v>300</v>
      </c>
      <c r="G16" s="24" t="str">
        <f>IF($B16="","",IF(N(INDEX(Mișcări!$I$5:$I$2004,MATCH(CodFisa&amp;"|"&amp;6,Mișcări!$M$5:$M$2004,0)))=0,"",INDEX(Mișcări!$I$5:$I$2004,MATCH(CodFisa&amp;"|"&amp;6,Mișcări!$M$5:$M$2004,0))))</f>
        <v/>
      </c>
      <c r="H16" s="14">
        <f>IF($B16="","",INDEX(Mișcări!$J$5:$J$2004,MATCH(CodFisa&amp;"|"&amp;6,Mișcări!$M$5:$M$2004,0)))</f>
        <v>520</v>
      </c>
      <c r="I16" s="12"/>
    </row>
    <row r="17" spans="2:9" x14ac:dyDescent="0.2">
      <c r="B17" s="13">
        <f>IF(ISNUMBER(MATCH(CodFisa&amp;"|"&amp;7,Mișcări!$M$5:$M$2004,0)),7,"")</f>
        <v>7</v>
      </c>
      <c r="C17" s="13" t="str">
        <f>IF($B17="","",RIGHT("0"&amp;DAY(INDEX(Mișcări!$B$5:$B$2004,MATCH(CodFisa&amp;"|"&amp;7,Mișcări!$M$5:$M$2004,0))),2)&amp;"."&amp;RIGHT("0"&amp;MONTH(INDEX(Mișcări!$B$5:$B$2004,MATCH(CodFisa&amp;"|"&amp;7,Mișcări!$M$5:$M$2004,0))),2)&amp;"."&amp;YEAR(INDEX(Mișcări!$B$5:$B$2004,MATCH(CodFisa&amp;"|"&amp;7,Mișcări!$M$5:$M$2004,0))))</f>
        <v>19.10.2026</v>
      </c>
      <c r="D17" s="13" t="str">
        <f>IF($B17="","",INDEX(Mișcări!$C$5:$C$2004,MATCH(CodFisa&amp;"|"&amp;7,Mișcări!$M$5:$M$2004,0))&amp;" "&amp;INDEX(Mișcări!$D$5:$D$2004,MATCH(CodFisa&amp;"|"&amp;7,Mișcări!$M$5:$M$2004,0)))</f>
        <v>Bon de consum 315</v>
      </c>
      <c r="E17" s="12" t="str">
        <f>IF($B17="","",INDEX(Mișcări!$K$5:$K$2004,MATCH(CodFisa&amp;"|"&amp;7,Mișcări!$M$5:$M$2004,0)))</f>
        <v>Lucrare depozit Chitila</v>
      </c>
      <c r="F17" s="24" t="str">
        <f>IF($B17="","",IF(N(INDEX(Mișcări!$H$5:$H$2004,MATCH(CodFisa&amp;"|"&amp;7,Mișcări!$M$5:$M$2004,0)))=0,"",INDEX(Mișcări!$H$5:$H$2004,MATCH(CodFisa&amp;"|"&amp;7,Mișcări!$M$5:$M$2004,0))))</f>
        <v/>
      </c>
      <c r="G17" s="24">
        <f>IF($B17="","",IF(N(INDEX(Mișcări!$I$5:$I$2004,MATCH(CodFisa&amp;"|"&amp;7,Mișcări!$M$5:$M$2004,0)))=0,"",INDEX(Mișcări!$I$5:$I$2004,MATCH(CodFisa&amp;"|"&amp;7,Mișcări!$M$5:$M$2004,0))))</f>
        <v>140</v>
      </c>
      <c r="H17" s="14">
        <f>IF($B17="","",INDEX(Mișcări!$J$5:$J$2004,MATCH(CodFisa&amp;"|"&amp;7,Mișcări!$M$5:$M$2004,0)))</f>
        <v>380</v>
      </c>
      <c r="I17" s="12"/>
    </row>
    <row r="18" spans="2:9" x14ac:dyDescent="0.2">
      <c r="B18" s="13">
        <f>IF(ISNUMBER(MATCH(CodFisa&amp;"|"&amp;8,Mișcări!$M$5:$M$2004,0)),8,"")</f>
        <v>8</v>
      </c>
      <c r="C18" s="13" t="str">
        <f>IF($B18="","",RIGHT("0"&amp;DAY(INDEX(Mișcări!$B$5:$B$2004,MATCH(CodFisa&amp;"|"&amp;8,Mișcări!$M$5:$M$2004,0))),2)&amp;"."&amp;RIGHT("0"&amp;MONTH(INDEX(Mișcări!$B$5:$B$2004,MATCH(CodFisa&amp;"|"&amp;8,Mișcări!$M$5:$M$2004,0))),2)&amp;"."&amp;YEAR(INDEX(Mișcări!$B$5:$B$2004,MATCH(CodFisa&amp;"|"&amp;8,Mișcări!$M$5:$M$2004,0))))</f>
        <v>26.10.2026</v>
      </c>
      <c r="D18" s="13" t="str">
        <f>IF($B18="","",INDEX(Mișcări!$C$5:$C$2004,MATCH(CodFisa&amp;"|"&amp;8,Mișcări!$M$5:$M$2004,0))&amp;" "&amp;INDEX(Mișcări!$D$5:$D$2004,MATCH(CodFisa&amp;"|"&amp;8,Mișcări!$M$5:$M$2004,0)))</f>
        <v>Bon de consum 317</v>
      </c>
      <c r="E18" s="12" t="str">
        <f>IF($B18="","",INDEX(Mișcări!$K$5:$K$2004,MATCH(CodFisa&amp;"|"&amp;8,Mișcări!$M$5:$M$2004,0)))</f>
        <v>Lucrare showroom Otopeni</v>
      </c>
      <c r="F18" s="24" t="str">
        <f>IF($B18="","",IF(N(INDEX(Mișcări!$H$5:$H$2004,MATCH(CodFisa&amp;"|"&amp;8,Mișcări!$M$5:$M$2004,0)))=0,"",INDEX(Mișcări!$H$5:$H$2004,MATCH(CodFisa&amp;"|"&amp;8,Mișcări!$M$5:$M$2004,0))))</f>
        <v/>
      </c>
      <c r="G18" s="24">
        <f>IF($B18="","",IF(N(INDEX(Mișcări!$I$5:$I$2004,MATCH(CodFisa&amp;"|"&amp;8,Mișcări!$M$5:$M$2004,0)))=0,"",INDEX(Mișcări!$I$5:$I$2004,MATCH(CodFisa&amp;"|"&amp;8,Mișcări!$M$5:$M$2004,0))))</f>
        <v>110</v>
      </c>
      <c r="H18" s="14">
        <f>IF($B18="","",INDEX(Mișcări!$J$5:$J$2004,MATCH(CodFisa&amp;"|"&amp;8,Mișcări!$M$5:$M$2004,0)))</f>
        <v>270</v>
      </c>
      <c r="I18" s="12"/>
    </row>
    <row r="19" spans="2:9" x14ac:dyDescent="0.2">
      <c r="B19" s="13">
        <f>IF(ISNUMBER(MATCH(CodFisa&amp;"|"&amp;9,Mișcări!$M$5:$M$2004,0)),9,"")</f>
        <v>9</v>
      </c>
      <c r="C19" s="13" t="str">
        <f>IF($B19="","",RIGHT("0"&amp;DAY(INDEX(Mișcări!$B$5:$B$2004,MATCH(CodFisa&amp;"|"&amp;9,Mișcări!$M$5:$M$2004,0))),2)&amp;"."&amp;RIGHT("0"&amp;MONTH(INDEX(Mișcări!$B$5:$B$2004,MATCH(CodFisa&amp;"|"&amp;9,Mișcări!$M$5:$M$2004,0))),2)&amp;"."&amp;YEAR(INDEX(Mișcări!$B$5:$B$2004,MATCH(CodFisa&amp;"|"&amp;9,Mișcări!$M$5:$M$2004,0))))</f>
        <v>30.10.2026</v>
      </c>
      <c r="D19" s="13" t="str">
        <f>IF($B19="","",INDEX(Mișcări!$C$5:$C$2004,MATCH(CodFisa&amp;"|"&amp;9,Mișcări!$M$5:$M$2004,0))&amp;" "&amp;INDEX(Mișcări!$D$5:$D$2004,MATCH(CodFisa&amp;"|"&amp;9,Mișcări!$M$5:$M$2004,0)))</f>
        <v>Proces-verbal inventar PV-10</v>
      </c>
      <c r="E19" s="12" t="str">
        <f>IF($B19="","",INDEX(Mișcări!$K$5:$K$2004,MATCH(CodFisa&amp;"|"&amp;9,Mișcări!$M$5:$M$2004,0)))</f>
        <v>Lipsă la inventar (capete de rolă)</v>
      </c>
      <c r="F19" s="24" t="str">
        <f>IF($B19="","",IF(N(INDEX(Mișcări!$H$5:$H$2004,MATCH(CodFisa&amp;"|"&amp;9,Mișcări!$M$5:$M$2004,0)))=0,"",INDEX(Mișcări!$H$5:$H$2004,MATCH(CodFisa&amp;"|"&amp;9,Mișcări!$M$5:$M$2004,0))))</f>
        <v/>
      </c>
      <c r="G19" s="24">
        <f>IF($B19="","",IF(N(INDEX(Mișcări!$I$5:$I$2004,MATCH(CodFisa&amp;"|"&amp;9,Mișcări!$M$5:$M$2004,0)))=0,"",INDEX(Mișcări!$I$5:$I$2004,MATCH(CodFisa&amp;"|"&amp;9,Mișcări!$M$5:$M$2004,0))))</f>
        <v>3</v>
      </c>
      <c r="H19" s="14">
        <f>IF($B19="","",INDEX(Mișcări!$J$5:$J$2004,MATCH(CodFisa&amp;"|"&amp;9,Mișcări!$M$5:$M$2004,0)))</f>
        <v>267</v>
      </c>
      <c r="I19" s="12"/>
    </row>
    <row r="20" spans="2:9" x14ac:dyDescent="0.2">
      <c r="B20" s="13" t="str">
        <f>IF(ISNUMBER(MATCH(CodFisa&amp;"|"&amp;10,Mișcări!$M$5:$M$2004,0)),10,"")</f>
        <v/>
      </c>
      <c r="C20" s="13" t="str">
        <f>IF($B20="","",RIGHT("0"&amp;DAY(INDEX(Mișcări!$B$5:$B$2004,MATCH(CodFisa&amp;"|"&amp;10,Mișcări!$M$5:$M$2004,0))),2)&amp;"."&amp;RIGHT("0"&amp;MONTH(INDEX(Mișcări!$B$5:$B$2004,MATCH(CodFisa&amp;"|"&amp;10,Mișcări!$M$5:$M$2004,0))),2)&amp;"."&amp;YEAR(INDEX(Mișcări!$B$5:$B$2004,MATCH(CodFisa&amp;"|"&amp;10,Mișcări!$M$5:$M$2004,0))))</f>
        <v/>
      </c>
      <c r="D20" s="13" t="str">
        <f>IF($B20="","",INDEX(Mișcări!$C$5:$C$2004,MATCH(CodFisa&amp;"|"&amp;10,Mișcări!$M$5:$M$2004,0))&amp;" "&amp;INDEX(Mișcări!$D$5:$D$2004,MATCH(CodFisa&amp;"|"&amp;10,Mișcări!$M$5:$M$2004,0)))</f>
        <v/>
      </c>
      <c r="E20" s="12" t="str">
        <f>IF($B20="","",INDEX(Mișcări!$K$5:$K$2004,MATCH(CodFisa&amp;"|"&amp;10,Mișcări!$M$5:$M$2004,0)))</f>
        <v/>
      </c>
      <c r="F20" s="24" t="str">
        <f>IF($B20="","",IF(N(INDEX(Mișcări!$H$5:$H$2004,MATCH(CodFisa&amp;"|"&amp;10,Mișcări!$M$5:$M$2004,0)))=0,"",INDEX(Mișcări!$H$5:$H$2004,MATCH(CodFisa&amp;"|"&amp;10,Mișcări!$M$5:$M$2004,0))))</f>
        <v/>
      </c>
      <c r="G20" s="24" t="str">
        <f>IF($B20="","",IF(N(INDEX(Mișcări!$I$5:$I$2004,MATCH(CodFisa&amp;"|"&amp;10,Mișcări!$M$5:$M$2004,0)))=0,"",INDEX(Mișcări!$I$5:$I$2004,MATCH(CodFisa&amp;"|"&amp;10,Mișcări!$M$5:$M$2004,0))))</f>
        <v/>
      </c>
      <c r="H20" s="14" t="str">
        <f>IF($B20="","",INDEX(Mișcări!$J$5:$J$2004,MATCH(CodFisa&amp;"|"&amp;10,Mișcări!$M$5:$M$2004,0)))</f>
        <v/>
      </c>
      <c r="I20" s="12"/>
    </row>
    <row r="21" spans="2:9" x14ac:dyDescent="0.2">
      <c r="B21" s="13" t="str">
        <f>IF(ISNUMBER(MATCH(CodFisa&amp;"|"&amp;11,Mișcări!$M$5:$M$2004,0)),11,"")</f>
        <v/>
      </c>
      <c r="C21" s="13" t="str">
        <f>IF($B21="","",RIGHT("0"&amp;DAY(INDEX(Mișcări!$B$5:$B$2004,MATCH(CodFisa&amp;"|"&amp;11,Mișcări!$M$5:$M$2004,0))),2)&amp;"."&amp;RIGHT("0"&amp;MONTH(INDEX(Mișcări!$B$5:$B$2004,MATCH(CodFisa&amp;"|"&amp;11,Mișcări!$M$5:$M$2004,0))),2)&amp;"."&amp;YEAR(INDEX(Mișcări!$B$5:$B$2004,MATCH(CodFisa&amp;"|"&amp;11,Mișcări!$M$5:$M$2004,0))))</f>
        <v/>
      </c>
      <c r="D21" s="13" t="str">
        <f>IF($B21="","",INDEX(Mișcări!$C$5:$C$2004,MATCH(CodFisa&amp;"|"&amp;11,Mișcări!$M$5:$M$2004,0))&amp;" "&amp;INDEX(Mișcări!$D$5:$D$2004,MATCH(CodFisa&amp;"|"&amp;11,Mișcări!$M$5:$M$2004,0)))</f>
        <v/>
      </c>
      <c r="E21" s="12" t="str">
        <f>IF($B21="","",INDEX(Mișcări!$K$5:$K$2004,MATCH(CodFisa&amp;"|"&amp;11,Mișcări!$M$5:$M$2004,0)))</f>
        <v/>
      </c>
      <c r="F21" s="24" t="str">
        <f>IF($B21="","",IF(N(INDEX(Mișcări!$H$5:$H$2004,MATCH(CodFisa&amp;"|"&amp;11,Mișcări!$M$5:$M$2004,0)))=0,"",INDEX(Mișcări!$H$5:$H$2004,MATCH(CodFisa&amp;"|"&amp;11,Mișcări!$M$5:$M$2004,0))))</f>
        <v/>
      </c>
      <c r="G21" s="24" t="str">
        <f>IF($B21="","",IF(N(INDEX(Mișcări!$I$5:$I$2004,MATCH(CodFisa&amp;"|"&amp;11,Mișcări!$M$5:$M$2004,0)))=0,"",INDEX(Mișcări!$I$5:$I$2004,MATCH(CodFisa&amp;"|"&amp;11,Mișcări!$M$5:$M$2004,0))))</f>
        <v/>
      </c>
      <c r="H21" s="14" t="str">
        <f>IF($B21="","",INDEX(Mișcări!$J$5:$J$2004,MATCH(CodFisa&amp;"|"&amp;11,Mișcări!$M$5:$M$2004,0)))</f>
        <v/>
      </c>
      <c r="I21" s="12"/>
    </row>
    <row r="22" spans="2:9" x14ac:dyDescent="0.2">
      <c r="B22" s="13" t="str">
        <f>IF(ISNUMBER(MATCH(CodFisa&amp;"|"&amp;12,Mișcări!$M$5:$M$2004,0)),12,"")</f>
        <v/>
      </c>
      <c r="C22" s="13" t="str">
        <f>IF($B22="","",RIGHT("0"&amp;DAY(INDEX(Mișcări!$B$5:$B$2004,MATCH(CodFisa&amp;"|"&amp;12,Mișcări!$M$5:$M$2004,0))),2)&amp;"."&amp;RIGHT("0"&amp;MONTH(INDEX(Mișcări!$B$5:$B$2004,MATCH(CodFisa&amp;"|"&amp;12,Mișcări!$M$5:$M$2004,0))),2)&amp;"."&amp;YEAR(INDEX(Mișcări!$B$5:$B$2004,MATCH(CodFisa&amp;"|"&amp;12,Mișcări!$M$5:$M$2004,0))))</f>
        <v/>
      </c>
      <c r="D22" s="13" t="str">
        <f>IF($B22="","",INDEX(Mișcări!$C$5:$C$2004,MATCH(CodFisa&amp;"|"&amp;12,Mișcări!$M$5:$M$2004,0))&amp;" "&amp;INDEX(Mișcări!$D$5:$D$2004,MATCH(CodFisa&amp;"|"&amp;12,Mișcări!$M$5:$M$2004,0)))</f>
        <v/>
      </c>
      <c r="E22" s="12" t="str">
        <f>IF($B22="","",INDEX(Mișcări!$K$5:$K$2004,MATCH(CodFisa&amp;"|"&amp;12,Mișcări!$M$5:$M$2004,0)))</f>
        <v/>
      </c>
      <c r="F22" s="24" t="str">
        <f>IF($B22="","",IF(N(INDEX(Mișcări!$H$5:$H$2004,MATCH(CodFisa&amp;"|"&amp;12,Mișcări!$M$5:$M$2004,0)))=0,"",INDEX(Mișcări!$H$5:$H$2004,MATCH(CodFisa&amp;"|"&amp;12,Mișcări!$M$5:$M$2004,0))))</f>
        <v/>
      </c>
      <c r="G22" s="24" t="str">
        <f>IF($B22="","",IF(N(INDEX(Mișcări!$I$5:$I$2004,MATCH(CodFisa&amp;"|"&amp;12,Mișcări!$M$5:$M$2004,0)))=0,"",INDEX(Mișcări!$I$5:$I$2004,MATCH(CodFisa&amp;"|"&amp;12,Mișcări!$M$5:$M$2004,0))))</f>
        <v/>
      </c>
      <c r="H22" s="14" t="str">
        <f>IF($B22="","",INDEX(Mișcări!$J$5:$J$2004,MATCH(CodFisa&amp;"|"&amp;12,Mișcări!$M$5:$M$2004,0)))</f>
        <v/>
      </c>
      <c r="I22" s="12"/>
    </row>
    <row r="23" spans="2:9" x14ac:dyDescent="0.2">
      <c r="B23" s="13" t="str">
        <f>IF(ISNUMBER(MATCH(CodFisa&amp;"|"&amp;13,Mișcări!$M$5:$M$2004,0)),13,"")</f>
        <v/>
      </c>
      <c r="C23" s="13" t="str">
        <f>IF($B23="","",RIGHT("0"&amp;DAY(INDEX(Mișcări!$B$5:$B$2004,MATCH(CodFisa&amp;"|"&amp;13,Mișcări!$M$5:$M$2004,0))),2)&amp;"."&amp;RIGHT("0"&amp;MONTH(INDEX(Mișcări!$B$5:$B$2004,MATCH(CodFisa&amp;"|"&amp;13,Mișcări!$M$5:$M$2004,0))),2)&amp;"."&amp;YEAR(INDEX(Mișcări!$B$5:$B$2004,MATCH(CodFisa&amp;"|"&amp;13,Mișcări!$M$5:$M$2004,0))))</f>
        <v/>
      </c>
      <c r="D23" s="13" t="str">
        <f>IF($B23="","",INDEX(Mișcări!$C$5:$C$2004,MATCH(CodFisa&amp;"|"&amp;13,Mișcări!$M$5:$M$2004,0))&amp;" "&amp;INDEX(Mișcări!$D$5:$D$2004,MATCH(CodFisa&amp;"|"&amp;13,Mișcări!$M$5:$M$2004,0)))</f>
        <v/>
      </c>
      <c r="E23" s="12" t="str">
        <f>IF($B23="","",INDEX(Mișcări!$K$5:$K$2004,MATCH(CodFisa&amp;"|"&amp;13,Mișcări!$M$5:$M$2004,0)))</f>
        <v/>
      </c>
      <c r="F23" s="24" t="str">
        <f>IF($B23="","",IF(N(INDEX(Mișcări!$H$5:$H$2004,MATCH(CodFisa&amp;"|"&amp;13,Mișcări!$M$5:$M$2004,0)))=0,"",INDEX(Mișcări!$H$5:$H$2004,MATCH(CodFisa&amp;"|"&amp;13,Mișcări!$M$5:$M$2004,0))))</f>
        <v/>
      </c>
      <c r="G23" s="24" t="str">
        <f>IF($B23="","",IF(N(INDEX(Mișcări!$I$5:$I$2004,MATCH(CodFisa&amp;"|"&amp;13,Mișcări!$M$5:$M$2004,0)))=0,"",INDEX(Mișcări!$I$5:$I$2004,MATCH(CodFisa&amp;"|"&amp;13,Mișcări!$M$5:$M$2004,0))))</f>
        <v/>
      </c>
      <c r="H23" s="14" t="str">
        <f>IF($B23="","",INDEX(Mișcări!$J$5:$J$2004,MATCH(CodFisa&amp;"|"&amp;13,Mișcări!$M$5:$M$2004,0)))</f>
        <v/>
      </c>
      <c r="I23" s="12"/>
    </row>
    <row r="24" spans="2:9" x14ac:dyDescent="0.2">
      <c r="B24" s="13" t="str">
        <f>IF(ISNUMBER(MATCH(CodFisa&amp;"|"&amp;14,Mișcări!$M$5:$M$2004,0)),14,"")</f>
        <v/>
      </c>
      <c r="C24" s="13" t="str">
        <f>IF($B24="","",RIGHT("0"&amp;DAY(INDEX(Mișcări!$B$5:$B$2004,MATCH(CodFisa&amp;"|"&amp;14,Mișcări!$M$5:$M$2004,0))),2)&amp;"."&amp;RIGHT("0"&amp;MONTH(INDEX(Mișcări!$B$5:$B$2004,MATCH(CodFisa&amp;"|"&amp;14,Mișcări!$M$5:$M$2004,0))),2)&amp;"."&amp;YEAR(INDEX(Mișcări!$B$5:$B$2004,MATCH(CodFisa&amp;"|"&amp;14,Mișcări!$M$5:$M$2004,0))))</f>
        <v/>
      </c>
      <c r="D24" s="13" t="str">
        <f>IF($B24="","",INDEX(Mișcări!$C$5:$C$2004,MATCH(CodFisa&amp;"|"&amp;14,Mișcări!$M$5:$M$2004,0))&amp;" "&amp;INDEX(Mișcări!$D$5:$D$2004,MATCH(CodFisa&amp;"|"&amp;14,Mișcări!$M$5:$M$2004,0)))</f>
        <v/>
      </c>
      <c r="E24" s="12" t="str">
        <f>IF($B24="","",INDEX(Mișcări!$K$5:$K$2004,MATCH(CodFisa&amp;"|"&amp;14,Mișcări!$M$5:$M$2004,0)))</f>
        <v/>
      </c>
      <c r="F24" s="24" t="str">
        <f>IF($B24="","",IF(N(INDEX(Mișcări!$H$5:$H$2004,MATCH(CodFisa&amp;"|"&amp;14,Mișcări!$M$5:$M$2004,0)))=0,"",INDEX(Mișcări!$H$5:$H$2004,MATCH(CodFisa&amp;"|"&amp;14,Mișcări!$M$5:$M$2004,0))))</f>
        <v/>
      </c>
      <c r="G24" s="24" t="str">
        <f>IF($B24="","",IF(N(INDEX(Mișcări!$I$5:$I$2004,MATCH(CodFisa&amp;"|"&amp;14,Mișcări!$M$5:$M$2004,0)))=0,"",INDEX(Mișcări!$I$5:$I$2004,MATCH(CodFisa&amp;"|"&amp;14,Mișcări!$M$5:$M$2004,0))))</f>
        <v/>
      </c>
      <c r="H24" s="14" t="str">
        <f>IF($B24="","",INDEX(Mișcări!$J$5:$J$2004,MATCH(CodFisa&amp;"|"&amp;14,Mișcări!$M$5:$M$2004,0)))</f>
        <v/>
      </c>
      <c r="I24" s="12"/>
    </row>
    <row r="25" spans="2:9" x14ac:dyDescent="0.2">
      <c r="B25" s="13" t="str">
        <f>IF(ISNUMBER(MATCH(CodFisa&amp;"|"&amp;15,Mișcări!$M$5:$M$2004,0)),15,"")</f>
        <v/>
      </c>
      <c r="C25" s="13" t="str">
        <f>IF($B25="","",RIGHT("0"&amp;DAY(INDEX(Mișcări!$B$5:$B$2004,MATCH(CodFisa&amp;"|"&amp;15,Mișcări!$M$5:$M$2004,0))),2)&amp;"."&amp;RIGHT("0"&amp;MONTH(INDEX(Mișcări!$B$5:$B$2004,MATCH(CodFisa&amp;"|"&amp;15,Mișcări!$M$5:$M$2004,0))),2)&amp;"."&amp;YEAR(INDEX(Mișcări!$B$5:$B$2004,MATCH(CodFisa&amp;"|"&amp;15,Mișcări!$M$5:$M$2004,0))))</f>
        <v/>
      </c>
      <c r="D25" s="13" t="str">
        <f>IF($B25="","",INDEX(Mișcări!$C$5:$C$2004,MATCH(CodFisa&amp;"|"&amp;15,Mișcări!$M$5:$M$2004,0))&amp;" "&amp;INDEX(Mișcări!$D$5:$D$2004,MATCH(CodFisa&amp;"|"&amp;15,Mișcări!$M$5:$M$2004,0)))</f>
        <v/>
      </c>
      <c r="E25" s="12" t="str">
        <f>IF($B25="","",INDEX(Mișcări!$K$5:$K$2004,MATCH(CodFisa&amp;"|"&amp;15,Mișcări!$M$5:$M$2004,0)))</f>
        <v/>
      </c>
      <c r="F25" s="24" t="str">
        <f>IF($B25="","",IF(N(INDEX(Mișcări!$H$5:$H$2004,MATCH(CodFisa&amp;"|"&amp;15,Mișcări!$M$5:$M$2004,0)))=0,"",INDEX(Mișcări!$H$5:$H$2004,MATCH(CodFisa&amp;"|"&amp;15,Mișcări!$M$5:$M$2004,0))))</f>
        <v/>
      </c>
      <c r="G25" s="24" t="str">
        <f>IF($B25="","",IF(N(INDEX(Mișcări!$I$5:$I$2004,MATCH(CodFisa&amp;"|"&amp;15,Mișcări!$M$5:$M$2004,0)))=0,"",INDEX(Mișcări!$I$5:$I$2004,MATCH(CodFisa&amp;"|"&amp;15,Mișcări!$M$5:$M$2004,0))))</f>
        <v/>
      </c>
      <c r="H25" s="14" t="str">
        <f>IF($B25="","",INDEX(Mișcări!$J$5:$J$2004,MATCH(CodFisa&amp;"|"&amp;15,Mișcări!$M$5:$M$2004,0)))</f>
        <v/>
      </c>
      <c r="I25" s="12"/>
    </row>
    <row r="26" spans="2:9" x14ac:dyDescent="0.2">
      <c r="B26" s="13" t="str">
        <f>IF(ISNUMBER(MATCH(CodFisa&amp;"|"&amp;16,Mișcări!$M$5:$M$2004,0)),16,"")</f>
        <v/>
      </c>
      <c r="C26" s="13" t="str">
        <f>IF($B26="","",RIGHT("0"&amp;DAY(INDEX(Mișcări!$B$5:$B$2004,MATCH(CodFisa&amp;"|"&amp;16,Mișcări!$M$5:$M$2004,0))),2)&amp;"."&amp;RIGHT("0"&amp;MONTH(INDEX(Mișcări!$B$5:$B$2004,MATCH(CodFisa&amp;"|"&amp;16,Mișcări!$M$5:$M$2004,0))),2)&amp;"."&amp;YEAR(INDEX(Mișcări!$B$5:$B$2004,MATCH(CodFisa&amp;"|"&amp;16,Mișcări!$M$5:$M$2004,0))))</f>
        <v/>
      </c>
      <c r="D26" s="13" t="str">
        <f>IF($B26="","",INDEX(Mișcări!$C$5:$C$2004,MATCH(CodFisa&amp;"|"&amp;16,Mișcări!$M$5:$M$2004,0))&amp;" "&amp;INDEX(Mișcări!$D$5:$D$2004,MATCH(CodFisa&amp;"|"&amp;16,Mișcări!$M$5:$M$2004,0)))</f>
        <v/>
      </c>
      <c r="E26" s="12" t="str">
        <f>IF($B26="","",INDEX(Mișcări!$K$5:$K$2004,MATCH(CodFisa&amp;"|"&amp;16,Mișcări!$M$5:$M$2004,0)))</f>
        <v/>
      </c>
      <c r="F26" s="24" t="str">
        <f>IF($B26="","",IF(N(INDEX(Mișcări!$H$5:$H$2004,MATCH(CodFisa&amp;"|"&amp;16,Mișcări!$M$5:$M$2004,0)))=0,"",INDEX(Mișcări!$H$5:$H$2004,MATCH(CodFisa&amp;"|"&amp;16,Mișcări!$M$5:$M$2004,0))))</f>
        <v/>
      </c>
      <c r="G26" s="24" t="str">
        <f>IF($B26="","",IF(N(INDEX(Mișcări!$I$5:$I$2004,MATCH(CodFisa&amp;"|"&amp;16,Mișcări!$M$5:$M$2004,0)))=0,"",INDEX(Mișcări!$I$5:$I$2004,MATCH(CodFisa&amp;"|"&amp;16,Mișcări!$M$5:$M$2004,0))))</f>
        <v/>
      </c>
      <c r="H26" s="14" t="str">
        <f>IF($B26="","",INDEX(Mișcări!$J$5:$J$2004,MATCH(CodFisa&amp;"|"&amp;16,Mișcări!$M$5:$M$2004,0)))</f>
        <v/>
      </c>
      <c r="I26" s="12"/>
    </row>
    <row r="27" spans="2:9" x14ac:dyDescent="0.2">
      <c r="B27" s="13" t="str">
        <f>IF(ISNUMBER(MATCH(CodFisa&amp;"|"&amp;17,Mișcări!$M$5:$M$2004,0)),17,"")</f>
        <v/>
      </c>
      <c r="C27" s="13" t="str">
        <f>IF($B27="","",RIGHT("0"&amp;DAY(INDEX(Mișcări!$B$5:$B$2004,MATCH(CodFisa&amp;"|"&amp;17,Mișcări!$M$5:$M$2004,0))),2)&amp;"."&amp;RIGHT("0"&amp;MONTH(INDEX(Mișcări!$B$5:$B$2004,MATCH(CodFisa&amp;"|"&amp;17,Mișcări!$M$5:$M$2004,0))),2)&amp;"."&amp;YEAR(INDEX(Mișcări!$B$5:$B$2004,MATCH(CodFisa&amp;"|"&amp;17,Mișcări!$M$5:$M$2004,0))))</f>
        <v/>
      </c>
      <c r="D27" s="13" t="str">
        <f>IF($B27="","",INDEX(Mișcări!$C$5:$C$2004,MATCH(CodFisa&amp;"|"&amp;17,Mișcări!$M$5:$M$2004,0))&amp;" "&amp;INDEX(Mișcări!$D$5:$D$2004,MATCH(CodFisa&amp;"|"&amp;17,Mișcări!$M$5:$M$2004,0)))</f>
        <v/>
      </c>
      <c r="E27" s="12" t="str">
        <f>IF($B27="","",INDEX(Mișcări!$K$5:$K$2004,MATCH(CodFisa&amp;"|"&amp;17,Mișcări!$M$5:$M$2004,0)))</f>
        <v/>
      </c>
      <c r="F27" s="24" t="str">
        <f>IF($B27="","",IF(N(INDEX(Mișcări!$H$5:$H$2004,MATCH(CodFisa&amp;"|"&amp;17,Mișcări!$M$5:$M$2004,0)))=0,"",INDEX(Mișcări!$H$5:$H$2004,MATCH(CodFisa&amp;"|"&amp;17,Mișcări!$M$5:$M$2004,0))))</f>
        <v/>
      </c>
      <c r="G27" s="24" t="str">
        <f>IF($B27="","",IF(N(INDEX(Mișcări!$I$5:$I$2004,MATCH(CodFisa&amp;"|"&amp;17,Mișcări!$M$5:$M$2004,0)))=0,"",INDEX(Mișcări!$I$5:$I$2004,MATCH(CodFisa&amp;"|"&amp;17,Mișcări!$M$5:$M$2004,0))))</f>
        <v/>
      </c>
      <c r="H27" s="14" t="str">
        <f>IF($B27="","",INDEX(Mișcări!$J$5:$J$2004,MATCH(CodFisa&amp;"|"&amp;17,Mișcări!$M$5:$M$2004,0)))</f>
        <v/>
      </c>
      <c r="I27" s="12"/>
    </row>
    <row r="28" spans="2:9" x14ac:dyDescent="0.2">
      <c r="B28" s="13" t="str">
        <f>IF(ISNUMBER(MATCH(CodFisa&amp;"|"&amp;18,Mișcări!$M$5:$M$2004,0)),18,"")</f>
        <v/>
      </c>
      <c r="C28" s="13" t="str">
        <f>IF($B28="","",RIGHT("0"&amp;DAY(INDEX(Mișcări!$B$5:$B$2004,MATCH(CodFisa&amp;"|"&amp;18,Mișcări!$M$5:$M$2004,0))),2)&amp;"."&amp;RIGHT("0"&amp;MONTH(INDEX(Mișcări!$B$5:$B$2004,MATCH(CodFisa&amp;"|"&amp;18,Mișcări!$M$5:$M$2004,0))),2)&amp;"."&amp;YEAR(INDEX(Mișcări!$B$5:$B$2004,MATCH(CodFisa&amp;"|"&amp;18,Mișcări!$M$5:$M$2004,0))))</f>
        <v/>
      </c>
      <c r="D28" s="13" t="str">
        <f>IF($B28="","",INDEX(Mișcări!$C$5:$C$2004,MATCH(CodFisa&amp;"|"&amp;18,Mișcări!$M$5:$M$2004,0))&amp;" "&amp;INDEX(Mișcări!$D$5:$D$2004,MATCH(CodFisa&amp;"|"&amp;18,Mișcări!$M$5:$M$2004,0)))</f>
        <v/>
      </c>
      <c r="E28" s="12" t="str">
        <f>IF($B28="","",INDEX(Mișcări!$K$5:$K$2004,MATCH(CodFisa&amp;"|"&amp;18,Mișcări!$M$5:$M$2004,0)))</f>
        <v/>
      </c>
      <c r="F28" s="24" t="str">
        <f>IF($B28="","",IF(N(INDEX(Mișcări!$H$5:$H$2004,MATCH(CodFisa&amp;"|"&amp;18,Mișcări!$M$5:$M$2004,0)))=0,"",INDEX(Mișcări!$H$5:$H$2004,MATCH(CodFisa&amp;"|"&amp;18,Mișcări!$M$5:$M$2004,0))))</f>
        <v/>
      </c>
      <c r="G28" s="24" t="str">
        <f>IF($B28="","",IF(N(INDEX(Mișcări!$I$5:$I$2004,MATCH(CodFisa&amp;"|"&amp;18,Mișcări!$M$5:$M$2004,0)))=0,"",INDEX(Mișcări!$I$5:$I$2004,MATCH(CodFisa&amp;"|"&amp;18,Mișcări!$M$5:$M$2004,0))))</f>
        <v/>
      </c>
      <c r="H28" s="14" t="str">
        <f>IF($B28="","",INDEX(Mișcări!$J$5:$J$2004,MATCH(CodFisa&amp;"|"&amp;18,Mișcări!$M$5:$M$2004,0)))</f>
        <v/>
      </c>
      <c r="I28" s="12"/>
    </row>
    <row r="29" spans="2:9" x14ac:dyDescent="0.2">
      <c r="B29" s="13" t="str">
        <f>IF(ISNUMBER(MATCH(CodFisa&amp;"|"&amp;19,Mișcări!$M$5:$M$2004,0)),19,"")</f>
        <v/>
      </c>
      <c r="C29" s="13" t="str">
        <f>IF($B29="","",RIGHT("0"&amp;DAY(INDEX(Mișcări!$B$5:$B$2004,MATCH(CodFisa&amp;"|"&amp;19,Mișcări!$M$5:$M$2004,0))),2)&amp;"."&amp;RIGHT("0"&amp;MONTH(INDEX(Mișcări!$B$5:$B$2004,MATCH(CodFisa&amp;"|"&amp;19,Mișcări!$M$5:$M$2004,0))),2)&amp;"."&amp;YEAR(INDEX(Mișcări!$B$5:$B$2004,MATCH(CodFisa&amp;"|"&amp;19,Mișcări!$M$5:$M$2004,0))))</f>
        <v/>
      </c>
      <c r="D29" s="13" t="str">
        <f>IF($B29="","",INDEX(Mișcări!$C$5:$C$2004,MATCH(CodFisa&amp;"|"&amp;19,Mișcări!$M$5:$M$2004,0))&amp;" "&amp;INDEX(Mișcări!$D$5:$D$2004,MATCH(CodFisa&amp;"|"&amp;19,Mișcări!$M$5:$M$2004,0)))</f>
        <v/>
      </c>
      <c r="E29" s="12" t="str">
        <f>IF($B29="","",INDEX(Mișcări!$K$5:$K$2004,MATCH(CodFisa&amp;"|"&amp;19,Mișcări!$M$5:$M$2004,0)))</f>
        <v/>
      </c>
      <c r="F29" s="24" t="str">
        <f>IF($B29="","",IF(N(INDEX(Mișcări!$H$5:$H$2004,MATCH(CodFisa&amp;"|"&amp;19,Mișcări!$M$5:$M$2004,0)))=0,"",INDEX(Mișcări!$H$5:$H$2004,MATCH(CodFisa&amp;"|"&amp;19,Mișcări!$M$5:$M$2004,0))))</f>
        <v/>
      </c>
      <c r="G29" s="24" t="str">
        <f>IF($B29="","",IF(N(INDEX(Mișcări!$I$5:$I$2004,MATCH(CodFisa&amp;"|"&amp;19,Mișcări!$M$5:$M$2004,0)))=0,"",INDEX(Mișcări!$I$5:$I$2004,MATCH(CodFisa&amp;"|"&amp;19,Mișcări!$M$5:$M$2004,0))))</f>
        <v/>
      </c>
      <c r="H29" s="14" t="str">
        <f>IF($B29="","",INDEX(Mișcări!$J$5:$J$2004,MATCH(CodFisa&amp;"|"&amp;19,Mișcări!$M$5:$M$2004,0)))</f>
        <v/>
      </c>
      <c r="I29" s="12"/>
    </row>
    <row r="30" spans="2:9" x14ac:dyDescent="0.2">
      <c r="B30" s="13" t="str">
        <f>IF(ISNUMBER(MATCH(CodFisa&amp;"|"&amp;20,Mișcări!$M$5:$M$2004,0)),20,"")</f>
        <v/>
      </c>
      <c r="C30" s="13" t="str">
        <f>IF($B30="","",RIGHT("0"&amp;DAY(INDEX(Mișcări!$B$5:$B$2004,MATCH(CodFisa&amp;"|"&amp;20,Mișcări!$M$5:$M$2004,0))),2)&amp;"."&amp;RIGHT("0"&amp;MONTH(INDEX(Mișcări!$B$5:$B$2004,MATCH(CodFisa&amp;"|"&amp;20,Mișcări!$M$5:$M$2004,0))),2)&amp;"."&amp;YEAR(INDEX(Mișcări!$B$5:$B$2004,MATCH(CodFisa&amp;"|"&amp;20,Mișcări!$M$5:$M$2004,0))))</f>
        <v/>
      </c>
      <c r="D30" s="13" t="str">
        <f>IF($B30="","",INDEX(Mișcări!$C$5:$C$2004,MATCH(CodFisa&amp;"|"&amp;20,Mișcări!$M$5:$M$2004,0))&amp;" "&amp;INDEX(Mișcări!$D$5:$D$2004,MATCH(CodFisa&amp;"|"&amp;20,Mișcări!$M$5:$M$2004,0)))</f>
        <v/>
      </c>
      <c r="E30" s="12" t="str">
        <f>IF($B30="","",INDEX(Mișcări!$K$5:$K$2004,MATCH(CodFisa&amp;"|"&amp;20,Mișcări!$M$5:$M$2004,0)))</f>
        <v/>
      </c>
      <c r="F30" s="24" t="str">
        <f>IF($B30="","",IF(N(INDEX(Mișcări!$H$5:$H$2004,MATCH(CodFisa&amp;"|"&amp;20,Mișcări!$M$5:$M$2004,0)))=0,"",INDEX(Mișcări!$H$5:$H$2004,MATCH(CodFisa&amp;"|"&amp;20,Mișcări!$M$5:$M$2004,0))))</f>
        <v/>
      </c>
      <c r="G30" s="24" t="str">
        <f>IF($B30="","",IF(N(INDEX(Mișcări!$I$5:$I$2004,MATCH(CodFisa&amp;"|"&amp;20,Mișcări!$M$5:$M$2004,0)))=0,"",INDEX(Mișcări!$I$5:$I$2004,MATCH(CodFisa&amp;"|"&amp;20,Mișcări!$M$5:$M$2004,0))))</f>
        <v/>
      </c>
      <c r="H30" s="14" t="str">
        <f>IF($B30="","",INDEX(Mișcări!$J$5:$J$2004,MATCH(CodFisa&amp;"|"&amp;20,Mișcări!$M$5:$M$2004,0)))</f>
        <v/>
      </c>
      <c r="I30" s="12"/>
    </row>
    <row r="31" spans="2:9" x14ac:dyDescent="0.2">
      <c r="B31" s="13" t="str">
        <f>IF(ISNUMBER(MATCH(CodFisa&amp;"|"&amp;21,Mișcări!$M$5:$M$2004,0)),21,"")</f>
        <v/>
      </c>
      <c r="C31" s="13" t="str">
        <f>IF($B31="","",RIGHT("0"&amp;DAY(INDEX(Mișcări!$B$5:$B$2004,MATCH(CodFisa&amp;"|"&amp;21,Mișcări!$M$5:$M$2004,0))),2)&amp;"."&amp;RIGHT("0"&amp;MONTH(INDEX(Mișcări!$B$5:$B$2004,MATCH(CodFisa&amp;"|"&amp;21,Mișcări!$M$5:$M$2004,0))),2)&amp;"."&amp;YEAR(INDEX(Mișcări!$B$5:$B$2004,MATCH(CodFisa&amp;"|"&amp;21,Mișcări!$M$5:$M$2004,0))))</f>
        <v/>
      </c>
      <c r="D31" s="13" t="str">
        <f>IF($B31="","",INDEX(Mișcări!$C$5:$C$2004,MATCH(CodFisa&amp;"|"&amp;21,Mișcări!$M$5:$M$2004,0))&amp;" "&amp;INDEX(Mișcări!$D$5:$D$2004,MATCH(CodFisa&amp;"|"&amp;21,Mișcări!$M$5:$M$2004,0)))</f>
        <v/>
      </c>
      <c r="E31" s="12" t="str">
        <f>IF($B31="","",INDEX(Mișcări!$K$5:$K$2004,MATCH(CodFisa&amp;"|"&amp;21,Mișcări!$M$5:$M$2004,0)))</f>
        <v/>
      </c>
      <c r="F31" s="24" t="str">
        <f>IF($B31="","",IF(N(INDEX(Mișcări!$H$5:$H$2004,MATCH(CodFisa&amp;"|"&amp;21,Mișcări!$M$5:$M$2004,0)))=0,"",INDEX(Mișcări!$H$5:$H$2004,MATCH(CodFisa&amp;"|"&amp;21,Mișcări!$M$5:$M$2004,0))))</f>
        <v/>
      </c>
      <c r="G31" s="24" t="str">
        <f>IF($B31="","",IF(N(INDEX(Mișcări!$I$5:$I$2004,MATCH(CodFisa&amp;"|"&amp;21,Mișcări!$M$5:$M$2004,0)))=0,"",INDEX(Mișcări!$I$5:$I$2004,MATCH(CodFisa&amp;"|"&amp;21,Mișcări!$M$5:$M$2004,0))))</f>
        <v/>
      </c>
      <c r="H31" s="14" t="str">
        <f>IF($B31="","",INDEX(Mișcări!$J$5:$J$2004,MATCH(CodFisa&amp;"|"&amp;21,Mișcări!$M$5:$M$2004,0)))</f>
        <v/>
      </c>
      <c r="I31" s="12"/>
    </row>
    <row r="32" spans="2:9" x14ac:dyDescent="0.2">
      <c r="B32" s="13" t="str">
        <f>IF(ISNUMBER(MATCH(CodFisa&amp;"|"&amp;22,Mișcări!$M$5:$M$2004,0)),22,"")</f>
        <v/>
      </c>
      <c r="C32" s="13" t="str">
        <f>IF($B32="","",RIGHT("0"&amp;DAY(INDEX(Mișcări!$B$5:$B$2004,MATCH(CodFisa&amp;"|"&amp;22,Mișcări!$M$5:$M$2004,0))),2)&amp;"."&amp;RIGHT("0"&amp;MONTH(INDEX(Mișcări!$B$5:$B$2004,MATCH(CodFisa&amp;"|"&amp;22,Mișcări!$M$5:$M$2004,0))),2)&amp;"."&amp;YEAR(INDEX(Mișcări!$B$5:$B$2004,MATCH(CodFisa&amp;"|"&amp;22,Mișcări!$M$5:$M$2004,0))))</f>
        <v/>
      </c>
      <c r="D32" s="13" t="str">
        <f>IF($B32="","",INDEX(Mișcări!$C$5:$C$2004,MATCH(CodFisa&amp;"|"&amp;22,Mișcări!$M$5:$M$2004,0))&amp;" "&amp;INDEX(Mișcări!$D$5:$D$2004,MATCH(CodFisa&amp;"|"&amp;22,Mișcări!$M$5:$M$2004,0)))</f>
        <v/>
      </c>
      <c r="E32" s="12" t="str">
        <f>IF($B32="","",INDEX(Mișcări!$K$5:$K$2004,MATCH(CodFisa&amp;"|"&amp;22,Mișcări!$M$5:$M$2004,0)))</f>
        <v/>
      </c>
      <c r="F32" s="24" t="str">
        <f>IF($B32="","",IF(N(INDEX(Mișcări!$H$5:$H$2004,MATCH(CodFisa&amp;"|"&amp;22,Mișcări!$M$5:$M$2004,0)))=0,"",INDEX(Mișcări!$H$5:$H$2004,MATCH(CodFisa&amp;"|"&amp;22,Mișcări!$M$5:$M$2004,0))))</f>
        <v/>
      </c>
      <c r="G32" s="24" t="str">
        <f>IF($B32="","",IF(N(INDEX(Mișcări!$I$5:$I$2004,MATCH(CodFisa&amp;"|"&amp;22,Mișcări!$M$5:$M$2004,0)))=0,"",INDEX(Mișcări!$I$5:$I$2004,MATCH(CodFisa&amp;"|"&amp;22,Mișcări!$M$5:$M$2004,0))))</f>
        <v/>
      </c>
      <c r="H32" s="14" t="str">
        <f>IF($B32="","",INDEX(Mișcări!$J$5:$J$2004,MATCH(CodFisa&amp;"|"&amp;22,Mișcări!$M$5:$M$2004,0)))</f>
        <v/>
      </c>
      <c r="I32" s="12"/>
    </row>
    <row r="33" spans="2:9" x14ac:dyDescent="0.2">
      <c r="B33" s="13" t="str">
        <f>IF(ISNUMBER(MATCH(CodFisa&amp;"|"&amp;23,Mișcări!$M$5:$M$2004,0)),23,"")</f>
        <v/>
      </c>
      <c r="C33" s="13" t="str">
        <f>IF($B33="","",RIGHT("0"&amp;DAY(INDEX(Mișcări!$B$5:$B$2004,MATCH(CodFisa&amp;"|"&amp;23,Mișcări!$M$5:$M$2004,0))),2)&amp;"."&amp;RIGHT("0"&amp;MONTH(INDEX(Mișcări!$B$5:$B$2004,MATCH(CodFisa&amp;"|"&amp;23,Mișcări!$M$5:$M$2004,0))),2)&amp;"."&amp;YEAR(INDEX(Mișcări!$B$5:$B$2004,MATCH(CodFisa&amp;"|"&amp;23,Mișcări!$M$5:$M$2004,0))))</f>
        <v/>
      </c>
      <c r="D33" s="13" t="str">
        <f>IF($B33="","",INDEX(Mișcări!$C$5:$C$2004,MATCH(CodFisa&amp;"|"&amp;23,Mișcări!$M$5:$M$2004,0))&amp;" "&amp;INDEX(Mișcări!$D$5:$D$2004,MATCH(CodFisa&amp;"|"&amp;23,Mișcări!$M$5:$M$2004,0)))</f>
        <v/>
      </c>
      <c r="E33" s="12" t="str">
        <f>IF($B33="","",INDEX(Mișcări!$K$5:$K$2004,MATCH(CodFisa&amp;"|"&amp;23,Mișcări!$M$5:$M$2004,0)))</f>
        <v/>
      </c>
      <c r="F33" s="24" t="str">
        <f>IF($B33="","",IF(N(INDEX(Mișcări!$H$5:$H$2004,MATCH(CodFisa&amp;"|"&amp;23,Mișcări!$M$5:$M$2004,0)))=0,"",INDEX(Mișcări!$H$5:$H$2004,MATCH(CodFisa&amp;"|"&amp;23,Mișcări!$M$5:$M$2004,0))))</f>
        <v/>
      </c>
      <c r="G33" s="24" t="str">
        <f>IF($B33="","",IF(N(INDEX(Mișcări!$I$5:$I$2004,MATCH(CodFisa&amp;"|"&amp;23,Mișcări!$M$5:$M$2004,0)))=0,"",INDEX(Mișcări!$I$5:$I$2004,MATCH(CodFisa&amp;"|"&amp;23,Mișcări!$M$5:$M$2004,0))))</f>
        <v/>
      </c>
      <c r="H33" s="14" t="str">
        <f>IF($B33="","",INDEX(Mișcări!$J$5:$J$2004,MATCH(CodFisa&amp;"|"&amp;23,Mișcări!$M$5:$M$2004,0)))</f>
        <v/>
      </c>
      <c r="I33" s="12"/>
    </row>
    <row r="34" spans="2:9" x14ac:dyDescent="0.2">
      <c r="B34" s="13" t="str">
        <f>IF(ISNUMBER(MATCH(CodFisa&amp;"|"&amp;24,Mișcări!$M$5:$M$2004,0)),24,"")</f>
        <v/>
      </c>
      <c r="C34" s="13" t="str">
        <f>IF($B34="","",RIGHT("0"&amp;DAY(INDEX(Mișcări!$B$5:$B$2004,MATCH(CodFisa&amp;"|"&amp;24,Mișcări!$M$5:$M$2004,0))),2)&amp;"."&amp;RIGHT("0"&amp;MONTH(INDEX(Mișcări!$B$5:$B$2004,MATCH(CodFisa&amp;"|"&amp;24,Mișcări!$M$5:$M$2004,0))),2)&amp;"."&amp;YEAR(INDEX(Mișcări!$B$5:$B$2004,MATCH(CodFisa&amp;"|"&amp;24,Mișcări!$M$5:$M$2004,0))))</f>
        <v/>
      </c>
      <c r="D34" s="13" t="str">
        <f>IF($B34="","",INDEX(Mișcări!$C$5:$C$2004,MATCH(CodFisa&amp;"|"&amp;24,Mișcări!$M$5:$M$2004,0))&amp;" "&amp;INDEX(Mișcări!$D$5:$D$2004,MATCH(CodFisa&amp;"|"&amp;24,Mișcări!$M$5:$M$2004,0)))</f>
        <v/>
      </c>
      <c r="E34" s="12" t="str">
        <f>IF($B34="","",INDEX(Mișcări!$K$5:$K$2004,MATCH(CodFisa&amp;"|"&amp;24,Mișcări!$M$5:$M$2004,0)))</f>
        <v/>
      </c>
      <c r="F34" s="24" t="str">
        <f>IF($B34="","",IF(N(INDEX(Mișcări!$H$5:$H$2004,MATCH(CodFisa&amp;"|"&amp;24,Mișcări!$M$5:$M$2004,0)))=0,"",INDEX(Mișcări!$H$5:$H$2004,MATCH(CodFisa&amp;"|"&amp;24,Mișcări!$M$5:$M$2004,0))))</f>
        <v/>
      </c>
      <c r="G34" s="24" t="str">
        <f>IF($B34="","",IF(N(INDEX(Mișcări!$I$5:$I$2004,MATCH(CodFisa&amp;"|"&amp;24,Mișcări!$M$5:$M$2004,0)))=0,"",INDEX(Mișcări!$I$5:$I$2004,MATCH(CodFisa&amp;"|"&amp;24,Mișcări!$M$5:$M$2004,0))))</f>
        <v/>
      </c>
      <c r="H34" s="14" t="str">
        <f>IF($B34="","",INDEX(Mișcări!$J$5:$J$2004,MATCH(CodFisa&amp;"|"&amp;24,Mișcări!$M$5:$M$2004,0)))</f>
        <v/>
      </c>
      <c r="I34" s="12"/>
    </row>
    <row r="35" spans="2:9" x14ac:dyDescent="0.2">
      <c r="B35" s="13" t="str">
        <f>IF(ISNUMBER(MATCH(CodFisa&amp;"|"&amp;25,Mișcări!$M$5:$M$2004,0)),25,"")</f>
        <v/>
      </c>
      <c r="C35" s="13" t="str">
        <f>IF($B35="","",RIGHT("0"&amp;DAY(INDEX(Mișcări!$B$5:$B$2004,MATCH(CodFisa&amp;"|"&amp;25,Mișcări!$M$5:$M$2004,0))),2)&amp;"."&amp;RIGHT("0"&amp;MONTH(INDEX(Mișcări!$B$5:$B$2004,MATCH(CodFisa&amp;"|"&amp;25,Mișcări!$M$5:$M$2004,0))),2)&amp;"."&amp;YEAR(INDEX(Mișcări!$B$5:$B$2004,MATCH(CodFisa&amp;"|"&amp;25,Mișcări!$M$5:$M$2004,0))))</f>
        <v/>
      </c>
      <c r="D35" s="13" t="str">
        <f>IF($B35="","",INDEX(Mișcări!$C$5:$C$2004,MATCH(CodFisa&amp;"|"&amp;25,Mișcări!$M$5:$M$2004,0))&amp;" "&amp;INDEX(Mișcări!$D$5:$D$2004,MATCH(CodFisa&amp;"|"&amp;25,Mișcări!$M$5:$M$2004,0)))</f>
        <v/>
      </c>
      <c r="E35" s="12" t="str">
        <f>IF($B35="","",INDEX(Mișcări!$K$5:$K$2004,MATCH(CodFisa&amp;"|"&amp;25,Mișcări!$M$5:$M$2004,0)))</f>
        <v/>
      </c>
      <c r="F35" s="24" t="str">
        <f>IF($B35="","",IF(N(INDEX(Mișcări!$H$5:$H$2004,MATCH(CodFisa&amp;"|"&amp;25,Mișcări!$M$5:$M$2004,0)))=0,"",INDEX(Mișcări!$H$5:$H$2004,MATCH(CodFisa&amp;"|"&amp;25,Mișcări!$M$5:$M$2004,0))))</f>
        <v/>
      </c>
      <c r="G35" s="24" t="str">
        <f>IF($B35="","",IF(N(INDEX(Mișcări!$I$5:$I$2004,MATCH(CodFisa&amp;"|"&amp;25,Mișcări!$M$5:$M$2004,0)))=0,"",INDEX(Mișcări!$I$5:$I$2004,MATCH(CodFisa&amp;"|"&amp;25,Mișcări!$M$5:$M$2004,0))))</f>
        <v/>
      </c>
      <c r="H35" s="14" t="str">
        <f>IF($B35="","",INDEX(Mișcări!$J$5:$J$2004,MATCH(CodFisa&amp;"|"&amp;25,Mișcări!$M$5:$M$2004,0)))</f>
        <v/>
      </c>
      <c r="I35" s="12"/>
    </row>
    <row r="36" spans="2:9" x14ac:dyDescent="0.2">
      <c r="B36" s="13" t="str">
        <f>IF(ISNUMBER(MATCH(CodFisa&amp;"|"&amp;26,Mișcări!$M$5:$M$2004,0)),26,"")</f>
        <v/>
      </c>
      <c r="C36" s="13" t="str">
        <f>IF($B36="","",RIGHT("0"&amp;DAY(INDEX(Mișcări!$B$5:$B$2004,MATCH(CodFisa&amp;"|"&amp;26,Mișcări!$M$5:$M$2004,0))),2)&amp;"."&amp;RIGHT("0"&amp;MONTH(INDEX(Mișcări!$B$5:$B$2004,MATCH(CodFisa&amp;"|"&amp;26,Mișcări!$M$5:$M$2004,0))),2)&amp;"."&amp;YEAR(INDEX(Mișcări!$B$5:$B$2004,MATCH(CodFisa&amp;"|"&amp;26,Mișcări!$M$5:$M$2004,0))))</f>
        <v/>
      </c>
      <c r="D36" s="13" t="str">
        <f>IF($B36="","",INDEX(Mișcări!$C$5:$C$2004,MATCH(CodFisa&amp;"|"&amp;26,Mișcări!$M$5:$M$2004,0))&amp;" "&amp;INDEX(Mișcări!$D$5:$D$2004,MATCH(CodFisa&amp;"|"&amp;26,Mișcări!$M$5:$M$2004,0)))</f>
        <v/>
      </c>
      <c r="E36" s="12" t="str">
        <f>IF($B36="","",INDEX(Mișcări!$K$5:$K$2004,MATCH(CodFisa&amp;"|"&amp;26,Mișcări!$M$5:$M$2004,0)))</f>
        <v/>
      </c>
      <c r="F36" s="24" t="str">
        <f>IF($B36="","",IF(N(INDEX(Mișcări!$H$5:$H$2004,MATCH(CodFisa&amp;"|"&amp;26,Mișcări!$M$5:$M$2004,0)))=0,"",INDEX(Mișcări!$H$5:$H$2004,MATCH(CodFisa&amp;"|"&amp;26,Mișcări!$M$5:$M$2004,0))))</f>
        <v/>
      </c>
      <c r="G36" s="24" t="str">
        <f>IF($B36="","",IF(N(INDEX(Mișcări!$I$5:$I$2004,MATCH(CodFisa&amp;"|"&amp;26,Mișcări!$M$5:$M$2004,0)))=0,"",INDEX(Mișcări!$I$5:$I$2004,MATCH(CodFisa&amp;"|"&amp;26,Mișcări!$M$5:$M$2004,0))))</f>
        <v/>
      </c>
      <c r="H36" s="14" t="str">
        <f>IF($B36="","",INDEX(Mișcări!$J$5:$J$2004,MATCH(CodFisa&amp;"|"&amp;26,Mișcări!$M$5:$M$2004,0)))</f>
        <v/>
      </c>
      <c r="I36" s="12"/>
    </row>
    <row r="37" spans="2:9" x14ac:dyDescent="0.2">
      <c r="B37" s="13" t="str">
        <f>IF(ISNUMBER(MATCH(CodFisa&amp;"|"&amp;27,Mișcări!$M$5:$M$2004,0)),27,"")</f>
        <v/>
      </c>
      <c r="C37" s="13" t="str">
        <f>IF($B37="","",RIGHT("0"&amp;DAY(INDEX(Mișcări!$B$5:$B$2004,MATCH(CodFisa&amp;"|"&amp;27,Mișcări!$M$5:$M$2004,0))),2)&amp;"."&amp;RIGHT("0"&amp;MONTH(INDEX(Mișcări!$B$5:$B$2004,MATCH(CodFisa&amp;"|"&amp;27,Mișcări!$M$5:$M$2004,0))),2)&amp;"."&amp;YEAR(INDEX(Mișcări!$B$5:$B$2004,MATCH(CodFisa&amp;"|"&amp;27,Mișcări!$M$5:$M$2004,0))))</f>
        <v/>
      </c>
      <c r="D37" s="13" t="str">
        <f>IF($B37="","",INDEX(Mișcări!$C$5:$C$2004,MATCH(CodFisa&amp;"|"&amp;27,Mișcări!$M$5:$M$2004,0))&amp;" "&amp;INDEX(Mișcări!$D$5:$D$2004,MATCH(CodFisa&amp;"|"&amp;27,Mișcări!$M$5:$M$2004,0)))</f>
        <v/>
      </c>
      <c r="E37" s="12" t="str">
        <f>IF($B37="","",INDEX(Mișcări!$K$5:$K$2004,MATCH(CodFisa&amp;"|"&amp;27,Mișcări!$M$5:$M$2004,0)))</f>
        <v/>
      </c>
      <c r="F37" s="24" t="str">
        <f>IF($B37="","",IF(N(INDEX(Mișcări!$H$5:$H$2004,MATCH(CodFisa&amp;"|"&amp;27,Mișcări!$M$5:$M$2004,0)))=0,"",INDEX(Mișcări!$H$5:$H$2004,MATCH(CodFisa&amp;"|"&amp;27,Mișcări!$M$5:$M$2004,0))))</f>
        <v/>
      </c>
      <c r="G37" s="24" t="str">
        <f>IF($B37="","",IF(N(INDEX(Mișcări!$I$5:$I$2004,MATCH(CodFisa&amp;"|"&amp;27,Mișcări!$M$5:$M$2004,0)))=0,"",INDEX(Mișcări!$I$5:$I$2004,MATCH(CodFisa&amp;"|"&amp;27,Mișcări!$M$5:$M$2004,0))))</f>
        <v/>
      </c>
      <c r="H37" s="14" t="str">
        <f>IF($B37="","",INDEX(Mișcări!$J$5:$J$2004,MATCH(CodFisa&amp;"|"&amp;27,Mișcări!$M$5:$M$2004,0)))</f>
        <v/>
      </c>
      <c r="I37" s="12"/>
    </row>
    <row r="38" spans="2:9" x14ac:dyDescent="0.2">
      <c r="B38" s="13" t="str">
        <f>IF(ISNUMBER(MATCH(CodFisa&amp;"|"&amp;28,Mișcări!$M$5:$M$2004,0)),28,"")</f>
        <v/>
      </c>
      <c r="C38" s="13" t="str">
        <f>IF($B38="","",RIGHT("0"&amp;DAY(INDEX(Mișcări!$B$5:$B$2004,MATCH(CodFisa&amp;"|"&amp;28,Mișcări!$M$5:$M$2004,0))),2)&amp;"."&amp;RIGHT("0"&amp;MONTH(INDEX(Mișcări!$B$5:$B$2004,MATCH(CodFisa&amp;"|"&amp;28,Mișcări!$M$5:$M$2004,0))),2)&amp;"."&amp;YEAR(INDEX(Mișcări!$B$5:$B$2004,MATCH(CodFisa&amp;"|"&amp;28,Mișcări!$M$5:$M$2004,0))))</f>
        <v/>
      </c>
      <c r="D38" s="13" t="str">
        <f>IF($B38="","",INDEX(Mișcări!$C$5:$C$2004,MATCH(CodFisa&amp;"|"&amp;28,Mișcări!$M$5:$M$2004,0))&amp;" "&amp;INDEX(Mișcări!$D$5:$D$2004,MATCH(CodFisa&amp;"|"&amp;28,Mișcări!$M$5:$M$2004,0)))</f>
        <v/>
      </c>
      <c r="E38" s="12" t="str">
        <f>IF($B38="","",INDEX(Mișcări!$K$5:$K$2004,MATCH(CodFisa&amp;"|"&amp;28,Mișcări!$M$5:$M$2004,0)))</f>
        <v/>
      </c>
      <c r="F38" s="24" t="str">
        <f>IF($B38="","",IF(N(INDEX(Mișcări!$H$5:$H$2004,MATCH(CodFisa&amp;"|"&amp;28,Mișcări!$M$5:$M$2004,0)))=0,"",INDEX(Mișcări!$H$5:$H$2004,MATCH(CodFisa&amp;"|"&amp;28,Mișcări!$M$5:$M$2004,0))))</f>
        <v/>
      </c>
      <c r="G38" s="24" t="str">
        <f>IF($B38="","",IF(N(INDEX(Mișcări!$I$5:$I$2004,MATCH(CodFisa&amp;"|"&amp;28,Mișcări!$M$5:$M$2004,0)))=0,"",INDEX(Mișcări!$I$5:$I$2004,MATCH(CodFisa&amp;"|"&amp;28,Mișcări!$M$5:$M$2004,0))))</f>
        <v/>
      </c>
      <c r="H38" s="14" t="str">
        <f>IF($B38="","",INDEX(Mișcări!$J$5:$J$2004,MATCH(CodFisa&amp;"|"&amp;28,Mișcări!$M$5:$M$2004,0)))</f>
        <v/>
      </c>
      <c r="I38" s="12"/>
    </row>
    <row r="39" spans="2:9" x14ac:dyDescent="0.2">
      <c r="B39" s="13" t="str">
        <f>IF(ISNUMBER(MATCH(CodFisa&amp;"|"&amp;29,Mișcări!$M$5:$M$2004,0)),29,"")</f>
        <v/>
      </c>
      <c r="C39" s="13" t="str">
        <f>IF($B39="","",RIGHT("0"&amp;DAY(INDEX(Mișcări!$B$5:$B$2004,MATCH(CodFisa&amp;"|"&amp;29,Mișcări!$M$5:$M$2004,0))),2)&amp;"."&amp;RIGHT("0"&amp;MONTH(INDEX(Mișcări!$B$5:$B$2004,MATCH(CodFisa&amp;"|"&amp;29,Mișcări!$M$5:$M$2004,0))),2)&amp;"."&amp;YEAR(INDEX(Mișcări!$B$5:$B$2004,MATCH(CodFisa&amp;"|"&amp;29,Mișcări!$M$5:$M$2004,0))))</f>
        <v/>
      </c>
      <c r="D39" s="13" t="str">
        <f>IF($B39="","",INDEX(Mișcări!$C$5:$C$2004,MATCH(CodFisa&amp;"|"&amp;29,Mișcări!$M$5:$M$2004,0))&amp;" "&amp;INDEX(Mișcări!$D$5:$D$2004,MATCH(CodFisa&amp;"|"&amp;29,Mișcări!$M$5:$M$2004,0)))</f>
        <v/>
      </c>
      <c r="E39" s="12" t="str">
        <f>IF($B39="","",INDEX(Mișcări!$K$5:$K$2004,MATCH(CodFisa&amp;"|"&amp;29,Mișcări!$M$5:$M$2004,0)))</f>
        <v/>
      </c>
      <c r="F39" s="24" t="str">
        <f>IF($B39="","",IF(N(INDEX(Mișcări!$H$5:$H$2004,MATCH(CodFisa&amp;"|"&amp;29,Mișcări!$M$5:$M$2004,0)))=0,"",INDEX(Mișcări!$H$5:$H$2004,MATCH(CodFisa&amp;"|"&amp;29,Mișcări!$M$5:$M$2004,0))))</f>
        <v/>
      </c>
      <c r="G39" s="24" t="str">
        <f>IF($B39="","",IF(N(INDEX(Mișcări!$I$5:$I$2004,MATCH(CodFisa&amp;"|"&amp;29,Mișcări!$M$5:$M$2004,0)))=0,"",INDEX(Mișcări!$I$5:$I$2004,MATCH(CodFisa&amp;"|"&amp;29,Mișcări!$M$5:$M$2004,0))))</f>
        <v/>
      </c>
      <c r="H39" s="14" t="str">
        <f>IF($B39="","",INDEX(Mișcări!$J$5:$J$2004,MATCH(CodFisa&amp;"|"&amp;29,Mișcări!$M$5:$M$2004,0)))</f>
        <v/>
      </c>
      <c r="I39" s="12"/>
    </row>
    <row r="40" spans="2:9" x14ac:dyDescent="0.2">
      <c r="B40" s="13" t="str">
        <f>IF(ISNUMBER(MATCH(CodFisa&amp;"|"&amp;30,Mișcări!$M$5:$M$2004,0)),30,"")</f>
        <v/>
      </c>
      <c r="C40" s="13" t="str">
        <f>IF($B40="","",RIGHT("0"&amp;DAY(INDEX(Mișcări!$B$5:$B$2004,MATCH(CodFisa&amp;"|"&amp;30,Mișcări!$M$5:$M$2004,0))),2)&amp;"."&amp;RIGHT("0"&amp;MONTH(INDEX(Mișcări!$B$5:$B$2004,MATCH(CodFisa&amp;"|"&amp;30,Mișcări!$M$5:$M$2004,0))),2)&amp;"."&amp;YEAR(INDEX(Mișcări!$B$5:$B$2004,MATCH(CodFisa&amp;"|"&amp;30,Mișcări!$M$5:$M$2004,0))))</f>
        <v/>
      </c>
      <c r="D40" s="13" t="str">
        <f>IF($B40="","",INDEX(Mișcări!$C$5:$C$2004,MATCH(CodFisa&amp;"|"&amp;30,Mișcări!$M$5:$M$2004,0))&amp;" "&amp;INDEX(Mișcări!$D$5:$D$2004,MATCH(CodFisa&amp;"|"&amp;30,Mișcări!$M$5:$M$2004,0)))</f>
        <v/>
      </c>
      <c r="E40" s="12" t="str">
        <f>IF($B40="","",INDEX(Mișcări!$K$5:$K$2004,MATCH(CodFisa&amp;"|"&amp;30,Mișcări!$M$5:$M$2004,0)))</f>
        <v/>
      </c>
      <c r="F40" s="24" t="str">
        <f>IF($B40="","",IF(N(INDEX(Mișcări!$H$5:$H$2004,MATCH(CodFisa&amp;"|"&amp;30,Mișcări!$M$5:$M$2004,0)))=0,"",INDEX(Mișcări!$H$5:$H$2004,MATCH(CodFisa&amp;"|"&amp;30,Mișcări!$M$5:$M$2004,0))))</f>
        <v/>
      </c>
      <c r="G40" s="24" t="str">
        <f>IF($B40="","",IF(N(INDEX(Mișcări!$I$5:$I$2004,MATCH(CodFisa&amp;"|"&amp;30,Mișcări!$M$5:$M$2004,0)))=0,"",INDEX(Mișcări!$I$5:$I$2004,MATCH(CodFisa&amp;"|"&amp;30,Mișcări!$M$5:$M$2004,0))))</f>
        <v/>
      </c>
      <c r="H40" s="14" t="str">
        <f>IF($B40="","",INDEX(Mișcări!$J$5:$J$2004,MATCH(CodFisa&amp;"|"&amp;30,Mișcări!$M$5:$M$2004,0)))</f>
        <v/>
      </c>
      <c r="I40" s="12"/>
    </row>
    <row r="41" spans="2:9" x14ac:dyDescent="0.2">
      <c r="B41" s="13" t="str">
        <f>IF(ISNUMBER(MATCH(CodFisa&amp;"|"&amp;31,Mișcări!$M$5:$M$2004,0)),31,"")</f>
        <v/>
      </c>
      <c r="C41" s="13" t="str">
        <f>IF($B41="","",RIGHT("0"&amp;DAY(INDEX(Mișcări!$B$5:$B$2004,MATCH(CodFisa&amp;"|"&amp;31,Mișcări!$M$5:$M$2004,0))),2)&amp;"."&amp;RIGHT("0"&amp;MONTH(INDEX(Mișcări!$B$5:$B$2004,MATCH(CodFisa&amp;"|"&amp;31,Mișcări!$M$5:$M$2004,0))),2)&amp;"."&amp;YEAR(INDEX(Mișcări!$B$5:$B$2004,MATCH(CodFisa&amp;"|"&amp;31,Mișcări!$M$5:$M$2004,0))))</f>
        <v/>
      </c>
      <c r="D41" s="13" t="str">
        <f>IF($B41="","",INDEX(Mișcări!$C$5:$C$2004,MATCH(CodFisa&amp;"|"&amp;31,Mișcări!$M$5:$M$2004,0))&amp;" "&amp;INDEX(Mișcări!$D$5:$D$2004,MATCH(CodFisa&amp;"|"&amp;31,Mișcări!$M$5:$M$2004,0)))</f>
        <v/>
      </c>
      <c r="E41" s="12" t="str">
        <f>IF($B41="","",INDEX(Mișcări!$K$5:$K$2004,MATCH(CodFisa&amp;"|"&amp;31,Mișcări!$M$5:$M$2004,0)))</f>
        <v/>
      </c>
      <c r="F41" s="24" t="str">
        <f>IF($B41="","",IF(N(INDEX(Mișcări!$H$5:$H$2004,MATCH(CodFisa&amp;"|"&amp;31,Mișcări!$M$5:$M$2004,0)))=0,"",INDEX(Mișcări!$H$5:$H$2004,MATCH(CodFisa&amp;"|"&amp;31,Mișcări!$M$5:$M$2004,0))))</f>
        <v/>
      </c>
      <c r="G41" s="24" t="str">
        <f>IF($B41="","",IF(N(INDEX(Mișcări!$I$5:$I$2004,MATCH(CodFisa&amp;"|"&amp;31,Mișcări!$M$5:$M$2004,0)))=0,"",INDEX(Mișcări!$I$5:$I$2004,MATCH(CodFisa&amp;"|"&amp;31,Mișcări!$M$5:$M$2004,0))))</f>
        <v/>
      </c>
      <c r="H41" s="14" t="str">
        <f>IF($B41="","",INDEX(Mișcări!$J$5:$J$2004,MATCH(CodFisa&amp;"|"&amp;31,Mișcări!$M$5:$M$2004,0)))</f>
        <v/>
      </c>
      <c r="I41" s="12"/>
    </row>
    <row r="42" spans="2:9" x14ac:dyDescent="0.2">
      <c r="B42" s="13" t="str">
        <f>IF(ISNUMBER(MATCH(CodFisa&amp;"|"&amp;32,Mișcări!$M$5:$M$2004,0)),32,"")</f>
        <v/>
      </c>
      <c r="C42" s="13" t="str">
        <f>IF($B42="","",RIGHT("0"&amp;DAY(INDEX(Mișcări!$B$5:$B$2004,MATCH(CodFisa&amp;"|"&amp;32,Mișcări!$M$5:$M$2004,0))),2)&amp;"."&amp;RIGHT("0"&amp;MONTH(INDEX(Mișcări!$B$5:$B$2004,MATCH(CodFisa&amp;"|"&amp;32,Mișcări!$M$5:$M$2004,0))),2)&amp;"."&amp;YEAR(INDEX(Mișcări!$B$5:$B$2004,MATCH(CodFisa&amp;"|"&amp;32,Mișcări!$M$5:$M$2004,0))))</f>
        <v/>
      </c>
      <c r="D42" s="13" t="str">
        <f>IF($B42="","",INDEX(Mișcări!$C$5:$C$2004,MATCH(CodFisa&amp;"|"&amp;32,Mișcări!$M$5:$M$2004,0))&amp;" "&amp;INDEX(Mișcări!$D$5:$D$2004,MATCH(CodFisa&amp;"|"&amp;32,Mișcări!$M$5:$M$2004,0)))</f>
        <v/>
      </c>
      <c r="E42" s="12" t="str">
        <f>IF($B42="","",INDEX(Mișcări!$K$5:$K$2004,MATCH(CodFisa&amp;"|"&amp;32,Mișcări!$M$5:$M$2004,0)))</f>
        <v/>
      </c>
      <c r="F42" s="24" t="str">
        <f>IF($B42="","",IF(N(INDEX(Mișcări!$H$5:$H$2004,MATCH(CodFisa&amp;"|"&amp;32,Mișcări!$M$5:$M$2004,0)))=0,"",INDEX(Mișcări!$H$5:$H$2004,MATCH(CodFisa&amp;"|"&amp;32,Mișcări!$M$5:$M$2004,0))))</f>
        <v/>
      </c>
      <c r="G42" s="24" t="str">
        <f>IF($B42="","",IF(N(INDEX(Mișcări!$I$5:$I$2004,MATCH(CodFisa&amp;"|"&amp;32,Mișcări!$M$5:$M$2004,0)))=0,"",INDEX(Mișcări!$I$5:$I$2004,MATCH(CodFisa&amp;"|"&amp;32,Mișcări!$M$5:$M$2004,0))))</f>
        <v/>
      </c>
      <c r="H42" s="14" t="str">
        <f>IF($B42="","",INDEX(Mișcări!$J$5:$J$2004,MATCH(CodFisa&amp;"|"&amp;32,Mișcări!$M$5:$M$2004,0)))</f>
        <v/>
      </c>
      <c r="I42" s="12"/>
    </row>
    <row r="43" spans="2:9" x14ac:dyDescent="0.2">
      <c r="B43" s="13" t="str">
        <f>IF(ISNUMBER(MATCH(CodFisa&amp;"|"&amp;33,Mișcări!$M$5:$M$2004,0)),33,"")</f>
        <v/>
      </c>
      <c r="C43" s="13" t="str">
        <f>IF($B43="","",RIGHT("0"&amp;DAY(INDEX(Mișcări!$B$5:$B$2004,MATCH(CodFisa&amp;"|"&amp;33,Mișcări!$M$5:$M$2004,0))),2)&amp;"."&amp;RIGHT("0"&amp;MONTH(INDEX(Mișcări!$B$5:$B$2004,MATCH(CodFisa&amp;"|"&amp;33,Mișcări!$M$5:$M$2004,0))),2)&amp;"."&amp;YEAR(INDEX(Mișcări!$B$5:$B$2004,MATCH(CodFisa&amp;"|"&amp;33,Mișcări!$M$5:$M$2004,0))))</f>
        <v/>
      </c>
      <c r="D43" s="13" t="str">
        <f>IF($B43="","",INDEX(Mișcări!$C$5:$C$2004,MATCH(CodFisa&amp;"|"&amp;33,Mișcări!$M$5:$M$2004,0))&amp;" "&amp;INDEX(Mișcări!$D$5:$D$2004,MATCH(CodFisa&amp;"|"&amp;33,Mișcări!$M$5:$M$2004,0)))</f>
        <v/>
      </c>
      <c r="E43" s="12" t="str">
        <f>IF($B43="","",INDEX(Mișcări!$K$5:$K$2004,MATCH(CodFisa&amp;"|"&amp;33,Mișcări!$M$5:$M$2004,0)))</f>
        <v/>
      </c>
      <c r="F43" s="24" t="str">
        <f>IF($B43="","",IF(N(INDEX(Mișcări!$H$5:$H$2004,MATCH(CodFisa&amp;"|"&amp;33,Mișcări!$M$5:$M$2004,0)))=0,"",INDEX(Mișcări!$H$5:$H$2004,MATCH(CodFisa&amp;"|"&amp;33,Mișcări!$M$5:$M$2004,0))))</f>
        <v/>
      </c>
      <c r="G43" s="24" t="str">
        <f>IF($B43="","",IF(N(INDEX(Mișcări!$I$5:$I$2004,MATCH(CodFisa&amp;"|"&amp;33,Mișcări!$M$5:$M$2004,0)))=0,"",INDEX(Mișcări!$I$5:$I$2004,MATCH(CodFisa&amp;"|"&amp;33,Mișcări!$M$5:$M$2004,0))))</f>
        <v/>
      </c>
      <c r="H43" s="14" t="str">
        <f>IF($B43="","",INDEX(Mișcări!$J$5:$J$2004,MATCH(CodFisa&amp;"|"&amp;33,Mișcări!$M$5:$M$2004,0)))</f>
        <v/>
      </c>
      <c r="I43" s="12"/>
    </row>
    <row r="44" spans="2:9" x14ac:dyDescent="0.2">
      <c r="B44" s="13" t="str">
        <f>IF(ISNUMBER(MATCH(CodFisa&amp;"|"&amp;34,Mișcări!$M$5:$M$2004,0)),34,"")</f>
        <v/>
      </c>
      <c r="C44" s="13" t="str">
        <f>IF($B44="","",RIGHT("0"&amp;DAY(INDEX(Mișcări!$B$5:$B$2004,MATCH(CodFisa&amp;"|"&amp;34,Mișcări!$M$5:$M$2004,0))),2)&amp;"."&amp;RIGHT("0"&amp;MONTH(INDEX(Mișcări!$B$5:$B$2004,MATCH(CodFisa&amp;"|"&amp;34,Mișcări!$M$5:$M$2004,0))),2)&amp;"."&amp;YEAR(INDEX(Mișcări!$B$5:$B$2004,MATCH(CodFisa&amp;"|"&amp;34,Mișcări!$M$5:$M$2004,0))))</f>
        <v/>
      </c>
      <c r="D44" s="13" t="str">
        <f>IF($B44="","",INDEX(Mișcări!$C$5:$C$2004,MATCH(CodFisa&amp;"|"&amp;34,Mișcări!$M$5:$M$2004,0))&amp;" "&amp;INDEX(Mișcări!$D$5:$D$2004,MATCH(CodFisa&amp;"|"&amp;34,Mișcări!$M$5:$M$2004,0)))</f>
        <v/>
      </c>
      <c r="E44" s="12" t="str">
        <f>IF($B44="","",INDEX(Mișcări!$K$5:$K$2004,MATCH(CodFisa&amp;"|"&amp;34,Mișcări!$M$5:$M$2004,0)))</f>
        <v/>
      </c>
      <c r="F44" s="24" t="str">
        <f>IF($B44="","",IF(N(INDEX(Mișcări!$H$5:$H$2004,MATCH(CodFisa&amp;"|"&amp;34,Mișcări!$M$5:$M$2004,0)))=0,"",INDEX(Mișcări!$H$5:$H$2004,MATCH(CodFisa&amp;"|"&amp;34,Mișcări!$M$5:$M$2004,0))))</f>
        <v/>
      </c>
      <c r="G44" s="24" t="str">
        <f>IF($B44="","",IF(N(INDEX(Mișcări!$I$5:$I$2004,MATCH(CodFisa&amp;"|"&amp;34,Mișcări!$M$5:$M$2004,0)))=0,"",INDEX(Mișcări!$I$5:$I$2004,MATCH(CodFisa&amp;"|"&amp;34,Mișcări!$M$5:$M$2004,0))))</f>
        <v/>
      </c>
      <c r="H44" s="14" t="str">
        <f>IF($B44="","",INDEX(Mișcări!$J$5:$J$2004,MATCH(CodFisa&amp;"|"&amp;34,Mișcări!$M$5:$M$2004,0)))</f>
        <v/>
      </c>
      <c r="I44" s="12"/>
    </row>
    <row r="45" spans="2:9" x14ac:dyDescent="0.2">
      <c r="B45" s="13" t="str">
        <f>IF(ISNUMBER(MATCH(CodFisa&amp;"|"&amp;35,Mișcări!$M$5:$M$2004,0)),35,"")</f>
        <v/>
      </c>
      <c r="C45" s="13" t="str">
        <f>IF($B45="","",RIGHT("0"&amp;DAY(INDEX(Mișcări!$B$5:$B$2004,MATCH(CodFisa&amp;"|"&amp;35,Mișcări!$M$5:$M$2004,0))),2)&amp;"."&amp;RIGHT("0"&amp;MONTH(INDEX(Mișcări!$B$5:$B$2004,MATCH(CodFisa&amp;"|"&amp;35,Mișcări!$M$5:$M$2004,0))),2)&amp;"."&amp;YEAR(INDEX(Mișcări!$B$5:$B$2004,MATCH(CodFisa&amp;"|"&amp;35,Mișcări!$M$5:$M$2004,0))))</f>
        <v/>
      </c>
      <c r="D45" s="13" t="str">
        <f>IF($B45="","",INDEX(Mișcări!$C$5:$C$2004,MATCH(CodFisa&amp;"|"&amp;35,Mișcări!$M$5:$M$2004,0))&amp;" "&amp;INDEX(Mișcări!$D$5:$D$2004,MATCH(CodFisa&amp;"|"&amp;35,Mișcări!$M$5:$M$2004,0)))</f>
        <v/>
      </c>
      <c r="E45" s="12" t="str">
        <f>IF($B45="","",INDEX(Mișcări!$K$5:$K$2004,MATCH(CodFisa&amp;"|"&amp;35,Mișcări!$M$5:$M$2004,0)))</f>
        <v/>
      </c>
      <c r="F45" s="24" t="str">
        <f>IF($B45="","",IF(N(INDEX(Mișcări!$H$5:$H$2004,MATCH(CodFisa&amp;"|"&amp;35,Mișcări!$M$5:$M$2004,0)))=0,"",INDEX(Mișcări!$H$5:$H$2004,MATCH(CodFisa&amp;"|"&amp;35,Mișcări!$M$5:$M$2004,0))))</f>
        <v/>
      </c>
      <c r="G45" s="24" t="str">
        <f>IF($B45="","",IF(N(INDEX(Mișcări!$I$5:$I$2004,MATCH(CodFisa&amp;"|"&amp;35,Mișcări!$M$5:$M$2004,0)))=0,"",INDEX(Mișcări!$I$5:$I$2004,MATCH(CodFisa&amp;"|"&amp;35,Mișcări!$M$5:$M$2004,0))))</f>
        <v/>
      </c>
      <c r="H45" s="14" t="str">
        <f>IF($B45="","",INDEX(Mișcări!$J$5:$J$2004,MATCH(CodFisa&amp;"|"&amp;35,Mișcări!$M$5:$M$2004,0)))</f>
        <v/>
      </c>
      <c r="I45" s="12"/>
    </row>
    <row r="46" spans="2:9" x14ac:dyDescent="0.2">
      <c r="B46" s="13" t="str">
        <f>IF(ISNUMBER(MATCH(CodFisa&amp;"|"&amp;36,Mișcări!$M$5:$M$2004,0)),36,"")</f>
        <v/>
      </c>
      <c r="C46" s="13" t="str">
        <f>IF($B46="","",RIGHT("0"&amp;DAY(INDEX(Mișcări!$B$5:$B$2004,MATCH(CodFisa&amp;"|"&amp;36,Mișcări!$M$5:$M$2004,0))),2)&amp;"."&amp;RIGHT("0"&amp;MONTH(INDEX(Mișcări!$B$5:$B$2004,MATCH(CodFisa&amp;"|"&amp;36,Mișcări!$M$5:$M$2004,0))),2)&amp;"."&amp;YEAR(INDEX(Mișcări!$B$5:$B$2004,MATCH(CodFisa&amp;"|"&amp;36,Mișcări!$M$5:$M$2004,0))))</f>
        <v/>
      </c>
      <c r="D46" s="13" t="str">
        <f>IF($B46="","",INDEX(Mișcări!$C$5:$C$2004,MATCH(CodFisa&amp;"|"&amp;36,Mișcări!$M$5:$M$2004,0))&amp;" "&amp;INDEX(Mișcări!$D$5:$D$2004,MATCH(CodFisa&amp;"|"&amp;36,Mișcări!$M$5:$M$2004,0)))</f>
        <v/>
      </c>
      <c r="E46" s="12" t="str">
        <f>IF($B46="","",INDEX(Mișcări!$K$5:$K$2004,MATCH(CodFisa&amp;"|"&amp;36,Mișcări!$M$5:$M$2004,0)))</f>
        <v/>
      </c>
      <c r="F46" s="24" t="str">
        <f>IF($B46="","",IF(N(INDEX(Mișcări!$H$5:$H$2004,MATCH(CodFisa&amp;"|"&amp;36,Mișcări!$M$5:$M$2004,0)))=0,"",INDEX(Mișcări!$H$5:$H$2004,MATCH(CodFisa&amp;"|"&amp;36,Mișcări!$M$5:$M$2004,0))))</f>
        <v/>
      </c>
      <c r="G46" s="24" t="str">
        <f>IF($B46="","",IF(N(INDEX(Mișcări!$I$5:$I$2004,MATCH(CodFisa&amp;"|"&amp;36,Mișcări!$M$5:$M$2004,0)))=0,"",INDEX(Mișcări!$I$5:$I$2004,MATCH(CodFisa&amp;"|"&amp;36,Mișcări!$M$5:$M$2004,0))))</f>
        <v/>
      </c>
      <c r="H46" s="14" t="str">
        <f>IF($B46="","",INDEX(Mișcări!$J$5:$J$2004,MATCH(CodFisa&amp;"|"&amp;36,Mișcări!$M$5:$M$2004,0)))</f>
        <v/>
      </c>
      <c r="I46" s="12"/>
    </row>
    <row r="47" spans="2:9" x14ac:dyDescent="0.2">
      <c r="B47" s="13" t="str">
        <f>IF(ISNUMBER(MATCH(CodFisa&amp;"|"&amp;37,Mișcări!$M$5:$M$2004,0)),37,"")</f>
        <v/>
      </c>
      <c r="C47" s="13" t="str">
        <f>IF($B47="","",RIGHT("0"&amp;DAY(INDEX(Mișcări!$B$5:$B$2004,MATCH(CodFisa&amp;"|"&amp;37,Mișcări!$M$5:$M$2004,0))),2)&amp;"."&amp;RIGHT("0"&amp;MONTH(INDEX(Mișcări!$B$5:$B$2004,MATCH(CodFisa&amp;"|"&amp;37,Mișcări!$M$5:$M$2004,0))),2)&amp;"."&amp;YEAR(INDEX(Mișcări!$B$5:$B$2004,MATCH(CodFisa&amp;"|"&amp;37,Mișcări!$M$5:$M$2004,0))))</f>
        <v/>
      </c>
      <c r="D47" s="13" t="str">
        <f>IF($B47="","",INDEX(Mișcări!$C$5:$C$2004,MATCH(CodFisa&amp;"|"&amp;37,Mișcări!$M$5:$M$2004,0))&amp;" "&amp;INDEX(Mișcări!$D$5:$D$2004,MATCH(CodFisa&amp;"|"&amp;37,Mișcări!$M$5:$M$2004,0)))</f>
        <v/>
      </c>
      <c r="E47" s="12" t="str">
        <f>IF($B47="","",INDEX(Mișcări!$K$5:$K$2004,MATCH(CodFisa&amp;"|"&amp;37,Mișcări!$M$5:$M$2004,0)))</f>
        <v/>
      </c>
      <c r="F47" s="24" t="str">
        <f>IF($B47="","",IF(N(INDEX(Mișcări!$H$5:$H$2004,MATCH(CodFisa&amp;"|"&amp;37,Mișcări!$M$5:$M$2004,0)))=0,"",INDEX(Mișcări!$H$5:$H$2004,MATCH(CodFisa&amp;"|"&amp;37,Mișcări!$M$5:$M$2004,0))))</f>
        <v/>
      </c>
      <c r="G47" s="24" t="str">
        <f>IF($B47="","",IF(N(INDEX(Mișcări!$I$5:$I$2004,MATCH(CodFisa&amp;"|"&amp;37,Mișcări!$M$5:$M$2004,0)))=0,"",INDEX(Mișcări!$I$5:$I$2004,MATCH(CodFisa&amp;"|"&amp;37,Mișcări!$M$5:$M$2004,0))))</f>
        <v/>
      </c>
      <c r="H47" s="14" t="str">
        <f>IF($B47="","",INDEX(Mișcări!$J$5:$J$2004,MATCH(CodFisa&amp;"|"&amp;37,Mișcări!$M$5:$M$2004,0)))</f>
        <v/>
      </c>
      <c r="I47" s="12"/>
    </row>
    <row r="48" spans="2:9" x14ac:dyDescent="0.2">
      <c r="B48" s="13" t="str">
        <f>IF(ISNUMBER(MATCH(CodFisa&amp;"|"&amp;38,Mișcări!$M$5:$M$2004,0)),38,"")</f>
        <v/>
      </c>
      <c r="C48" s="13" t="str">
        <f>IF($B48="","",RIGHT("0"&amp;DAY(INDEX(Mișcări!$B$5:$B$2004,MATCH(CodFisa&amp;"|"&amp;38,Mișcări!$M$5:$M$2004,0))),2)&amp;"."&amp;RIGHT("0"&amp;MONTH(INDEX(Mișcări!$B$5:$B$2004,MATCH(CodFisa&amp;"|"&amp;38,Mișcări!$M$5:$M$2004,0))),2)&amp;"."&amp;YEAR(INDEX(Mișcări!$B$5:$B$2004,MATCH(CodFisa&amp;"|"&amp;38,Mișcări!$M$5:$M$2004,0))))</f>
        <v/>
      </c>
      <c r="D48" s="13" t="str">
        <f>IF($B48="","",INDEX(Mișcări!$C$5:$C$2004,MATCH(CodFisa&amp;"|"&amp;38,Mișcări!$M$5:$M$2004,0))&amp;" "&amp;INDEX(Mișcări!$D$5:$D$2004,MATCH(CodFisa&amp;"|"&amp;38,Mișcări!$M$5:$M$2004,0)))</f>
        <v/>
      </c>
      <c r="E48" s="12" t="str">
        <f>IF($B48="","",INDEX(Mișcări!$K$5:$K$2004,MATCH(CodFisa&amp;"|"&amp;38,Mișcări!$M$5:$M$2004,0)))</f>
        <v/>
      </c>
      <c r="F48" s="24" t="str">
        <f>IF($B48="","",IF(N(INDEX(Mișcări!$H$5:$H$2004,MATCH(CodFisa&amp;"|"&amp;38,Mișcări!$M$5:$M$2004,0)))=0,"",INDEX(Mișcări!$H$5:$H$2004,MATCH(CodFisa&amp;"|"&amp;38,Mișcări!$M$5:$M$2004,0))))</f>
        <v/>
      </c>
      <c r="G48" s="24" t="str">
        <f>IF($B48="","",IF(N(INDEX(Mișcări!$I$5:$I$2004,MATCH(CodFisa&amp;"|"&amp;38,Mișcări!$M$5:$M$2004,0)))=0,"",INDEX(Mișcări!$I$5:$I$2004,MATCH(CodFisa&amp;"|"&amp;38,Mișcări!$M$5:$M$2004,0))))</f>
        <v/>
      </c>
      <c r="H48" s="14" t="str">
        <f>IF($B48="","",INDEX(Mișcări!$J$5:$J$2004,MATCH(CodFisa&amp;"|"&amp;38,Mișcări!$M$5:$M$2004,0)))</f>
        <v/>
      </c>
      <c r="I48" s="12"/>
    </row>
    <row r="49" spans="2:9" x14ac:dyDescent="0.2">
      <c r="B49" s="13" t="str">
        <f>IF(ISNUMBER(MATCH(CodFisa&amp;"|"&amp;39,Mișcări!$M$5:$M$2004,0)),39,"")</f>
        <v/>
      </c>
      <c r="C49" s="13" t="str">
        <f>IF($B49="","",RIGHT("0"&amp;DAY(INDEX(Mișcări!$B$5:$B$2004,MATCH(CodFisa&amp;"|"&amp;39,Mișcări!$M$5:$M$2004,0))),2)&amp;"."&amp;RIGHT("0"&amp;MONTH(INDEX(Mișcări!$B$5:$B$2004,MATCH(CodFisa&amp;"|"&amp;39,Mișcări!$M$5:$M$2004,0))),2)&amp;"."&amp;YEAR(INDEX(Mișcări!$B$5:$B$2004,MATCH(CodFisa&amp;"|"&amp;39,Mișcări!$M$5:$M$2004,0))))</f>
        <v/>
      </c>
      <c r="D49" s="13" t="str">
        <f>IF($B49="","",INDEX(Mișcări!$C$5:$C$2004,MATCH(CodFisa&amp;"|"&amp;39,Mișcări!$M$5:$M$2004,0))&amp;" "&amp;INDEX(Mișcări!$D$5:$D$2004,MATCH(CodFisa&amp;"|"&amp;39,Mișcări!$M$5:$M$2004,0)))</f>
        <v/>
      </c>
      <c r="E49" s="12" t="str">
        <f>IF($B49="","",INDEX(Mișcări!$K$5:$K$2004,MATCH(CodFisa&amp;"|"&amp;39,Mișcări!$M$5:$M$2004,0)))</f>
        <v/>
      </c>
      <c r="F49" s="24" t="str">
        <f>IF($B49="","",IF(N(INDEX(Mișcări!$H$5:$H$2004,MATCH(CodFisa&amp;"|"&amp;39,Mișcări!$M$5:$M$2004,0)))=0,"",INDEX(Mișcări!$H$5:$H$2004,MATCH(CodFisa&amp;"|"&amp;39,Mișcări!$M$5:$M$2004,0))))</f>
        <v/>
      </c>
      <c r="G49" s="24" t="str">
        <f>IF($B49="","",IF(N(INDEX(Mișcări!$I$5:$I$2004,MATCH(CodFisa&amp;"|"&amp;39,Mișcări!$M$5:$M$2004,0)))=0,"",INDEX(Mișcări!$I$5:$I$2004,MATCH(CodFisa&amp;"|"&amp;39,Mișcări!$M$5:$M$2004,0))))</f>
        <v/>
      </c>
      <c r="H49" s="14" t="str">
        <f>IF($B49="","",INDEX(Mișcări!$J$5:$J$2004,MATCH(CodFisa&amp;"|"&amp;39,Mișcări!$M$5:$M$2004,0)))</f>
        <v/>
      </c>
      <c r="I49" s="12"/>
    </row>
    <row r="50" spans="2:9" x14ac:dyDescent="0.2">
      <c r="B50" s="13" t="str">
        <f>IF(ISNUMBER(MATCH(CodFisa&amp;"|"&amp;40,Mișcări!$M$5:$M$2004,0)),40,"")</f>
        <v/>
      </c>
      <c r="C50" s="13" t="str">
        <f>IF($B50="","",RIGHT("0"&amp;DAY(INDEX(Mișcări!$B$5:$B$2004,MATCH(CodFisa&amp;"|"&amp;40,Mișcări!$M$5:$M$2004,0))),2)&amp;"."&amp;RIGHT("0"&amp;MONTH(INDEX(Mișcări!$B$5:$B$2004,MATCH(CodFisa&amp;"|"&amp;40,Mișcări!$M$5:$M$2004,0))),2)&amp;"."&amp;YEAR(INDEX(Mișcări!$B$5:$B$2004,MATCH(CodFisa&amp;"|"&amp;40,Mișcări!$M$5:$M$2004,0))))</f>
        <v/>
      </c>
      <c r="D50" s="13" t="str">
        <f>IF($B50="","",INDEX(Mișcări!$C$5:$C$2004,MATCH(CodFisa&amp;"|"&amp;40,Mișcări!$M$5:$M$2004,0))&amp;" "&amp;INDEX(Mișcări!$D$5:$D$2004,MATCH(CodFisa&amp;"|"&amp;40,Mișcări!$M$5:$M$2004,0)))</f>
        <v/>
      </c>
      <c r="E50" s="12" t="str">
        <f>IF($B50="","",INDEX(Mișcări!$K$5:$K$2004,MATCH(CodFisa&amp;"|"&amp;40,Mișcări!$M$5:$M$2004,0)))</f>
        <v/>
      </c>
      <c r="F50" s="24" t="str">
        <f>IF($B50="","",IF(N(INDEX(Mișcări!$H$5:$H$2004,MATCH(CodFisa&amp;"|"&amp;40,Mișcări!$M$5:$M$2004,0)))=0,"",INDEX(Mișcări!$H$5:$H$2004,MATCH(CodFisa&amp;"|"&amp;40,Mișcări!$M$5:$M$2004,0))))</f>
        <v/>
      </c>
      <c r="G50" s="24" t="str">
        <f>IF($B50="","",IF(N(INDEX(Mișcări!$I$5:$I$2004,MATCH(CodFisa&amp;"|"&amp;40,Mișcări!$M$5:$M$2004,0)))=0,"",INDEX(Mișcări!$I$5:$I$2004,MATCH(CodFisa&amp;"|"&amp;40,Mișcări!$M$5:$M$2004,0))))</f>
        <v/>
      </c>
      <c r="H50" s="14" t="str">
        <f>IF($B50="","",INDEX(Mișcări!$J$5:$J$2004,MATCH(CodFisa&amp;"|"&amp;40,Mișcări!$M$5:$M$2004,0)))</f>
        <v/>
      </c>
      <c r="I50" s="12"/>
    </row>
    <row r="51" spans="2:9" x14ac:dyDescent="0.2">
      <c r="B51" s="25"/>
      <c r="C51" s="25"/>
      <c r="D51" s="25"/>
      <c r="E51" s="25" t="s">
        <v>82</v>
      </c>
      <c r="F51" s="26">
        <f>SUM(F11:F50)</f>
        <v>515</v>
      </c>
      <c r="G51" s="26">
        <f>SUM(G11:G50)</f>
        <v>648</v>
      </c>
      <c r="H51" s="26">
        <f>H10+F51-G51</f>
        <v>267</v>
      </c>
      <c r="I51" s="25"/>
    </row>
    <row r="53" spans="2:9" x14ac:dyDescent="0.2">
      <c r="B53" s="27" t="str">
        <f>IF(COUNTIF(Mișcări!$E$5:$E$2004,CodFisa)&gt;40,"Atenție: produsul are mai mult de 40 mișcări; începe o fișă nouă (de exemplu, pe an nou) cu stocul reportat.","")</f>
        <v/>
      </c>
    </row>
    <row r="54" spans="2:9" x14ac:dyDescent="0.2">
      <c r="B54" s="1" t="s">
        <v>83</v>
      </c>
      <c r="F54" s="1" t="s">
        <v>84</v>
      </c>
    </row>
    <row r="1000" spans="702:702" ht="15" x14ac:dyDescent="0.25">
      <c r="ZZ1000"/>
    </row>
  </sheetData>
  <mergeCells count="4">
    <mergeCell ref="C4:E4"/>
    <mergeCell ref="C5:E5"/>
    <mergeCell ref="C6:E6"/>
    <mergeCell ref="C7:E7"/>
  </mergeCells>
  <conditionalFormatting sqref="H6">
    <cfRule type="expression" dxfId="7" priority="1" stopIfTrue="1">
      <formula>AND(ISNUMBER($H$5),$H$6&lt;$H$5)</formula>
    </cfRule>
  </conditionalFormatting>
  <conditionalFormatting sqref="H11:H50">
    <cfRule type="expression" dxfId="6" priority="2" stopIfTrue="1">
      <formula>AND(ISNUMBER($H11),$H11&lt;0)</formula>
    </cfRule>
  </conditionalFormatting>
  <dataValidations count="1">
    <dataValidation type="list" allowBlank="1" showInputMessage="1" showErrorMessage="1" sqref="H2" xr:uid="{2AF47651-33FD-4AFE-9E5E-BFA9FDEB0620}">
      <formula1>CodProd</formula1>
    </dataValidation>
  </dataValidations>
  <printOptions horizontalCentered="1"/>
  <pageMargins left="0.7" right="0.7" top="0.75" bottom="0.75" header="0.3" footer="0.3"/>
  <pageSetup scale="70" orientation="portrait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E2AC8-8B2E-40FA-A893-EE293FEC227B}">
  <sheetPr>
    <pageSetUpPr fitToPage="1"/>
  </sheetPr>
  <dimension ref="B1:ZZ2004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2.7109375" style="1" customWidth="1"/>
    <col min="2" max="2" width="11.7109375" style="1" customWidth="1"/>
    <col min="3" max="3" width="20.7109375" style="1" customWidth="1"/>
    <col min="4" max="4" width="10.7109375" style="1" customWidth="1"/>
    <col min="5" max="5" width="9.7109375" style="1" customWidth="1"/>
    <col min="6" max="6" width="32.7109375" style="1" customWidth="1"/>
    <col min="7" max="7" width="6.7109375" style="1" customWidth="1"/>
    <col min="8" max="9" width="9.7109375" style="1" customWidth="1"/>
    <col min="10" max="10" width="11.7109375" style="1" customWidth="1"/>
    <col min="11" max="11" width="38.7109375" style="1" customWidth="1"/>
    <col min="12" max="12" width="24.7109375" style="1" customWidth="1"/>
    <col min="13" max="13" width="0" style="1" hidden="1" customWidth="1"/>
    <col min="14" max="16384" width="11.42578125" style="1"/>
  </cols>
  <sheetData>
    <row r="1" spans="2:13" ht="21" x14ac:dyDescent="0.35">
      <c r="B1" s="2" t="s">
        <v>32</v>
      </c>
    </row>
    <row r="2" spans="2:13" x14ac:dyDescent="0.2">
      <c r="B2" s="3" t="s">
        <v>33</v>
      </c>
    </row>
    <row r="4" spans="2:13" ht="30" customHeight="1" x14ac:dyDescent="0.2">
      <c r="B4" s="5" t="s">
        <v>34</v>
      </c>
      <c r="C4" s="5" t="s">
        <v>35</v>
      </c>
      <c r="D4" s="5" t="s">
        <v>36</v>
      </c>
      <c r="E4" s="5" t="s">
        <v>37</v>
      </c>
      <c r="F4" s="5" t="s">
        <v>38</v>
      </c>
      <c r="G4" s="5" t="s">
        <v>4</v>
      </c>
      <c r="H4" s="5" t="s">
        <v>39</v>
      </c>
      <c r="I4" s="5" t="s">
        <v>40</v>
      </c>
      <c r="J4" s="5" t="s">
        <v>41</v>
      </c>
      <c r="K4" s="5" t="s">
        <v>42</v>
      </c>
      <c r="L4" s="5" t="s">
        <v>43</v>
      </c>
    </row>
    <row r="5" spans="2:13" x14ac:dyDescent="0.2">
      <c r="B5" s="10">
        <f>DATE(2026,10,1)</f>
        <v>46296</v>
      </c>
      <c r="C5" s="7" t="s">
        <v>24</v>
      </c>
      <c r="D5" s="11">
        <v>1045</v>
      </c>
      <c r="E5" s="6" t="s">
        <v>8</v>
      </c>
      <c r="F5" s="12" t="str">
        <f t="shared" ref="F5:F68" si="0">IF(E5="","",IFERROR(VLOOKUP(E5,TabProd,2,FALSE),"Cod inexistent"))</f>
        <v>Cablu electric CYY-F 3×2,5 mm²</v>
      </c>
      <c r="G5" s="13" t="str">
        <f t="shared" ref="G5:G68" si="1">IF(E5="","",IFERROR(VLOOKUP(E5,TabProd,3,FALSE),""))</f>
        <v>m</v>
      </c>
      <c r="H5" s="9">
        <v>200</v>
      </c>
      <c r="I5" s="9"/>
      <c r="J5" s="14">
        <f>IF(E5="","",IFERROR(VLOOKUP(E5,TabProd,5,FALSE),0)+SUMIFS($H$5:H5,$E$5:E5,E5)-SUMIFS($I$5:I5,$E$5:E5,E5))</f>
        <v>600</v>
      </c>
      <c r="K5" s="7" t="s">
        <v>44</v>
      </c>
      <c r="L5" s="7" t="s">
        <v>45</v>
      </c>
      <c r="M5" s="1" t="str">
        <f>IF(E5="","",E5&amp;"|"&amp;COUNTIF($E$5:E5,E5))</f>
        <v>P01|1</v>
      </c>
    </row>
    <row r="6" spans="2:13" x14ac:dyDescent="0.2">
      <c r="B6" s="10">
        <f>DATE(2026,10,1)</f>
        <v>46296</v>
      </c>
      <c r="C6" s="7" t="s">
        <v>24</v>
      </c>
      <c r="D6" s="11">
        <v>1045</v>
      </c>
      <c r="E6" s="6" t="s">
        <v>11</v>
      </c>
      <c r="F6" s="12" t="str">
        <f t="shared" si="0"/>
        <v>Tub PVC 32 mm (bară 3 m)</v>
      </c>
      <c r="G6" s="13" t="str">
        <f t="shared" si="1"/>
        <v>buc</v>
      </c>
      <c r="H6" s="9">
        <v>60</v>
      </c>
      <c r="I6" s="9"/>
      <c r="J6" s="14">
        <f>IF(E6="","",IFERROR(VLOOKUP(E6,TabProd,5,FALSE),0)+SUMIFS($H$5:H6,$E$5:E6,E6)-SUMIFS($I$5:I6,$E$5:E6,E6))</f>
        <v>180</v>
      </c>
      <c r="K6" s="7" t="s">
        <v>44</v>
      </c>
      <c r="L6" s="7" t="s">
        <v>45</v>
      </c>
      <c r="M6" s="1" t="str">
        <f>IF(E6="","",E6&amp;"|"&amp;COUNTIF($E$5:E6,E6))</f>
        <v>P02|1</v>
      </c>
    </row>
    <row r="7" spans="2:13" x14ac:dyDescent="0.2">
      <c r="B7" s="10">
        <f>DATE(2026,10,2)</f>
        <v>46297</v>
      </c>
      <c r="C7" s="7" t="s">
        <v>25</v>
      </c>
      <c r="D7" s="11">
        <v>311</v>
      </c>
      <c r="E7" s="6" t="s">
        <v>8</v>
      </c>
      <c r="F7" s="12" t="str">
        <f t="shared" si="0"/>
        <v>Cablu electric CYY-F 3×2,5 mm²</v>
      </c>
      <c r="G7" s="13" t="str">
        <f t="shared" si="1"/>
        <v>m</v>
      </c>
      <c r="H7" s="9"/>
      <c r="I7" s="9">
        <v>120</v>
      </c>
      <c r="J7" s="14">
        <f>IF(E7="","",IFERROR(VLOOKUP(E7,TabProd,5,FALSE),0)+SUMIFS($H$5:H7,$E$5:E7,E7)-SUMIFS($I$5:I7,$E$5:E7,E7))</f>
        <v>480</v>
      </c>
      <c r="K7" s="7" t="s">
        <v>46</v>
      </c>
      <c r="L7" s="7" t="s">
        <v>47</v>
      </c>
      <c r="M7" s="1" t="str">
        <f>IF(E7="","",E7&amp;"|"&amp;COUNTIF($E$5:E7,E7))</f>
        <v>P01|2</v>
      </c>
    </row>
    <row r="8" spans="2:13" x14ac:dyDescent="0.2">
      <c r="B8" s="10">
        <f>DATE(2026,10,2)</f>
        <v>46297</v>
      </c>
      <c r="C8" s="7" t="s">
        <v>25</v>
      </c>
      <c r="D8" s="11">
        <v>311</v>
      </c>
      <c r="E8" s="6" t="s">
        <v>14</v>
      </c>
      <c r="F8" s="12" t="str">
        <f t="shared" si="0"/>
        <v>Doză aparent IP65</v>
      </c>
      <c r="G8" s="13" t="str">
        <f t="shared" si="1"/>
        <v>buc</v>
      </c>
      <c r="H8" s="9"/>
      <c r="I8" s="9">
        <v>18</v>
      </c>
      <c r="J8" s="14">
        <f>IF(E8="","",IFERROR(VLOOKUP(E8,TabProd,5,FALSE),0)+SUMIFS($H$5:H8,$E$5:E8,E8)-SUMIFS($I$5:I8,$E$5:E8,E8))</f>
        <v>42</v>
      </c>
      <c r="K8" s="7" t="s">
        <v>46</v>
      </c>
      <c r="L8" s="7" t="s">
        <v>47</v>
      </c>
      <c r="M8" s="1" t="str">
        <f>IF(E8="","",E8&amp;"|"&amp;COUNTIF($E$5:E8,E8))</f>
        <v>P03|1</v>
      </c>
    </row>
    <row r="9" spans="2:13" x14ac:dyDescent="0.2">
      <c r="B9" s="10">
        <f>DATE(2026,10,5)</f>
        <v>46300</v>
      </c>
      <c r="C9" s="7" t="s">
        <v>26</v>
      </c>
      <c r="D9" s="11">
        <v>88</v>
      </c>
      <c r="E9" s="6" t="s">
        <v>16</v>
      </c>
      <c r="F9" s="12" t="str">
        <f t="shared" si="0"/>
        <v>Siguranță automată 16 A</v>
      </c>
      <c r="G9" s="13" t="str">
        <f t="shared" si="1"/>
        <v>buc</v>
      </c>
      <c r="H9" s="9"/>
      <c r="I9" s="9">
        <v>12</v>
      </c>
      <c r="J9" s="14">
        <f>IF(E9="","",IFERROR(VLOOKUP(E9,TabProd,5,FALSE),0)+SUMIFS($H$5:H9,$E$5:E9,E9)-SUMIFS($I$5:I9,$E$5:E9,E9))</f>
        <v>23</v>
      </c>
      <c r="K9" s="7" t="s">
        <v>48</v>
      </c>
      <c r="L9" s="7" t="s">
        <v>49</v>
      </c>
      <c r="M9" s="1" t="str">
        <f>IF(E9="","",E9&amp;"|"&amp;COUNTIF($E$5:E9,E9))</f>
        <v>P04|1</v>
      </c>
    </row>
    <row r="10" spans="2:13" x14ac:dyDescent="0.2">
      <c r="B10" s="10">
        <f>DATE(2026,10,6)</f>
        <v>46301</v>
      </c>
      <c r="C10" s="7" t="s">
        <v>25</v>
      </c>
      <c r="D10" s="11">
        <v>312</v>
      </c>
      <c r="E10" s="6" t="s">
        <v>8</v>
      </c>
      <c r="F10" s="12" t="str">
        <f t="shared" si="0"/>
        <v>Cablu electric CYY-F 3×2,5 mm²</v>
      </c>
      <c r="G10" s="13" t="str">
        <f t="shared" si="1"/>
        <v>m</v>
      </c>
      <c r="H10" s="9"/>
      <c r="I10" s="9">
        <v>95</v>
      </c>
      <c r="J10" s="14">
        <f>IF(E10="","",IFERROR(VLOOKUP(E10,TabProd,5,FALSE),0)+SUMIFS($H$5:H10,$E$5:E10,E10)-SUMIFS($I$5:I10,$E$5:E10,E10))</f>
        <v>385</v>
      </c>
      <c r="K10" s="7" t="s">
        <v>50</v>
      </c>
      <c r="L10" s="7" t="s">
        <v>51</v>
      </c>
      <c r="M10" s="1" t="str">
        <f>IF(E10="","",E10&amp;"|"&amp;COUNTIF($E$5:E10,E10))</f>
        <v>P01|3</v>
      </c>
    </row>
    <row r="11" spans="2:13" x14ac:dyDescent="0.2">
      <c r="B11" s="10">
        <f>DATE(2026,10,6)</f>
        <v>46301</v>
      </c>
      <c r="C11" s="7" t="s">
        <v>25</v>
      </c>
      <c r="D11" s="11">
        <v>312</v>
      </c>
      <c r="E11" s="6" t="s">
        <v>18</v>
      </c>
      <c r="F11" s="12" t="str">
        <f t="shared" si="0"/>
        <v>Bandă izolatoare</v>
      </c>
      <c r="G11" s="13" t="str">
        <f t="shared" si="1"/>
        <v>rolă</v>
      </c>
      <c r="H11" s="9"/>
      <c r="I11" s="9">
        <v>20</v>
      </c>
      <c r="J11" s="14">
        <f>IF(E11="","",IFERROR(VLOOKUP(E11,TabProd,5,FALSE),0)+SUMIFS($H$5:H11,$E$5:E11,E11)-SUMIFS($I$5:I11,$E$5:E11,E11))</f>
        <v>60</v>
      </c>
      <c r="K11" s="7" t="s">
        <v>50</v>
      </c>
      <c r="L11" s="7" t="s">
        <v>51</v>
      </c>
      <c r="M11" s="1" t="str">
        <f>IF(E11="","",E11&amp;"|"&amp;COUNTIF($E$5:E11,E11))</f>
        <v>P05|1</v>
      </c>
    </row>
    <row r="12" spans="2:13" x14ac:dyDescent="0.2">
      <c r="B12" s="10">
        <f>DATE(2026,10,8)</f>
        <v>46303</v>
      </c>
      <c r="C12" s="7" t="s">
        <v>28</v>
      </c>
      <c r="D12" s="11">
        <v>312</v>
      </c>
      <c r="E12" s="6" t="s">
        <v>8</v>
      </c>
      <c r="F12" s="12" t="str">
        <f t="shared" si="0"/>
        <v>Cablu electric CYY-F 3×2,5 mm²</v>
      </c>
      <c r="G12" s="13" t="str">
        <f t="shared" si="1"/>
        <v>m</v>
      </c>
      <c r="H12" s="9">
        <v>15</v>
      </c>
      <c r="I12" s="9"/>
      <c r="J12" s="14">
        <f>IF(E12="","",IFERROR(VLOOKUP(E12,TabProd,5,FALSE),0)+SUMIFS($H$5:H12,$E$5:E12,E12)-SUMIFS($I$5:I12,$E$5:E12,E12))</f>
        <v>400</v>
      </c>
      <c r="K12" s="7" t="s">
        <v>52</v>
      </c>
      <c r="L12" s="7" t="s">
        <v>51</v>
      </c>
      <c r="M12" s="1" t="str">
        <f>IF(E12="","",E12&amp;"|"&amp;COUNTIF($E$5:E12,E12))</f>
        <v>P01|4</v>
      </c>
    </row>
    <row r="13" spans="2:13" x14ac:dyDescent="0.2">
      <c r="B13" s="10">
        <f>DATE(2026,10,9)</f>
        <v>46304</v>
      </c>
      <c r="C13" s="7" t="s">
        <v>25</v>
      </c>
      <c r="D13" s="11">
        <v>313</v>
      </c>
      <c r="E13" s="6" t="s">
        <v>11</v>
      </c>
      <c r="F13" s="12" t="str">
        <f t="shared" si="0"/>
        <v>Tub PVC 32 mm (bară 3 m)</v>
      </c>
      <c r="G13" s="13" t="str">
        <f t="shared" si="1"/>
        <v>buc</v>
      </c>
      <c r="H13" s="9"/>
      <c r="I13" s="9">
        <v>70</v>
      </c>
      <c r="J13" s="14">
        <f>IF(E13="","",IFERROR(VLOOKUP(E13,TabProd,5,FALSE),0)+SUMIFS($H$5:H13,$E$5:E13,E13)-SUMIFS($I$5:I13,$E$5:E13,E13))</f>
        <v>110</v>
      </c>
      <c r="K13" s="7" t="s">
        <v>46</v>
      </c>
      <c r="L13" s="7" t="s">
        <v>47</v>
      </c>
      <c r="M13" s="1" t="str">
        <f>IF(E13="","",E13&amp;"|"&amp;COUNTIF($E$5:E13,E13))</f>
        <v>P02|2</v>
      </c>
    </row>
    <row r="14" spans="2:13" x14ac:dyDescent="0.2">
      <c r="B14" s="10">
        <f>DATE(2026,10,12)</f>
        <v>46307</v>
      </c>
      <c r="C14" s="7" t="s">
        <v>24</v>
      </c>
      <c r="D14" s="11">
        <v>1052</v>
      </c>
      <c r="E14" s="6" t="s">
        <v>14</v>
      </c>
      <c r="F14" s="12" t="str">
        <f t="shared" si="0"/>
        <v>Doză aparent IP65</v>
      </c>
      <c r="G14" s="13" t="str">
        <f t="shared" si="1"/>
        <v>buc</v>
      </c>
      <c r="H14" s="9">
        <v>50</v>
      </c>
      <c r="I14" s="9"/>
      <c r="J14" s="14">
        <f>IF(E14="","",IFERROR(VLOOKUP(E14,TabProd,5,FALSE),0)+SUMIFS($H$5:H14,$E$5:E14,E14)-SUMIFS($I$5:I14,$E$5:E14,E14))</f>
        <v>92</v>
      </c>
      <c r="K14" s="7" t="s">
        <v>44</v>
      </c>
      <c r="L14" s="7" t="s">
        <v>45</v>
      </c>
      <c r="M14" s="1" t="str">
        <f>IF(E14="","",E14&amp;"|"&amp;COUNTIF($E$5:E14,E14))</f>
        <v>P03|2</v>
      </c>
    </row>
    <row r="15" spans="2:13" x14ac:dyDescent="0.2">
      <c r="B15" s="10">
        <f>DATE(2026,10,13)</f>
        <v>46308</v>
      </c>
      <c r="C15" s="7" t="s">
        <v>25</v>
      </c>
      <c r="D15" s="11">
        <v>314</v>
      </c>
      <c r="E15" s="6" t="s">
        <v>8</v>
      </c>
      <c r="F15" s="12" t="str">
        <f t="shared" si="0"/>
        <v>Cablu electric CYY-F 3×2,5 mm²</v>
      </c>
      <c r="G15" s="13" t="str">
        <f t="shared" si="1"/>
        <v>m</v>
      </c>
      <c r="H15" s="9"/>
      <c r="I15" s="9">
        <v>180</v>
      </c>
      <c r="J15" s="14">
        <f>IF(E15="","",IFERROR(VLOOKUP(E15,TabProd,5,FALSE),0)+SUMIFS($H$5:H15,$E$5:E15,E15)-SUMIFS($I$5:I15,$E$5:E15,E15))</f>
        <v>220</v>
      </c>
      <c r="K15" s="7" t="s">
        <v>53</v>
      </c>
      <c r="L15" s="7" t="s">
        <v>47</v>
      </c>
      <c r="M15" s="1" t="str">
        <f>IF(E15="","",E15&amp;"|"&amp;COUNTIF($E$5:E15,E15))</f>
        <v>P01|5</v>
      </c>
    </row>
    <row r="16" spans="2:13" x14ac:dyDescent="0.2">
      <c r="B16" s="10">
        <f>DATE(2026,10,13)</f>
        <v>46308</v>
      </c>
      <c r="C16" s="7" t="s">
        <v>25</v>
      </c>
      <c r="D16" s="11">
        <v>314</v>
      </c>
      <c r="E16" s="6" t="s">
        <v>21</v>
      </c>
      <c r="F16" s="12" t="str">
        <f t="shared" si="0"/>
        <v>Priză dublă aparentă</v>
      </c>
      <c r="G16" s="13" t="str">
        <f t="shared" si="1"/>
        <v>buc</v>
      </c>
      <c r="H16" s="9"/>
      <c r="I16" s="9">
        <v>14</v>
      </c>
      <c r="J16" s="14">
        <f>IF(E16="","",IFERROR(VLOOKUP(E16,TabProd,5,FALSE),0)+SUMIFS($H$5:H16,$E$5:E16,E16)-SUMIFS($I$5:I16,$E$5:E16,E16))</f>
        <v>11</v>
      </c>
      <c r="K16" s="7" t="s">
        <v>53</v>
      </c>
      <c r="L16" s="7" t="s">
        <v>47</v>
      </c>
      <c r="M16" s="1" t="str">
        <f>IF(E16="","",E16&amp;"|"&amp;COUNTIF($E$5:E16,E16))</f>
        <v>P06|1</v>
      </c>
    </row>
    <row r="17" spans="2:13" x14ac:dyDescent="0.2">
      <c r="B17" s="10">
        <f>DATE(2026,10,15)</f>
        <v>46310</v>
      </c>
      <c r="C17" s="7" t="s">
        <v>29</v>
      </c>
      <c r="D17" s="11" t="s">
        <v>54</v>
      </c>
      <c r="E17" s="6" t="s">
        <v>16</v>
      </c>
      <c r="F17" s="12" t="str">
        <f t="shared" si="0"/>
        <v>Siguranță automată 16 A</v>
      </c>
      <c r="G17" s="13" t="str">
        <f t="shared" si="1"/>
        <v>buc</v>
      </c>
      <c r="H17" s="9"/>
      <c r="I17" s="9">
        <v>8</v>
      </c>
      <c r="J17" s="14">
        <f>IF(E17="","",IFERROR(VLOOKUP(E17,TabProd,5,FALSE),0)+SUMIFS($H$5:H17,$E$5:E17,E17)-SUMIFS($I$5:I17,$E$5:E17,E17))</f>
        <v>15</v>
      </c>
      <c r="K17" s="7" t="s">
        <v>55</v>
      </c>
      <c r="L17" s="7" t="s">
        <v>56</v>
      </c>
      <c r="M17" s="1" t="str">
        <f>IF(E17="","",E17&amp;"|"&amp;COUNTIF($E$5:E17,E17))</f>
        <v>P04|2</v>
      </c>
    </row>
    <row r="18" spans="2:13" x14ac:dyDescent="0.2">
      <c r="B18" s="10">
        <f>DATE(2026,10,16)</f>
        <v>46311</v>
      </c>
      <c r="C18" s="7" t="s">
        <v>24</v>
      </c>
      <c r="D18" s="11">
        <v>1060</v>
      </c>
      <c r="E18" s="6" t="s">
        <v>8</v>
      </c>
      <c r="F18" s="12" t="str">
        <f t="shared" si="0"/>
        <v>Cablu electric CYY-F 3×2,5 mm²</v>
      </c>
      <c r="G18" s="13" t="str">
        <f t="shared" si="1"/>
        <v>m</v>
      </c>
      <c r="H18" s="9">
        <v>300</v>
      </c>
      <c r="I18" s="9"/>
      <c r="J18" s="14">
        <f>IF(E18="","",IFERROR(VLOOKUP(E18,TabProd,5,FALSE),0)+SUMIFS($H$5:H18,$E$5:E18,E18)-SUMIFS($I$5:I18,$E$5:E18,E18))</f>
        <v>520</v>
      </c>
      <c r="K18" s="7" t="s">
        <v>44</v>
      </c>
      <c r="L18" s="7" t="s">
        <v>57</v>
      </c>
      <c r="M18" s="1" t="str">
        <f>IF(E18="","",E18&amp;"|"&amp;COUNTIF($E$5:E18,E18))</f>
        <v>P01|6</v>
      </c>
    </row>
    <row r="19" spans="2:13" x14ac:dyDescent="0.2">
      <c r="B19" s="10">
        <f>DATE(2026,10,19)</f>
        <v>46314</v>
      </c>
      <c r="C19" s="7" t="s">
        <v>25</v>
      </c>
      <c r="D19" s="11">
        <v>315</v>
      </c>
      <c r="E19" s="6" t="s">
        <v>8</v>
      </c>
      <c r="F19" s="12" t="str">
        <f t="shared" si="0"/>
        <v>Cablu electric CYY-F 3×2,5 mm²</v>
      </c>
      <c r="G19" s="13" t="str">
        <f t="shared" si="1"/>
        <v>m</v>
      </c>
      <c r="H19" s="9"/>
      <c r="I19" s="9">
        <v>140</v>
      </c>
      <c r="J19" s="14">
        <f>IF(E19="","",IFERROR(VLOOKUP(E19,TabProd,5,FALSE),0)+SUMIFS($H$5:H19,$E$5:E19,E19)-SUMIFS($I$5:I19,$E$5:E19,E19))</f>
        <v>380</v>
      </c>
      <c r="K19" s="7" t="s">
        <v>53</v>
      </c>
      <c r="L19" s="7" t="s">
        <v>47</v>
      </c>
      <c r="M19" s="1" t="str">
        <f>IF(E19="","",E19&amp;"|"&amp;COUNTIF($E$5:E19,E19))</f>
        <v>P01|7</v>
      </c>
    </row>
    <row r="20" spans="2:13" x14ac:dyDescent="0.2">
      <c r="B20" s="10">
        <f>DATE(2026,10,20)</f>
        <v>46315</v>
      </c>
      <c r="C20" s="7" t="s">
        <v>25</v>
      </c>
      <c r="D20" s="11">
        <v>315</v>
      </c>
      <c r="E20" s="6" t="s">
        <v>18</v>
      </c>
      <c r="F20" s="12" t="str">
        <f t="shared" si="0"/>
        <v>Bandă izolatoare</v>
      </c>
      <c r="G20" s="13" t="str">
        <f t="shared" si="1"/>
        <v>rolă</v>
      </c>
      <c r="H20" s="9"/>
      <c r="I20" s="9">
        <v>35</v>
      </c>
      <c r="J20" s="14">
        <f>IF(E20="","",IFERROR(VLOOKUP(E20,TabProd,5,FALSE),0)+SUMIFS($H$5:H20,$E$5:E20,E20)-SUMIFS($I$5:I20,$E$5:E20,E20))</f>
        <v>25</v>
      </c>
      <c r="K20" s="7" t="s">
        <v>53</v>
      </c>
      <c r="L20" s="7" t="s">
        <v>47</v>
      </c>
      <c r="M20" s="1" t="str">
        <f>IF(E20="","",E20&amp;"|"&amp;COUNTIF($E$5:E20,E20))</f>
        <v>P05|2</v>
      </c>
    </row>
    <row r="21" spans="2:13" x14ac:dyDescent="0.2">
      <c r="B21" s="10">
        <f>DATE(2026,10,22)</f>
        <v>46317</v>
      </c>
      <c r="C21" s="7" t="s">
        <v>25</v>
      </c>
      <c r="D21" s="11">
        <v>316</v>
      </c>
      <c r="E21" s="6" t="s">
        <v>11</v>
      </c>
      <c r="F21" s="12" t="str">
        <f t="shared" si="0"/>
        <v>Tub PVC 32 mm (bară 3 m)</v>
      </c>
      <c r="G21" s="13" t="str">
        <f t="shared" si="1"/>
        <v>buc</v>
      </c>
      <c r="H21" s="9"/>
      <c r="I21" s="9">
        <v>25</v>
      </c>
      <c r="J21" s="14">
        <f>IF(E21="","",IFERROR(VLOOKUP(E21,TabProd,5,FALSE),0)+SUMIFS($H$5:H21,$E$5:E21,E21)-SUMIFS($I$5:I21,$E$5:E21,E21))</f>
        <v>85</v>
      </c>
      <c r="K21" s="7" t="s">
        <v>50</v>
      </c>
      <c r="L21" s="7" t="s">
        <v>51</v>
      </c>
      <c r="M21" s="1" t="str">
        <f>IF(E21="","",E21&amp;"|"&amp;COUNTIF($E$5:E21,E21))</f>
        <v>P02|3</v>
      </c>
    </row>
    <row r="22" spans="2:13" x14ac:dyDescent="0.2">
      <c r="B22" s="10">
        <f>DATE(2026,10,26)</f>
        <v>46321</v>
      </c>
      <c r="C22" s="7" t="s">
        <v>25</v>
      </c>
      <c r="D22" s="11">
        <v>317</v>
      </c>
      <c r="E22" s="6" t="s">
        <v>8</v>
      </c>
      <c r="F22" s="12" t="str">
        <f t="shared" si="0"/>
        <v>Cablu electric CYY-F 3×2,5 mm²</v>
      </c>
      <c r="G22" s="13" t="str">
        <f t="shared" si="1"/>
        <v>m</v>
      </c>
      <c r="H22" s="9"/>
      <c r="I22" s="9">
        <v>110</v>
      </c>
      <c r="J22" s="14">
        <f>IF(E22="","",IFERROR(VLOOKUP(E22,TabProd,5,FALSE),0)+SUMIFS($H$5:H22,$E$5:E22,E22)-SUMIFS($I$5:I22,$E$5:E22,E22))</f>
        <v>270</v>
      </c>
      <c r="K22" s="7" t="s">
        <v>58</v>
      </c>
      <c r="L22" s="7" t="s">
        <v>51</v>
      </c>
      <c r="M22" s="1" t="str">
        <f>IF(E22="","",E22&amp;"|"&amp;COUNTIF($E$5:E22,E22))</f>
        <v>P01|8</v>
      </c>
    </row>
    <row r="23" spans="2:13" x14ac:dyDescent="0.2">
      <c r="B23" s="10">
        <f>DATE(2026,10,30)</f>
        <v>46325</v>
      </c>
      <c r="C23" s="7" t="s">
        <v>30</v>
      </c>
      <c r="D23" s="11" t="s">
        <v>59</v>
      </c>
      <c r="E23" s="6" t="s">
        <v>8</v>
      </c>
      <c r="F23" s="12" t="str">
        <f t="shared" si="0"/>
        <v>Cablu electric CYY-F 3×2,5 mm²</v>
      </c>
      <c r="G23" s="13" t="str">
        <f t="shared" si="1"/>
        <v>m</v>
      </c>
      <c r="H23" s="9"/>
      <c r="I23" s="9">
        <v>3</v>
      </c>
      <c r="J23" s="14">
        <f>IF(E23="","",IFERROR(VLOOKUP(E23,TabProd,5,FALSE),0)+SUMIFS($H$5:H23,$E$5:E23,E23)-SUMIFS($I$5:I23,$E$5:E23,E23))</f>
        <v>267</v>
      </c>
      <c r="K23" s="7" t="s">
        <v>60</v>
      </c>
      <c r="L23" s="7" t="s">
        <v>61</v>
      </c>
      <c r="M23" s="1" t="str">
        <f>IF(E23="","",E23&amp;"|"&amp;COUNTIF($E$5:E23,E23))</f>
        <v>P01|9</v>
      </c>
    </row>
    <row r="24" spans="2:13" x14ac:dyDescent="0.2">
      <c r="B24" s="10"/>
      <c r="C24" s="7"/>
      <c r="D24" s="11"/>
      <c r="E24" s="6"/>
      <c r="F24" s="12" t="str">
        <f t="shared" si="0"/>
        <v/>
      </c>
      <c r="G24" s="13" t="str">
        <f t="shared" si="1"/>
        <v/>
      </c>
      <c r="H24" s="9"/>
      <c r="I24" s="9"/>
      <c r="J24" s="14" t="str">
        <f>IF(E24="","",IFERROR(VLOOKUP(E24,TabProd,5,FALSE),0)+SUMIFS($H$5:H24,$E$5:E24,E24)-SUMIFS($I$5:I24,$E$5:E24,E24))</f>
        <v/>
      </c>
      <c r="K24" s="7"/>
      <c r="L24" s="7"/>
      <c r="M24" s="1" t="str">
        <f>IF(E24="","",E24&amp;"|"&amp;COUNTIF($E$5:E24,E24))</f>
        <v/>
      </c>
    </row>
    <row r="25" spans="2:13" x14ac:dyDescent="0.2">
      <c r="B25" s="10"/>
      <c r="C25" s="7"/>
      <c r="D25" s="11"/>
      <c r="E25" s="6"/>
      <c r="F25" s="12" t="str">
        <f t="shared" si="0"/>
        <v/>
      </c>
      <c r="G25" s="13" t="str">
        <f t="shared" si="1"/>
        <v/>
      </c>
      <c r="H25" s="9"/>
      <c r="I25" s="9"/>
      <c r="J25" s="14" t="str">
        <f>IF(E25="","",IFERROR(VLOOKUP(E25,TabProd,5,FALSE),0)+SUMIFS($H$5:H25,$E$5:E25,E25)-SUMIFS($I$5:I25,$E$5:E25,E25))</f>
        <v/>
      </c>
      <c r="K25" s="7"/>
      <c r="L25" s="7"/>
      <c r="M25" s="1" t="str">
        <f>IF(E25="","",E25&amp;"|"&amp;COUNTIF($E$5:E25,E25))</f>
        <v/>
      </c>
    </row>
    <row r="26" spans="2:13" x14ac:dyDescent="0.2">
      <c r="B26" s="10"/>
      <c r="C26" s="7"/>
      <c r="D26" s="11"/>
      <c r="E26" s="6"/>
      <c r="F26" s="12" t="str">
        <f t="shared" si="0"/>
        <v/>
      </c>
      <c r="G26" s="13" t="str">
        <f t="shared" si="1"/>
        <v/>
      </c>
      <c r="H26" s="9"/>
      <c r="I26" s="9"/>
      <c r="J26" s="14" t="str">
        <f>IF(E26="","",IFERROR(VLOOKUP(E26,TabProd,5,FALSE),0)+SUMIFS($H$5:H26,$E$5:E26,E26)-SUMIFS($I$5:I26,$E$5:E26,E26))</f>
        <v/>
      </c>
      <c r="K26" s="7"/>
      <c r="L26" s="7"/>
      <c r="M26" s="1" t="str">
        <f>IF(E26="","",E26&amp;"|"&amp;COUNTIF($E$5:E26,E26))</f>
        <v/>
      </c>
    </row>
    <row r="27" spans="2:13" x14ac:dyDescent="0.2">
      <c r="B27" s="10"/>
      <c r="C27" s="7"/>
      <c r="D27" s="11"/>
      <c r="E27" s="6"/>
      <c r="F27" s="12" t="str">
        <f t="shared" si="0"/>
        <v/>
      </c>
      <c r="G27" s="13" t="str">
        <f t="shared" si="1"/>
        <v/>
      </c>
      <c r="H27" s="9"/>
      <c r="I27" s="9"/>
      <c r="J27" s="14" t="str">
        <f>IF(E27="","",IFERROR(VLOOKUP(E27,TabProd,5,FALSE),0)+SUMIFS($H$5:H27,$E$5:E27,E27)-SUMIFS($I$5:I27,$E$5:E27,E27))</f>
        <v/>
      </c>
      <c r="K27" s="7"/>
      <c r="L27" s="7"/>
      <c r="M27" s="1" t="str">
        <f>IF(E27="","",E27&amp;"|"&amp;COUNTIF($E$5:E27,E27))</f>
        <v/>
      </c>
    </row>
    <row r="28" spans="2:13" x14ac:dyDescent="0.2">
      <c r="B28" s="10"/>
      <c r="C28" s="7"/>
      <c r="D28" s="11"/>
      <c r="E28" s="6"/>
      <c r="F28" s="12" t="str">
        <f t="shared" si="0"/>
        <v/>
      </c>
      <c r="G28" s="13" t="str">
        <f t="shared" si="1"/>
        <v/>
      </c>
      <c r="H28" s="9"/>
      <c r="I28" s="9"/>
      <c r="J28" s="14" t="str">
        <f>IF(E28="","",IFERROR(VLOOKUP(E28,TabProd,5,FALSE),0)+SUMIFS($H$5:H28,$E$5:E28,E28)-SUMIFS($I$5:I28,$E$5:E28,E28))</f>
        <v/>
      </c>
      <c r="K28" s="7"/>
      <c r="L28" s="7"/>
      <c r="M28" s="1" t="str">
        <f>IF(E28="","",E28&amp;"|"&amp;COUNTIF($E$5:E28,E28))</f>
        <v/>
      </c>
    </row>
    <row r="29" spans="2:13" x14ac:dyDescent="0.2">
      <c r="B29" s="10"/>
      <c r="C29" s="7"/>
      <c r="D29" s="11"/>
      <c r="E29" s="6"/>
      <c r="F29" s="12" t="str">
        <f t="shared" si="0"/>
        <v/>
      </c>
      <c r="G29" s="13" t="str">
        <f t="shared" si="1"/>
        <v/>
      </c>
      <c r="H29" s="9"/>
      <c r="I29" s="9"/>
      <c r="J29" s="14" t="str">
        <f>IF(E29="","",IFERROR(VLOOKUP(E29,TabProd,5,FALSE),0)+SUMIFS($H$5:H29,$E$5:E29,E29)-SUMIFS($I$5:I29,$E$5:E29,E29))</f>
        <v/>
      </c>
      <c r="K29" s="7"/>
      <c r="L29" s="7"/>
      <c r="M29" s="1" t="str">
        <f>IF(E29="","",E29&amp;"|"&amp;COUNTIF($E$5:E29,E29))</f>
        <v/>
      </c>
    </row>
    <row r="30" spans="2:13" x14ac:dyDescent="0.2">
      <c r="B30" s="10"/>
      <c r="C30" s="7"/>
      <c r="D30" s="11"/>
      <c r="E30" s="6"/>
      <c r="F30" s="12" t="str">
        <f t="shared" si="0"/>
        <v/>
      </c>
      <c r="G30" s="13" t="str">
        <f t="shared" si="1"/>
        <v/>
      </c>
      <c r="H30" s="9"/>
      <c r="I30" s="9"/>
      <c r="J30" s="14" t="str">
        <f>IF(E30="","",IFERROR(VLOOKUP(E30,TabProd,5,FALSE),0)+SUMIFS($H$5:H30,$E$5:E30,E30)-SUMIFS($I$5:I30,$E$5:E30,E30))</f>
        <v/>
      </c>
      <c r="K30" s="7"/>
      <c r="L30" s="7"/>
      <c r="M30" s="1" t="str">
        <f>IF(E30="","",E30&amp;"|"&amp;COUNTIF($E$5:E30,E30))</f>
        <v/>
      </c>
    </row>
    <row r="31" spans="2:13" x14ac:dyDescent="0.2">
      <c r="B31" s="10"/>
      <c r="C31" s="7"/>
      <c r="D31" s="11"/>
      <c r="E31" s="6"/>
      <c r="F31" s="12" t="str">
        <f t="shared" si="0"/>
        <v/>
      </c>
      <c r="G31" s="13" t="str">
        <f t="shared" si="1"/>
        <v/>
      </c>
      <c r="H31" s="9"/>
      <c r="I31" s="9"/>
      <c r="J31" s="14" t="str">
        <f>IF(E31="","",IFERROR(VLOOKUP(E31,TabProd,5,FALSE),0)+SUMIFS($H$5:H31,$E$5:E31,E31)-SUMIFS($I$5:I31,$E$5:E31,E31))</f>
        <v/>
      </c>
      <c r="K31" s="7"/>
      <c r="L31" s="7"/>
      <c r="M31" s="1" t="str">
        <f>IF(E31="","",E31&amp;"|"&amp;COUNTIF($E$5:E31,E31))</f>
        <v/>
      </c>
    </row>
    <row r="32" spans="2:13" x14ac:dyDescent="0.2">
      <c r="B32" s="10"/>
      <c r="C32" s="7"/>
      <c r="D32" s="11"/>
      <c r="E32" s="6"/>
      <c r="F32" s="12" t="str">
        <f t="shared" si="0"/>
        <v/>
      </c>
      <c r="G32" s="13" t="str">
        <f t="shared" si="1"/>
        <v/>
      </c>
      <c r="H32" s="9"/>
      <c r="I32" s="9"/>
      <c r="J32" s="14" t="str">
        <f>IF(E32="","",IFERROR(VLOOKUP(E32,TabProd,5,FALSE),0)+SUMIFS($H$5:H32,$E$5:E32,E32)-SUMIFS($I$5:I32,$E$5:E32,E32))</f>
        <v/>
      </c>
      <c r="K32" s="7"/>
      <c r="L32" s="7"/>
      <c r="M32" s="1" t="str">
        <f>IF(E32="","",E32&amp;"|"&amp;COUNTIF($E$5:E32,E32))</f>
        <v/>
      </c>
    </row>
    <row r="33" spans="2:13" x14ac:dyDescent="0.2">
      <c r="B33" s="10"/>
      <c r="C33" s="7"/>
      <c r="D33" s="11"/>
      <c r="E33" s="6"/>
      <c r="F33" s="12" t="str">
        <f t="shared" si="0"/>
        <v/>
      </c>
      <c r="G33" s="13" t="str">
        <f t="shared" si="1"/>
        <v/>
      </c>
      <c r="H33" s="9"/>
      <c r="I33" s="9"/>
      <c r="J33" s="14" t="str">
        <f>IF(E33="","",IFERROR(VLOOKUP(E33,TabProd,5,FALSE),0)+SUMIFS($H$5:H33,$E$5:E33,E33)-SUMIFS($I$5:I33,$E$5:E33,E33))</f>
        <v/>
      </c>
      <c r="K33" s="7"/>
      <c r="L33" s="7"/>
      <c r="M33" s="1" t="str">
        <f>IF(E33="","",E33&amp;"|"&amp;COUNTIF($E$5:E33,E33))</f>
        <v/>
      </c>
    </row>
    <row r="34" spans="2:13" x14ac:dyDescent="0.2">
      <c r="B34" s="10"/>
      <c r="C34" s="7"/>
      <c r="D34" s="11"/>
      <c r="E34" s="6"/>
      <c r="F34" s="12" t="str">
        <f t="shared" si="0"/>
        <v/>
      </c>
      <c r="G34" s="13" t="str">
        <f t="shared" si="1"/>
        <v/>
      </c>
      <c r="H34" s="9"/>
      <c r="I34" s="9"/>
      <c r="J34" s="14" t="str">
        <f>IF(E34="","",IFERROR(VLOOKUP(E34,TabProd,5,FALSE),0)+SUMIFS($H$5:H34,$E$5:E34,E34)-SUMIFS($I$5:I34,$E$5:E34,E34))</f>
        <v/>
      </c>
      <c r="K34" s="7"/>
      <c r="L34" s="7"/>
      <c r="M34" s="1" t="str">
        <f>IF(E34="","",E34&amp;"|"&amp;COUNTIF($E$5:E34,E34))</f>
        <v/>
      </c>
    </row>
    <row r="35" spans="2:13" x14ac:dyDescent="0.2">
      <c r="B35" s="10"/>
      <c r="C35" s="7"/>
      <c r="D35" s="11"/>
      <c r="E35" s="6"/>
      <c r="F35" s="12" t="str">
        <f t="shared" si="0"/>
        <v/>
      </c>
      <c r="G35" s="13" t="str">
        <f t="shared" si="1"/>
        <v/>
      </c>
      <c r="H35" s="9"/>
      <c r="I35" s="9"/>
      <c r="J35" s="14" t="str">
        <f>IF(E35="","",IFERROR(VLOOKUP(E35,TabProd,5,FALSE),0)+SUMIFS($H$5:H35,$E$5:E35,E35)-SUMIFS($I$5:I35,$E$5:E35,E35))</f>
        <v/>
      </c>
      <c r="K35" s="7"/>
      <c r="L35" s="7"/>
      <c r="M35" s="1" t="str">
        <f>IF(E35="","",E35&amp;"|"&amp;COUNTIF($E$5:E35,E35))</f>
        <v/>
      </c>
    </row>
    <row r="36" spans="2:13" x14ac:dyDescent="0.2">
      <c r="B36" s="10"/>
      <c r="C36" s="7"/>
      <c r="D36" s="11"/>
      <c r="E36" s="6"/>
      <c r="F36" s="12" t="str">
        <f t="shared" si="0"/>
        <v/>
      </c>
      <c r="G36" s="13" t="str">
        <f t="shared" si="1"/>
        <v/>
      </c>
      <c r="H36" s="9"/>
      <c r="I36" s="9"/>
      <c r="J36" s="14" t="str">
        <f>IF(E36="","",IFERROR(VLOOKUP(E36,TabProd,5,FALSE),0)+SUMIFS($H$5:H36,$E$5:E36,E36)-SUMIFS($I$5:I36,$E$5:E36,E36))</f>
        <v/>
      </c>
      <c r="K36" s="7"/>
      <c r="L36" s="7"/>
      <c r="M36" s="1" t="str">
        <f>IF(E36="","",E36&amp;"|"&amp;COUNTIF($E$5:E36,E36))</f>
        <v/>
      </c>
    </row>
    <row r="37" spans="2:13" x14ac:dyDescent="0.2">
      <c r="B37" s="10"/>
      <c r="C37" s="7"/>
      <c r="D37" s="11"/>
      <c r="E37" s="6"/>
      <c r="F37" s="12" t="str">
        <f t="shared" si="0"/>
        <v/>
      </c>
      <c r="G37" s="13" t="str">
        <f t="shared" si="1"/>
        <v/>
      </c>
      <c r="H37" s="9"/>
      <c r="I37" s="9"/>
      <c r="J37" s="14" t="str">
        <f>IF(E37="","",IFERROR(VLOOKUP(E37,TabProd,5,FALSE),0)+SUMIFS($H$5:H37,$E$5:E37,E37)-SUMIFS($I$5:I37,$E$5:E37,E37))</f>
        <v/>
      </c>
      <c r="K37" s="7"/>
      <c r="L37" s="7"/>
      <c r="M37" s="1" t="str">
        <f>IF(E37="","",E37&amp;"|"&amp;COUNTIF($E$5:E37,E37))</f>
        <v/>
      </c>
    </row>
    <row r="38" spans="2:13" x14ac:dyDescent="0.2">
      <c r="B38" s="10"/>
      <c r="C38" s="7"/>
      <c r="D38" s="11"/>
      <c r="E38" s="6"/>
      <c r="F38" s="12" t="str">
        <f t="shared" si="0"/>
        <v/>
      </c>
      <c r="G38" s="13" t="str">
        <f t="shared" si="1"/>
        <v/>
      </c>
      <c r="H38" s="9"/>
      <c r="I38" s="9"/>
      <c r="J38" s="14" t="str">
        <f>IF(E38="","",IFERROR(VLOOKUP(E38,TabProd,5,FALSE),0)+SUMIFS($H$5:H38,$E$5:E38,E38)-SUMIFS($I$5:I38,$E$5:E38,E38))</f>
        <v/>
      </c>
      <c r="K38" s="7"/>
      <c r="L38" s="7"/>
      <c r="M38" s="1" t="str">
        <f>IF(E38="","",E38&amp;"|"&amp;COUNTIF($E$5:E38,E38))</f>
        <v/>
      </c>
    </row>
    <row r="39" spans="2:13" x14ac:dyDescent="0.2">
      <c r="B39" s="10"/>
      <c r="C39" s="7"/>
      <c r="D39" s="11"/>
      <c r="E39" s="6"/>
      <c r="F39" s="12" t="str">
        <f t="shared" si="0"/>
        <v/>
      </c>
      <c r="G39" s="13" t="str">
        <f t="shared" si="1"/>
        <v/>
      </c>
      <c r="H39" s="9"/>
      <c r="I39" s="9"/>
      <c r="J39" s="14" t="str">
        <f>IF(E39="","",IFERROR(VLOOKUP(E39,TabProd,5,FALSE),0)+SUMIFS($H$5:H39,$E$5:E39,E39)-SUMIFS($I$5:I39,$E$5:E39,E39))</f>
        <v/>
      </c>
      <c r="K39" s="7"/>
      <c r="L39" s="7"/>
      <c r="M39" s="1" t="str">
        <f>IF(E39="","",E39&amp;"|"&amp;COUNTIF($E$5:E39,E39))</f>
        <v/>
      </c>
    </row>
    <row r="40" spans="2:13" x14ac:dyDescent="0.2">
      <c r="B40" s="10"/>
      <c r="C40" s="7"/>
      <c r="D40" s="11"/>
      <c r="E40" s="6"/>
      <c r="F40" s="12" t="str">
        <f t="shared" si="0"/>
        <v/>
      </c>
      <c r="G40" s="13" t="str">
        <f t="shared" si="1"/>
        <v/>
      </c>
      <c r="H40" s="9"/>
      <c r="I40" s="9"/>
      <c r="J40" s="14" t="str">
        <f>IF(E40="","",IFERROR(VLOOKUP(E40,TabProd,5,FALSE),0)+SUMIFS($H$5:H40,$E$5:E40,E40)-SUMIFS($I$5:I40,$E$5:E40,E40))</f>
        <v/>
      </c>
      <c r="K40" s="7"/>
      <c r="L40" s="7"/>
      <c r="M40" s="1" t="str">
        <f>IF(E40="","",E40&amp;"|"&amp;COUNTIF($E$5:E40,E40))</f>
        <v/>
      </c>
    </row>
    <row r="41" spans="2:13" x14ac:dyDescent="0.2">
      <c r="B41" s="10"/>
      <c r="C41" s="7"/>
      <c r="D41" s="11"/>
      <c r="E41" s="6"/>
      <c r="F41" s="12" t="str">
        <f t="shared" si="0"/>
        <v/>
      </c>
      <c r="G41" s="13" t="str">
        <f t="shared" si="1"/>
        <v/>
      </c>
      <c r="H41" s="9"/>
      <c r="I41" s="9"/>
      <c r="J41" s="14" t="str">
        <f>IF(E41="","",IFERROR(VLOOKUP(E41,TabProd,5,FALSE),0)+SUMIFS($H$5:H41,$E$5:E41,E41)-SUMIFS($I$5:I41,$E$5:E41,E41))</f>
        <v/>
      </c>
      <c r="K41" s="7"/>
      <c r="L41" s="7"/>
      <c r="M41" s="1" t="str">
        <f>IF(E41="","",E41&amp;"|"&amp;COUNTIF($E$5:E41,E41))</f>
        <v/>
      </c>
    </row>
    <row r="42" spans="2:13" x14ac:dyDescent="0.2">
      <c r="B42" s="10"/>
      <c r="C42" s="7"/>
      <c r="D42" s="11"/>
      <c r="E42" s="6"/>
      <c r="F42" s="12" t="str">
        <f t="shared" si="0"/>
        <v/>
      </c>
      <c r="G42" s="13" t="str">
        <f t="shared" si="1"/>
        <v/>
      </c>
      <c r="H42" s="9"/>
      <c r="I42" s="9"/>
      <c r="J42" s="14" t="str">
        <f>IF(E42="","",IFERROR(VLOOKUP(E42,TabProd,5,FALSE),0)+SUMIFS($H$5:H42,$E$5:E42,E42)-SUMIFS($I$5:I42,$E$5:E42,E42))</f>
        <v/>
      </c>
      <c r="K42" s="7"/>
      <c r="L42" s="7"/>
      <c r="M42" s="1" t="str">
        <f>IF(E42="","",E42&amp;"|"&amp;COUNTIF($E$5:E42,E42))</f>
        <v/>
      </c>
    </row>
    <row r="43" spans="2:13" x14ac:dyDescent="0.2">
      <c r="B43" s="10"/>
      <c r="C43" s="7"/>
      <c r="D43" s="11"/>
      <c r="E43" s="6"/>
      <c r="F43" s="12" t="str">
        <f t="shared" si="0"/>
        <v/>
      </c>
      <c r="G43" s="13" t="str">
        <f t="shared" si="1"/>
        <v/>
      </c>
      <c r="H43" s="9"/>
      <c r="I43" s="9"/>
      <c r="J43" s="14" t="str">
        <f>IF(E43="","",IFERROR(VLOOKUP(E43,TabProd,5,FALSE),0)+SUMIFS($H$5:H43,$E$5:E43,E43)-SUMIFS($I$5:I43,$E$5:E43,E43))</f>
        <v/>
      </c>
      <c r="K43" s="7"/>
      <c r="L43" s="7"/>
      <c r="M43" s="1" t="str">
        <f>IF(E43="","",E43&amp;"|"&amp;COUNTIF($E$5:E43,E43))</f>
        <v/>
      </c>
    </row>
    <row r="44" spans="2:13" x14ac:dyDescent="0.2">
      <c r="B44" s="10"/>
      <c r="C44" s="7"/>
      <c r="D44" s="11"/>
      <c r="E44" s="6"/>
      <c r="F44" s="12" t="str">
        <f t="shared" si="0"/>
        <v/>
      </c>
      <c r="G44" s="13" t="str">
        <f t="shared" si="1"/>
        <v/>
      </c>
      <c r="H44" s="9"/>
      <c r="I44" s="9"/>
      <c r="J44" s="14" t="str">
        <f>IF(E44="","",IFERROR(VLOOKUP(E44,TabProd,5,FALSE),0)+SUMIFS($H$5:H44,$E$5:E44,E44)-SUMIFS($I$5:I44,$E$5:E44,E44))</f>
        <v/>
      </c>
      <c r="K44" s="7"/>
      <c r="L44" s="7"/>
      <c r="M44" s="1" t="str">
        <f>IF(E44="","",E44&amp;"|"&amp;COUNTIF($E$5:E44,E44))</f>
        <v/>
      </c>
    </row>
    <row r="45" spans="2:13" x14ac:dyDescent="0.2">
      <c r="B45" s="10"/>
      <c r="C45" s="7"/>
      <c r="D45" s="11"/>
      <c r="E45" s="6"/>
      <c r="F45" s="12" t="str">
        <f t="shared" si="0"/>
        <v/>
      </c>
      <c r="G45" s="13" t="str">
        <f t="shared" si="1"/>
        <v/>
      </c>
      <c r="H45" s="9"/>
      <c r="I45" s="9"/>
      <c r="J45" s="14" t="str">
        <f>IF(E45="","",IFERROR(VLOOKUP(E45,TabProd,5,FALSE),0)+SUMIFS($H$5:H45,$E$5:E45,E45)-SUMIFS($I$5:I45,$E$5:E45,E45))</f>
        <v/>
      </c>
      <c r="K45" s="7"/>
      <c r="L45" s="7"/>
      <c r="M45" s="1" t="str">
        <f>IF(E45="","",E45&amp;"|"&amp;COUNTIF($E$5:E45,E45))</f>
        <v/>
      </c>
    </row>
    <row r="46" spans="2:13" x14ac:dyDescent="0.2">
      <c r="B46" s="10"/>
      <c r="C46" s="7"/>
      <c r="D46" s="11"/>
      <c r="E46" s="6"/>
      <c r="F46" s="12" t="str">
        <f t="shared" si="0"/>
        <v/>
      </c>
      <c r="G46" s="13" t="str">
        <f t="shared" si="1"/>
        <v/>
      </c>
      <c r="H46" s="9"/>
      <c r="I46" s="9"/>
      <c r="J46" s="14" t="str">
        <f>IF(E46="","",IFERROR(VLOOKUP(E46,TabProd,5,FALSE),0)+SUMIFS($H$5:H46,$E$5:E46,E46)-SUMIFS($I$5:I46,$E$5:E46,E46))</f>
        <v/>
      </c>
      <c r="K46" s="7"/>
      <c r="L46" s="7"/>
      <c r="M46" s="1" t="str">
        <f>IF(E46="","",E46&amp;"|"&amp;COUNTIF($E$5:E46,E46))</f>
        <v/>
      </c>
    </row>
    <row r="47" spans="2:13" x14ac:dyDescent="0.2">
      <c r="B47" s="10"/>
      <c r="C47" s="7"/>
      <c r="D47" s="11"/>
      <c r="E47" s="6"/>
      <c r="F47" s="12" t="str">
        <f t="shared" si="0"/>
        <v/>
      </c>
      <c r="G47" s="13" t="str">
        <f t="shared" si="1"/>
        <v/>
      </c>
      <c r="H47" s="9"/>
      <c r="I47" s="9"/>
      <c r="J47" s="14" t="str">
        <f>IF(E47="","",IFERROR(VLOOKUP(E47,TabProd,5,FALSE),0)+SUMIFS($H$5:H47,$E$5:E47,E47)-SUMIFS($I$5:I47,$E$5:E47,E47))</f>
        <v/>
      </c>
      <c r="K47" s="7"/>
      <c r="L47" s="7"/>
      <c r="M47" s="1" t="str">
        <f>IF(E47="","",E47&amp;"|"&amp;COUNTIF($E$5:E47,E47))</f>
        <v/>
      </c>
    </row>
    <row r="48" spans="2:13" x14ac:dyDescent="0.2">
      <c r="B48" s="10"/>
      <c r="C48" s="7"/>
      <c r="D48" s="11"/>
      <c r="E48" s="6"/>
      <c r="F48" s="12" t="str">
        <f t="shared" si="0"/>
        <v/>
      </c>
      <c r="G48" s="13" t="str">
        <f t="shared" si="1"/>
        <v/>
      </c>
      <c r="H48" s="9"/>
      <c r="I48" s="9"/>
      <c r="J48" s="14" t="str">
        <f>IF(E48="","",IFERROR(VLOOKUP(E48,TabProd,5,FALSE),0)+SUMIFS($H$5:H48,$E$5:E48,E48)-SUMIFS($I$5:I48,$E$5:E48,E48))</f>
        <v/>
      </c>
      <c r="K48" s="7"/>
      <c r="L48" s="7"/>
      <c r="M48" s="1" t="str">
        <f>IF(E48="","",E48&amp;"|"&amp;COUNTIF($E$5:E48,E48))</f>
        <v/>
      </c>
    </row>
    <row r="49" spans="2:13" x14ac:dyDescent="0.2">
      <c r="B49" s="10"/>
      <c r="C49" s="7"/>
      <c r="D49" s="11"/>
      <c r="E49" s="6"/>
      <c r="F49" s="12" t="str">
        <f t="shared" si="0"/>
        <v/>
      </c>
      <c r="G49" s="13" t="str">
        <f t="shared" si="1"/>
        <v/>
      </c>
      <c r="H49" s="9"/>
      <c r="I49" s="9"/>
      <c r="J49" s="14" t="str">
        <f>IF(E49="","",IFERROR(VLOOKUP(E49,TabProd,5,FALSE),0)+SUMIFS($H$5:H49,$E$5:E49,E49)-SUMIFS($I$5:I49,$E$5:E49,E49))</f>
        <v/>
      </c>
      <c r="K49" s="7"/>
      <c r="L49" s="7"/>
      <c r="M49" s="1" t="str">
        <f>IF(E49="","",E49&amp;"|"&amp;COUNTIF($E$5:E49,E49))</f>
        <v/>
      </c>
    </row>
    <row r="50" spans="2:13" x14ac:dyDescent="0.2">
      <c r="B50" s="10"/>
      <c r="C50" s="7"/>
      <c r="D50" s="11"/>
      <c r="E50" s="6"/>
      <c r="F50" s="12" t="str">
        <f t="shared" si="0"/>
        <v/>
      </c>
      <c r="G50" s="13" t="str">
        <f t="shared" si="1"/>
        <v/>
      </c>
      <c r="H50" s="9"/>
      <c r="I50" s="9"/>
      <c r="J50" s="14" t="str">
        <f>IF(E50="","",IFERROR(VLOOKUP(E50,TabProd,5,FALSE),0)+SUMIFS($H$5:H50,$E$5:E50,E50)-SUMIFS($I$5:I50,$E$5:E50,E50))</f>
        <v/>
      </c>
      <c r="K50" s="7"/>
      <c r="L50" s="7"/>
      <c r="M50" s="1" t="str">
        <f>IF(E50="","",E50&amp;"|"&amp;COUNTIF($E$5:E50,E50))</f>
        <v/>
      </c>
    </row>
    <row r="51" spans="2:13" x14ac:dyDescent="0.2">
      <c r="B51" s="10"/>
      <c r="C51" s="7"/>
      <c r="D51" s="11"/>
      <c r="E51" s="6"/>
      <c r="F51" s="12" t="str">
        <f t="shared" si="0"/>
        <v/>
      </c>
      <c r="G51" s="13" t="str">
        <f t="shared" si="1"/>
        <v/>
      </c>
      <c r="H51" s="9"/>
      <c r="I51" s="9"/>
      <c r="J51" s="14" t="str">
        <f>IF(E51="","",IFERROR(VLOOKUP(E51,TabProd,5,FALSE),0)+SUMIFS($H$5:H51,$E$5:E51,E51)-SUMIFS($I$5:I51,$E$5:E51,E51))</f>
        <v/>
      </c>
      <c r="K51" s="7"/>
      <c r="L51" s="7"/>
      <c r="M51" s="1" t="str">
        <f>IF(E51="","",E51&amp;"|"&amp;COUNTIF($E$5:E51,E51))</f>
        <v/>
      </c>
    </row>
    <row r="52" spans="2:13" x14ac:dyDescent="0.2">
      <c r="B52" s="10"/>
      <c r="C52" s="7"/>
      <c r="D52" s="11"/>
      <c r="E52" s="6"/>
      <c r="F52" s="12" t="str">
        <f t="shared" si="0"/>
        <v/>
      </c>
      <c r="G52" s="13" t="str">
        <f t="shared" si="1"/>
        <v/>
      </c>
      <c r="H52" s="9"/>
      <c r="I52" s="9"/>
      <c r="J52" s="14" t="str">
        <f>IF(E52="","",IFERROR(VLOOKUP(E52,TabProd,5,FALSE),0)+SUMIFS($H$5:H52,$E$5:E52,E52)-SUMIFS($I$5:I52,$E$5:E52,E52))</f>
        <v/>
      </c>
      <c r="K52" s="7"/>
      <c r="L52" s="7"/>
      <c r="M52" s="1" t="str">
        <f>IF(E52="","",E52&amp;"|"&amp;COUNTIF($E$5:E52,E52))</f>
        <v/>
      </c>
    </row>
    <row r="53" spans="2:13" x14ac:dyDescent="0.2">
      <c r="B53" s="10"/>
      <c r="C53" s="7"/>
      <c r="D53" s="11"/>
      <c r="E53" s="6"/>
      <c r="F53" s="12" t="str">
        <f t="shared" si="0"/>
        <v/>
      </c>
      <c r="G53" s="13" t="str">
        <f t="shared" si="1"/>
        <v/>
      </c>
      <c r="H53" s="9"/>
      <c r="I53" s="9"/>
      <c r="J53" s="14" t="str">
        <f>IF(E53="","",IFERROR(VLOOKUP(E53,TabProd,5,FALSE),0)+SUMIFS($H$5:H53,$E$5:E53,E53)-SUMIFS($I$5:I53,$E$5:E53,E53))</f>
        <v/>
      </c>
      <c r="K53" s="7"/>
      <c r="L53" s="7"/>
      <c r="M53" s="1" t="str">
        <f>IF(E53="","",E53&amp;"|"&amp;COUNTIF($E$5:E53,E53))</f>
        <v/>
      </c>
    </row>
    <row r="54" spans="2:13" x14ac:dyDescent="0.2">
      <c r="B54" s="10"/>
      <c r="C54" s="7"/>
      <c r="D54" s="11"/>
      <c r="E54" s="6"/>
      <c r="F54" s="12" t="str">
        <f t="shared" si="0"/>
        <v/>
      </c>
      <c r="G54" s="13" t="str">
        <f t="shared" si="1"/>
        <v/>
      </c>
      <c r="H54" s="9"/>
      <c r="I54" s="9"/>
      <c r="J54" s="14" t="str">
        <f>IF(E54="","",IFERROR(VLOOKUP(E54,TabProd,5,FALSE),0)+SUMIFS($H$5:H54,$E$5:E54,E54)-SUMIFS($I$5:I54,$E$5:E54,E54))</f>
        <v/>
      </c>
      <c r="K54" s="7"/>
      <c r="L54" s="7"/>
      <c r="M54" s="1" t="str">
        <f>IF(E54="","",E54&amp;"|"&amp;COUNTIF($E$5:E54,E54))</f>
        <v/>
      </c>
    </row>
    <row r="55" spans="2:13" x14ac:dyDescent="0.2">
      <c r="B55" s="10"/>
      <c r="C55" s="7"/>
      <c r="D55" s="11"/>
      <c r="E55" s="6"/>
      <c r="F55" s="12" t="str">
        <f t="shared" si="0"/>
        <v/>
      </c>
      <c r="G55" s="13" t="str">
        <f t="shared" si="1"/>
        <v/>
      </c>
      <c r="H55" s="9"/>
      <c r="I55" s="9"/>
      <c r="J55" s="14" t="str">
        <f>IF(E55="","",IFERROR(VLOOKUP(E55,TabProd,5,FALSE),0)+SUMIFS($H$5:H55,$E$5:E55,E55)-SUMIFS($I$5:I55,$E$5:E55,E55))</f>
        <v/>
      </c>
      <c r="K55" s="7"/>
      <c r="L55" s="7"/>
      <c r="M55" s="1" t="str">
        <f>IF(E55="","",E55&amp;"|"&amp;COUNTIF($E$5:E55,E55))</f>
        <v/>
      </c>
    </row>
    <row r="56" spans="2:13" x14ac:dyDescent="0.2">
      <c r="B56" s="10"/>
      <c r="C56" s="7"/>
      <c r="D56" s="11"/>
      <c r="E56" s="6"/>
      <c r="F56" s="12" t="str">
        <f t="shared" si="0"/>
        <v/>
      </c>
      <c r="G56" s="13" t="str">
        <f t="shared" si="1"/>
        <v/>
      </c>
      <c r="H56" s="9"/>
      <c r="I56" s="9"/>
      <c r="J56" s="14" t="str">
        <f>IF(E56="","",IFERROR(VLOOKUP(E56,TabProd,5,FALSE),0)+SUMIFS($H$5:H56,$E$5:E56,E56)-SUMIFS($I$5:I56,$E$5:E56,E56))</f>
        <v/>
      </c>
      <c r="K56" s="7"/>
      <c r="L56" s="7"/>
      <c r="M56" s="1" t="str">
        <f>IF(E56="","",E56&amp;"|"&amp;COUNTIF($E$5:E56,E56))</f>
        <v/>
      </c>
    </row>
    <row r="57" spans="2:13" x14ac:dyDescent="0.2">
      <c r="B57" s="10"/>
      <c r="C57" s="7"/>
      <c r="D57" s="11"/>
      <c r="E57" s="6"/>
      <c r="F57" s="12" t="str">
        <f t="shared" si="0"/>
        <v/>
      </c>
      <c r="G57" s="13" t="str">
        <f t="shared" si="1"/>
        <v/>
      </c>
      <c r="H57" s="9"/>
      <c r="I57" s="9"/>
      <c r="J57" s="14" t="str">
        <f>IF(E57="","",IFERROR(VLOOKUP(E57,TabProd,5,FALSE),0)+SUMIFS($H$5:H57,$E$5:E57,E57)-SUMIFS($I$5:I57,$E$5:E57,E57))</f>
        <v/>
      </c>
      <c r="K57" s="7"/>
      <c r="L57" s="7"/>
      <c r="M57" s="1" t="str">
        <f>IF(E57="","",E57&amp;"|"&amp;COUNTIF($E$5:E57,E57))</f>
        <v/>
      </c>
    </row>
    <row r="58" spans="2:13" x14ac:dyDescent="0.2">
      <c r="B58" s="10"/>
      <c r="C58" s="7"/>
      <c r="D58" s="11"/>
      <c r="E58" s="6"/>
      <c r="F58" s="12" t="str">
        <f t="shared" si="0"/>
        <v/>
      </c>
      <c r="G58" s="13" t="str">
        <f t="shared" si="1"/>
        <v/>
      </c>
      <c r="H58" s="9"/>
      <c r="I58" s="9"/>
      <c r="J58" s="14" t="str">
        <f>IF(E58="","",IFERROR(VLOOKUP(E58,TabProd,5,FALSE),0)+SUMIFS($H$5:H58,$E$5:E58,E58)-SUMIFS($I$5:I58,$E$5:E58,E58))</f>
        <v/>
      </c>
      <c r="K58" s="7"/>
      <c r="L58" s="7"/>
      <c r="M58" s="1" t="str">
        <f>IF(E58="","",E58&amp;"|"&amp;COUNTIF($E$5:E58,E58))</f>
        <v/>
      </c>
    </row>
    <row r="59" spans="2:13" x14ac:dyDescent="0.2">
      <c r="B59" s="10"/>
      <c r="C59" s="7"/>
      <c r="D59" s="11"/>
      <c r="E59" s="6"/>
      <c r="F59" s="12" t="str">
        <f t="shared" si="0"/>
        <v/>
      </c>
      <c r="G59" s="13" t="str">
        <f t="shared" si="1"/>
        <v/>
      </c>
      <c r="H59" s="9"/>
      <c r="I59" s="9"/>
      <c r="J59" s="14" t="str">
        <f>IF(E59="","",IFERROR(VLOOKUP(E59,TabProd,5,FALSE),0)+SUMIFS($H$5:H59,$E$5:E59,E59)-SUMIFS($I$5:I59,$E$5:E59,E59))</f>
        <v/>
      </c>
      <c r="K59" s="7"/>
      <c r="L59" s="7"/>
      <c r="M59" s="1" t="str">
        <f>IF(E59="","",E59&amp;"|"&amp;COUNTIF($E$5:E59,E59))</f>
        <v/>
      </c>
    </row>
    <row r="60" spans="2:13" x14ac:dyDescent="0.2">
      <c r="B60" s="10"/>
      <c r="C60" s="7"/>
      <c r="D60" s="11"/>
      <c r="E60" s="6"/>
      <c r="F60" s="12" t="str">
        <f t="shared" si="0"/>
        <v/>
      </c>
      <c r="G60" s="13" t="str">
        <f t="shared" si="1"/>
        <v/>
      </c>
      <c r="H60" s="9"/>
      <c r="I60" s="9"/>
      <c r="J60" s="14" t="str">
        <f>IF(E60="","",IFERROR(VLOOKUP(E60,TabProd,5,FALSE),0)+SUMIFS($H$5:H60,$E$5:E60,E60)-SUMIFS($I$5:I60,$E$5:E60,E60))</f>
        <v/>
      </c>
      <c r="K60" s="7"/>
      <c r="L60" s="7"/>
      <c r="M60" s="1" t="str">
        <f>IF(E60="","",E60&amp;"|"&amp;COUNTIF($E$5:E60,E60))</f>
        <v/>
      </c>
    </row>
    <row r="61" spans="2:13" x14ac:dyDescent="0.2">
      <c r="B61" s="10"/>
      <c r="C61" s="7"/>
      <c r="D61" s="11"/>
      <c r="E61" s="6"/>
      <c r="F61" s="12" t="str">
        <f t="shared" si="0"/>
        <v/>
      </c>
      <c r="G61" s="13" t="str">
        <f t="shared" si="1"/>
        <v/>
      </c>
      <c r="H61" s="9"/>
      <c r="I61" s="9"/>
      <c r="J61" s="14" t="str">
        <f>IF(E61="","",IFERROR(VLOOKUP(E61,TabProd,5,FALSE),0)+SUMIFS($H$5:H61,$E$5:E61,E61)-SUMIFS($I$5:I61,$E$5:E61,E61))</f>
        <v/>
      </c>
      <c r="K61" s="7"/>
      <c r="L61" s="7"/>
      <c r="M61" s="1" t="str">
        <f>IF(E61="","",E61&amp;"|"&amp;COUNTIF($E$5:E61,E61))</f>
        <v/>
      </c>
    </row>
    <row r="62" spans="2:13" x14ac:dyDescent="0.2">
      <c r="B62" s="10"/>
      <c r="C62" s="7"/>
      <c r="D62" s="11"/>
      <c r="E62" s="6"/>
      <c r="F62" s="12" t="str">
        <f t="shared" si="0"/>
        <v/>
      </c>
      <c r="G62" s="13" t="str">
        <f t="shared" si="1"/>
        <v/>
      </c>
      <c r="H62" s="9"/>
      <c r="I62" s="9"/>
      <c r="J62" s="14" t="str">
        <f>IF(E62="","",IFERROR(VLOOKUP(E62,TabProd,5,FALSE),0)+SUMIFS($H$5:H62,$E$5:E62,E62)-SUMIFS($I$5:I62,$E$5:E62,E62))</f>
        <v/>
      </c>
      <c r="K62" s="7"/>
      <c r="L62" s="7"/>
      <c r="M62" s="1" t="str">
        <f>IF(E62="","",E62&amp;"|"&amp;COUNTIF($E$5:E62,E62))</f>
        <v/>
      </c>
    </row>
    <row r="63" spans="2:13" x14ac:dyDescent="0.2">
      <c r="B63" s="10"/>
      <c r="C63" s="7"/>
      <c r="D63" s="11"/>
      <c r="E63" s="6"/>
      <c r="F63" s="12" t="str">
        <f t="shared" si="0"/>
        <v/>
      </c>
      <c r="G63" s="13" t="str">
        <f t="shared" si="1"/>
        <v/>
      </c>
      <c r="H63" s="9"/>
      <c r="I63" s="9"/>
      <c r="J63" s="14" t="str">
        <f>IF(E63="","",IFERROR(VLOOKUP(E63,TabProd,5,FALSE),0)+SUMIFS($H$5:H63,$E$5:E63,E63)-SUMIFS($I$5:I63,$E$5:E63,E63))</f>
        <v/>
      </c>
      <c r="K63" s="7"/>
      <c r="L63" s="7"/>
      <c r="M63" s="1" t="str">
        <f>IF(E63="","",E63&amp;"|"&amp;COUNTIF($E$5:E63,E63))</f>
        <v/>
      </c>
    </row>
    <row r="64" spans="2:13" x14ac:dyDescent="0.2">
      <c r="B64" s="10"/>
      <c r="C64" s="7"/>
      <c r="D64" s="11"/>
      <c r="E64" s="6"/>
      <c r="F64" s="12" t="str">
        <f t="shared" si="0"/>
        <v/>
      </c>
      <c r="G64" s="13" t="str">
        <f t="shared" si="1"/>
        <v/>
      </c>
      <c r="H64" s="9"/>
      <c r="I64" s="9"/>
      <c r="J64" s="14" t="str">
        <f>IF(E64="","",IFERROR(VLOOKUP(E64,TabProd,5,FALSE),0)+SUMIFS($H$5:H64,$E$5:E64,E64)-SUMIFS($I$5:I64,$E$5:E64,E64))</f>
        <v/>
      </c>
      <c r="K64" s="7"/>
      <c r="L64" s="7"/>
      <c r="M64" s="1" t="str">
        <f>IF(E64="","",E64&amp;"|"&amp;COUNTIF($E$5:E64,E64))</f>
        <v/>
      </c>
    </row>
    <row r="65" spans="2:13" x14ac:dyDescent="0.2">
      <c r="B65" s="10"/>
      <c r="C65" s="7"/>
      <c r="D65" s="11"/>
      <c r="E65" s="6"/>
      <c r="F65" s="12" t="str">
        <f t="shared" si="0"/>
        <v/>
      </c>
      <c r="G65" s="13" t="str">
        <f t="shared" si="1"/>
        <v/>
      </c>
      <c r="H65" s="9"/>
      <c r="I65" s="9"/>
      <c r="J65" s="14" t="str">
        <f>IF(E65="","",IFERROR(VLOOKUP(E65,TabProd,5,FALSE),0)+SUMIFS($H$5:H65,$E$5:E65,E65)-SUMIFS($I$5:I65,$E$5:E65,E65))</f>
        <v/>
      </c>
      <c r="K65" s="7"/>
      <c r="L65" s="7"/>
      <c r="M65" s="1" t="str">
        <f>IF(E65="","",E65&amp;"|"&amp;COUNTIF($E$5:E65,E65))</f>
        <v/>
      </c>
    </row>
    <row r="66" spans="2:13" x14ac:dyDescent="0.2">
      <c r="B66" s="10"/>
      <c r="C66" s="7"/>
      <c r="D66" s="11"/>
      <c r="E66" s="6"/>
      <c r="F66" s="12" t="str">
        <f t="shared" si="0"/>
        <v/>
      </c>
      <c r="G66" s="13" t="str">
        <f t="shared" si="1"/>
        <v/>
      </c>
      <c r="H66" s="9"/>
      <c r="I66" s="9"/>
      <c r="J66" s="14" t="str">
        <f>IF(E66="","",IFERROR(VLOOKUP(E66,TabProd,5,FALSE),0)+SUMIFS($H$5:H66,$E$5:E66,E66)-SUMIFS($I$5:I66,$E$5:E66,E66))</f>
        <v/>
      </c>
      <c r="K66" s="7"/>
      <c r="L66" s="7"/>
      <c r="M66" s="1" t="str">
        <f>IF(E66="","",E66&amp;"|"&amp;COUNTIF($E$5:E66,E66))</f>
        <v/>
      </c>
    </row>
    <row r="67" spans="2:13" x14ac:dyDescent="0.2">
      <c r="B67" s="10"/>
      <c r="C67" s="7"/>
      <c r="D67" s="11"/>
      <c r="E67" s="6"/>
      <c r="F67" s="12" t="str">
        <f t="shared" si="0"/>
        <v/>
      </c>
      <c r="G67" s="13" t="str">
        <f t="shared" si="1"/>
        <v/>
      </c>
      <c r="H67" s="9"/>
      <c r="I67" s="9"/>
      <c r="J67" s="14" t="str">
        <f>IF(E67="","",IFERROR(VLOOKUP(E67,TabProd,5,FALSE),0)+SUMIFS($H$5:H67,$E$5:E67,E67)-SUMIFS($I$5:I67,$E$5:E67,E67))</f>
        <v/>
      </c>
      <c r="K67" s="7"/>
      <c r="L67" s="7"/>
      <c r="M67" s="1" t="str">
        <f>IF(E67="","",E67&amp;"|"&amp;COUNTIF($E$5:E67,E67))</f>
        <v/>
      </c>
    </row>
    <row r="68" spans="2:13" x14ac:dyDescent="0.2">
      <c r="B68" s="10"/>
      <c r="C68" s="7"/>
      <c r="D68" s="11"/>
      <c r="E68" s="6"/>
      <c r="F68" s="12" t="str">
        <f t="shared" si="0"/>
        <v/>
      </c>
      <c r="G68" s="13" t="str">
        <f t="shared" si="1"/>
        <v/>
      </c>
      <c r="H68" s="9"/>
      <c r="I68" s="9"/>
      <c r="J68" s="14" t="str">
        <f>IF(E68="","",IFERROR(VLOOKUP(E68,TabProd,5,FALSE),0)+SUMIFS($H$5:H68,$E$5:E68,E68)-SUMIFS($I$5:I68,$E$5:E68,E68))</f>
        <v/>
      </c>
      <c r="K68" s="7"/>
      <c r="L68" s="7"/>
      <c r="M68" s="1" t="str">
        <f>IF(E68="","",E68&amp;"|"&amp;COUNTIF($E$5:E68,E68))</f>
        <v/>
      </c>
    </row>
    <row r="69" spans="2:13" x14ac:dyDescent="0.2">
      <c r="B69" s="10"/>
      <c r="C69" s="7"/>
      <c r="D69" s="11"/>
      <c r="E69" s="6"/>
      <c r="F69" s="12" t="str">
        <f t="shared" ref="F69:F132" si="2">IF(E69="","",IFERROR(VLOOKUP(E69,TabProd,2,FALSE),"Cod inexistent"))</f>
        <v/>
      </c>
      <c r="G69" s="13" t="str">
        <f t="shared" ref="G69:G132" si="3">IF(E69="","",IFERROR(VLOOKUP(E69,TabProd,3,FALSE),""))</f>
        <v/>
      </c>
      <c r="H69" s="9"/>
      <c r="I69" s="9"/>
      <c r="J69" s="14" t="str">
        <f>IF(E69="","",IFERROR(VLOOKUP(E69,TabProd,5,FALSE),0)+SUMIFS($H$5:H69,$E$5:E69,E69)-SUMIFS($I$5:I69,$E$5:E69,E69))</f>
        <v/>
      </c>
      <c r="K69" s="7"/>
      <c r="L69" s="7"/>
      <c r="M69" s="1" t="str">
        <f>IF(E69="","",E69&amp;"|"&amp;COUNTIF($E$5:E69,E69))</f>
        <v/>
      </c>
    </row>
    <row r="70" spans="2:13" x14ac:dyDescent="0.2">
      <c r="B70" s="10"/>
      <c r="C70" s="7"/>
      <c r="D70" s="11"/>
      <c r="E70" s="6"/>
      <c r="F70" s="12" t="str">
        <f t="shared" si="2"/>
        <v/>
      </c>
      <c r="G70" s="13" t="str">
        <f t="shared" si="3"/>
        <v/>
      </c>
      <c r="H70" s="9"/>
      <c r="I70" s="9"/>
      <c r="J70" s="14" t="str">
        <f>IF(E70="","",IFERROR(VLOOKUP(E70,TabProd,5,FALSE),0)+SUMIFS($H$5:H70,$E$5:E70,E70)-SUMIFS($I$5:I70,$E$5:E70,E70))</f>
        <v/>
      </c>
      <c r="K70" s="7"/>
      <c r="L70" s="7"/>
      <c r="M70" s="1" t="str">
        <f>IF(E70="","",E70&amp;"|"&amp;COUNTIF($E$5:E70,E70))</f>
        <v/>
      </c>
    </row>
    <row r="71" spans="2:13" x14ac:dyDescent="0.2">
      <c r="B71" s="10"/>
      <c r="C71" s="7"/>
      <c r="D71" s="11"/>
      <c r="E71" s="6"/>
      <c r="F71" s="12" t="str">
        <f t="shared" si="2"/>
        <v/>
      </c>
      <c r="G71" s="13" t="str">
        <f t="shared" si="3"/>
        <v/>
      </c>
      <c r="H71" s="9"/>
      <c r="I71" s="9"/>
      <c r="J71" s="14" t="str">
        <f>IF(E71="","",IFERROR(VLOOKUP(E71,TabProd,5,FALSE),0)+SUMIFS($H$5:H71,$E$5:E71,E71)-SUMIFS($I$5:I71,$E$5:E71,E71))</f>
        <v/>
      </c>
      <c r="K71" s="7"/>
      <c r="L71" s="7"/>
      <c r="M71" s="1" t="str">
        <f>IF(E71="","",E71&amp;"|"&amp;COUNTIF($E$5:E71,E71))</f>
        <v/>
      </c>
    </row>
    <row r="72" spans="2:13" x14ac:dyDescent="0.2">
      <c r="B72" s="10"/>
      <c r="C72" s="7"/>
      <c r="D72" s="11"/>
      <c r="E72" s="6"/>
      <c r="F72" s="12" t="str">
        <f t="shared" si="2"/>
        <v/>
      </c>
      <c r="G72" s="13" t="str">
        <f t="shared" si="3"/>
        <v/>
      </c>
      <c r="H72" s="9"/>
      <c r="I72" s="9"/>
      <c r="J72" s="14" t="str">
        <f>IF(E72="","",IFERROR(VLOOKUP(E72,TabProd,5,FALSE),0)+SUMIFS($H$5:H72,$E$5:E72,E72)-SUMIFS($I$5:I72,$E$5:E72,E72))</f>
        <v/>
      </c>
      <c r="K72" s="7"/>
      <c r="L72" s="7"/>
      <c r="M72" s="1" t="str">
        <f>IF(E72="","",E72&amp;"|"&amp;COUNTIF($E$5:E72,E72))</f>
        <v/>
      </c>
    </row>
    <row r="73" spans="2:13" x14ac:dyDescent="0.2">
      <c r="B73" s="10"/>
      <c r="C73" s="7"/>
      <c r="D73" s="11"/>
      <c r="E73" s="6"/>
      <c r="F73" s="12" t="str">
        <f t="shared" si="2"/>
        <v/>
      </c>
      <c r="G73" s="13" t="str">
        <f t="shared" si="3"/>
        <v/>
      </c>
      <c r="H73" s="9"/>
      <c r="I73" s="9"/>
      <c r="J73" s="14" t="str">
        <f>IF(E73="","",IFERROR(VLOOKUP(E73,TabProd,5,FALSE),0)+SUMIFS($H$5:H73,$E$5:E73,E73)-SUMIFS($I$5:I73,$E$5:E73,E73))</f>
        <v/>
      </c>
      <c r="K73" s="7"/>
      <c r="L73" s="7"/>
      <c r="M73" s="1" t="str">
        <f>IF(E73="","",E73&amp;"|"&amp;COUNTIF($E$5:E73,E73))</f>
        <v/>
      </c>
    </row>
    <row r="74" spans="2:13" x14ac:dyDescent="0.2">
      <c r="B74" s="10"/>
      <c r="C74" s="7"/>
      <c r="D74" s="11"/>
      <c r="E74" s="6"/>
      <c r="F74" s="12" t="str">
        <f t="shared" si="2"/>
        <v/>
      </c>
      <c r="G74" s="13" t="str">
        <f t="shared" si="3"/>
        <v/>
      </c>
      <c r="H74" s="9"/>
      <c r="I74" s="9"/>
      <c r="J74" s="14" t="str">
        <f>IF(E74="","",IFERROR(VLOOKUP(E74,TabProd,5,FALSE),0)+SUMIFS($H$5:H74,$E$5:E74,E74)-SUMIFS($I$5:I74,$E$5:E74,E74))</f>
        <v/>
      </c>
      <c r="K74" s="7"/>
      <c r="L74" s="7"/>
      <c r="M74" s="1" t="str">
        <f>IF(E74="","",E74&amp;"|"&amp;COUNTIF($E$5:E74,E74))</f>
        <v/>
      </c>
    </row>
    <row r="75" spans="2:13" x14ac:dyDescent="0.2">
      <c r="B75" s="10"/>
      <c r="C75" s="7"/>
      <c r="D75" s="11"/>
      <c r="E75" s="6"/>
      <c r="F75" s="12" t="str">
        <f t="shared" si="2"/>
        <v/>
      </c>
      <c r="G75" s="13" t="str">
        <f t="shared" si="3"/>
        <v/>
      </c>
      <c r="H75" s="9"/>
      <c r="I75" s="9"/>
      <c r="J75" s="14" t="str">
        <f>IF(E75="","",IFERROR(VLOOKUP(E75,TabProd,5,FALSE),0)+SUMIFS($H$5:H75,$E$5:E75,E75)-SUMIFS($I$5:I75,$E$5:E75,E75))</f>
        <v/>
      </c>
      <c r="K75" s="7"/>
      <c r="L75" s="7"/>
      <c r="M75" s="1" t="str">
        <f>IF(E75="","",E75&amp;"|"&amp;COUNTIF($E$5:E75,E75))</f>
        <v/>
      </c>
    </row>
    <row r="76" spans="2:13" x14ac:dyDescent="0.2">
      <c r="B76" s="10"/>
      <c r="C76" s="7"/>
      <c r="D76" s="11"/>
      <c r="E76" s="6"/>
      <c r="F76" s="12" t="str">
        <f t="shared" si="2"/>
        <v/>
      </c>
      <c r="G76" s="13" t="str">
        <f t="shared" si="3"/>
        <v/>
      </c>
      <c r="H76" s="9"/>
      <c r="I76" s="9"/>
      <c r="J76" s="14" t="str">
        <f>IF(E76="","",IFERROR(VLOOKUP(E76,TabProd,5,FALSE),0)+SUMIFS($H$5:H76,$E$5:E76,E76)-SUMIFS($I$5:I76,$E$5:E76,E76))</f>
        <v/>
      </c>
      <c r="K76" s="7"/>
      <c r="L76" s="7"/>
      <c r="M76" s="1" t="str">
        <f>IF(E76="","",E76&amp;"|"&amp;COUNTIF($E$5:E76,E76))</f>
        <v/>
      </c>
    </row>
    <row r="77" spans="2:13" x14ac:dyDescent="0.2">
      <c r="B77" s="10"/>
      <c r="C77" s="7"/>
      <c r="D77" s="11"/>
      <c r="E77" s="6"/>
      <c r="F77" s="12" t="str">
        <f t="shared" si="2"/>
        <v/>
      </c>
      <c r="G77" s="13" t="str">
        <f t="shared" si="3"/>
        <v/>
      </c>
      <c r="H77" s="9"/>
      <c r="I77" s="9"/>
      <c r="J77" s="14" t="str">
        <f>IF(E77="","",IFERROR(VLOOKUP(E77,TabProd,5,FALSE),0)+SUMIFS($H$5:H77,$E$5:E77,E77)-SUMIFS($I$5:I77,$E$5:E77,E77))</f>
        <v/>
      </c>
      <c r="K77" s="7"/>
      <c r="L77" s="7"/>
      <c r="M77" s="1" t="str">
        <f>IF(E77="","",E77&amp;"|"&amp;COUNTIF($E$5:E77,E77))</f>
        <v/>
      </c>
    </row>
    <row r="78" spans="2:13" x14ac:dyDescent="0.2">
      <c r="B78" s="10"/>
      <c r="C78" s="7"/>
      <c r="D78" s="11"/>
      <c r="E78" s="6"/>
      <c r="F78" s="12" t="str">
        <f t="shared" si="2"/>
        <v/>
      </c>
      <c r="G78" s="13" t="str">
        <f t="shared" si="3"/>
        <v/>
      </c>
      <c r="H78" s="9"/>
      <c r="I78" s="9"/>
      <c r="J78" s="14" t="str">
        <f>IF(E78="","",IFERROR(VLOOKUP(E78,TabProd,5,FALSE),0)+SUMIFS($H$5:H78,$E$5:E78,E78)-SUMIFS($I$5:I78,$E$5:E78,E78))</f>
        <v/>
      </c>
      <c r="K78" s="7"/>
      <c r="L78" s="7"/>
      <c r="M78" s="1" t="str">
        <f>IF(E78="","",E78&amp;"|"&amp;COUNTIF($E$5:E78,E78))</f>
        <v/>
      </c>
    </row>
    <row r="79" spans="2:13" x14ac:dyDescent="0.2">
      <c r="B79" s="10"/>
      <c r="C79" s="7"/>
      <c r="D79" s="11"/>
      <c r="E79" s="6"/>
      <c r="F79" s="12" t="str">
        <f t="shared" si="2"/>
        <v/>
      </c>
      <c r="G79" s="13" t="str">
        <f t="shared" si="3"/>
        <v/>
      </c>
      <c r="H79" s="9"/>
      <c r="I79" s="9"/>
      <c r="J79" s="14" t="str">
        <f>IF(E79="","",IFERROR(VLOOKUP(E79,TabProd,5,FALSE),0)+SUMIFS($H$5:H79,$E$5:E79,E79)-SUMIFS($I$5:I79,$E$5:E79,E79))</f>
        <v/>
      </c>
      <c r="K79" s="7"/>
      <c r="L79" s="7"/>
      <c r="M79" s="1" t="str">
        <f>IF(E79="","",E79&amp;"|"&amp;COUNTIF($E$5:E79,E79))</f>
        <v/>
      </c>
    </row>
    <row r="80" spans="2:13" x14ac:dyDescent="0.2">
      <c r="B80" s="10"/>
      <c r="C80" s="7"/>
      <c r="D80" s="11"/>
      <c r="E80" s="6"/>
      <c r="F80" s="12" t="str">
        <f t="shared" si="2"/>
        <v/>
      </c>
      <c r="G80" s="13" t="str">
        <f t="shared" si="3"/>
        <v/>
      </c>
      <c r="H80" s="9"/>
      <c r="I80" s="9"/>
      <c r="J80" s="14" t="str">
        <f>IF(E80="","",IFERROR(VLOOKUP(E80,TabProd,5,FALSE),0)+SUMIFS($H$5:H80,$E$5:E80,E80)-SUMIFS($I$5:I80,$E$5:E80,E80))</f>
        <v/>
      </c>
      <c r="K80" s="7"/>
      <c r="L80" s="7"/>
      <c r="M80" s="1" t="str">
        <f>IF(E80="","",E80&amp;"|"&amp;COUNTIF($E$5:E80,E80))</f>
        <v/>
      </c>
    </row>
    <row r="81" spans="2:13" x14ac:dyDescent="0.2">
      <c r="B81" s="10"/>
      <c r="C81" s="7"/>
      <c r="D81" s="11"/>
      <c r="E81" s="6"/>
      <c r="F81" s="12" t="str">
        <f t="shared" si="2"/>
        <v/>
      </c>
      <c r="G81" s="13" t="str">
        <f t="shared" si="3"/>
        <v/>
      </c>
      <c r="H81" s="9"/>
      <c r="I81" s="9"/>
      <c r="J81" s="14" t="str">
        <f>IF(E81="","",IFERROR(VLOOKUP(E81,TabProd,5,FALSE),0)+SUMIFS($H$5:H81,$E$5:E81,E81)-SUMIFS($I$5:I81,$E$5:E81,E81))</f>
        <v/>
      </c>
      <c r="K81" s="7"/>
      <c r="L81" s="7"/>
      <c r="M81" s="1" t="str">
        <f>IF(E81="","",E81&amp;"|"&amp;COUNTIF($E$5:E81,E81))</f>
        <v/>
      </c>
    </row>
    <row r="82" spans="2:13" x14ac:dyDescent="0.2">
      <c r="B82" s="10"/>
      <c r="C82" s="7"/>
      <c r="D82" s="11"/>
      <c r="E82" s="6"/>
      <c r="F82" s="12" t="str">
        <f t="shared" si="2"/>
        <v/>
      </c>
      <c r="G82" s="13" t="str">
        <f t="shared" si="3"/>
        <v/>
      </c>
      <c r="H82" s="9"/>
      <c r="I82" s="9"/>
      <c r="J82" s="14" t="str">
        <f>IF(E82="","",IFERROR(VLOOKUP(E82,TabProd,5,FALSE),0)+SUMIFS($H$5:H82,$E$5:E82,E82)-SUMIFS($I$5:I82,$E$5:E82,E82))</f>
        <v/>
      </c>
      <c r="K82" s="7"/>
      <c r="L82" s="7"/>
      <c r="M82" s="1" t="str">
        <f>IF(E82="","",E82&amp;"|"&amp;COUNTIF($E$5:E82,E82))</f>
        <v/>
      </c>
    </row>
    <row r="83" spans="2:13" x14ac:dyDescent="0.2">
      <c r="B83" s="10"/>
      <c r="C83" s="7"/>
      <c r="D83" s="11"/>
      <c r="E83" s="6"/>
      <c r="F83" s="12" t="str">
        <f t="shared" si="2"/>
        <v/>
      </c>
      <c r="G83" s="13" t="str">
        <f t="shared" si="3"/>
        <v/>
      </c>
      <c r="H83" s="9"/>
      <c r="I83" s="9"/>
      <c r="J83" s="14" t="str">
        <f>IF(E83="","",IFERROR(VLOOKUP(E83,TabProd,5,FALSE),0)+SUMIFS($H$5:H83,$E$5:E83,E83)-SUMIFS($I$5:I83,$E$5:E83,E83))</f>
        <v/>
      </c>
      <c r="K83" s="7"/>
      <c r="L83" s="7"/>
      <c r="M83" s="1" t="str">
        <f>IF(E83="","",E83&amp;"|"&amp;COUNTIF($E$5:E83,E83))</f>
        <v/>
      </c>
    </row>
    <row r="84" spans="2:13" x14ac:dyDescent="0.2">
      <c r="B84" s="10"/>
      <c r="C84" s="7"/>
      <c r="D84" s="11"/>
      <c r="E84" s="6"/>
      <c r="F84" s="12" t="str">
        <f t="shared" si="2"/>
        <v/>
      </c>
      <c r="G84" s="13" t="str">
        <f t="shared" si="3"/>
        <v/>
      </c>
      <c r="H84" s="9"/>
      <c r="I84" s="9"/>
      <c r="J84" s="14" t="str">
        <f>IF(E84="","",IFERROR(VLOOKUP(E84,TabProd,5,FALSE),0)+SUMIFS($H$5:H84,$E$5:E84,E84)-SUMIFS($I$5:I84,$E$5:E84,E84))</f>
        <v/>
      </c>
      <c r="K84" s="7"/>
      <c r="L84" s="7"/>
      <c r="M84" s="1" t="str">
        <f>IF(E84="","",E84&amp;"|"&amp;COUNTIF($E$5:E84,E84))</f>
        <v/>
      </c>
    </row>
    <row r="85" spans="2:13" x14ac:dyDescent="0.2">
      <c r="B85" s="10"/>
      <c r="C85" s="7"/>
      <c r="D85" s="11"/>
      <c r="E85" s="6"/>
      <c r="F85" s="12" t="str">
        <f t="shared" si="2"/>
        <v/>
      </c>
      <c r="G85" s="13" t="str">
        <f t="shared" si="3"/>
        <v/>
      </c>
      <c r="H85" s="9"/>
      <c r="I85" s="9"/>
      <c r="J85" s="14" t="str">
        <f>IF(E85="","",IFERROR(VLOOKUP(E85,TabProd,5,FALSE),0)+SUMIFS($H$5:H85,$E$5:E85,E85)-SUMIFS($I$5:I85,$E$5:E85,E85))</f>
        <v/>
      </c>
      <c r="K85" s="7"/>
      <c r="L85" s="7"/>
      <c r="M85" s="1" t="str">
        <f>IF(E85="","",E85&amp;"|"&amp;COUNTIF($E$5:E85,E85))</f>
        <v/>
      </c>
    </row>
    <row r="86" spans="2:13" x14ac:dyDescent="0.2">
      <c r="B86" s="10"/>
      <c r="C86" s="7"/>
      <c r="D86" s="11"/>
      <c r="E86" s="6"/>
      <c r="F86" s="12" t="str">
        <f t="shared" si="2"/>
        <v/>
      </c>
      <c r="G86" s="13" t="str">
        <f t="shared" si="3"/>
        <v/>
      </c>
      <c r="H86" s="9"/>
      <c r="I86" s="9"/>
      <c r="J86" s="14" t="str">
        <f>IF(E86="","",IFERROR(VLOOKUP(E86,TabProd,5,FALSE),0)+SUMIFS($H$5:H86,$E$5:E86,E86)-SUMIFS($I$5:I86,$E$5:E86,E86))</f>
        <v/>
      </c>
      <c r="K86" s="7"/>
      <c r="L86" s="7"/>
      <c r="M86" s="1" t="str">
        <f>IF(E86="","",E86&amp;"|"&amp;COUNTIF($E$5:E86,E86))</f>
        <v/>
      </c>
    </row>
    <row r="87" spans="2:13" x14ac:dyDescent="0.2">
      <c r="B87" s="10"/>
      <c r="C87" s="7"/>
      <c r="D87" s="11"/>
      <c r="E87" s="6"/>
      <c r="F87" s="12" t="str">
        <f t="shared" si="2"/>
        <v/>
      </c>
      <c r="G87" s="13" t="str">
        <f t="shared" si="3"/>
        <v/>
      </c>
      <c r="H87" s="9"/>
      <c r="I87" s="9"/>
      <c r="J87" s="14" t="str">
        <f>IF(E87="","",IFERROR(VLOOKUP(E87,TabProd,5,FALSE),0)+SUMIFS($H$5:H87,$E$5:E87,E87)-SUMIFS($I$5:I87,$E$5:E87,E87))</f>
        <v/>
      </c>
      <c r="K87" s="7"/>
      <c r="L87" s="7"/>
      <c r="M87" s="1" t="str">
        <f>IF(E87="","",E87&amp;"|"&amp;COUNTIF($E$5:E87,E87))</f>
        <v/>
      </c>
    </row>
    <row r="88" spans="2:13" x14ac:dyDescent="0.2">
      <c r="B88" s="10"/>
      <c r="C88" s="7"/>
      <c r="D88" s="11"/>
      <c r="E88" s="6"/>
      <c r="F88" s="12" t="str">
        <f t="shared" si="2"/>
        <v/>
      </c>
      <c r="G88" s="13" t="str">
        <f t="shared" si="3"/>
        <v/>
      </c>
      <c r="H88" s="9"/>
      <c r="I88" s="9"/>
      <c r="J88" s="14" t="str">
        <f>IF(E88="","",IFERROR(VLOOKUP(E88,TabProd,5,FALSE),0)+SUMIFS($H$5:H88,$E$5:E88,E88)-SUMIFS($I$5:I88,$E$5:E88,E88))</f>
        <v/>
      </c>
      <c r="K88" s="7"/>
      <c r="L88" s="7"/>
      <c r="M88" s="1" t="str">
        <f>IF(E88="","",E88&amp;"|"&amp;COUNTIF($E$5:E88,E88))</f>
        <v/>
      </c>
    </row>
    <row r="89" spans="2:13" x14ac:dyDescent="0.2">
      <c r="B89" s="10"/>
      <c r="C89" s="7"/>
      <c r="D89" s="11"/>
      <c r="E89" s="6"/>
      <c r="F89" s="12" t="str">
        <f t="shared" si="2"/>
        <v/>
      </c>
      <c r="G89" s="13" t="str">
        <f t="shared" si="3"/>
        <v/>
      </c>
      <c r="H89" s="9"/>
      <c r="I89" s="9"/>
      <c r="J89" s="14" t="str">
        <f>IF(E89="","",IFERROR(VLOOKUP(E89,TabProd,5,FALSE),0)+SUMIFS($H$5:H89,$E$5:E89,E89)-SUMIFS($I$5:I89,$E$5:E89,E89))</f>
        <v/>
      </c>
      <c r="K89" s="7"/>
      <c r="L89" s="7"/>
      <c r="M89" s="1" t="str">
        <f>IF(E89="","",E89&amp;"|"&amp;COUNTIF($E$5:E89,E89))</f>
        <v/>
      </c>
    </row>
    <row r="90" spans="2:13" x14ac:dyDescent="0.2">
      <c r="B90" s="10"/>
      <c r="C90" s="7"/>
      <c r="D90" s="11"/>
      <c r="E90" s="6"/>
      <c r="F90" s="12" t="str">
        <f t="shared" si="2"/>
        <v/>
      </c>
      <c r="G90" s="13" t="str">
        <f t="shared" si="3"/>
        <v/>
      </c>
      <c r="H90" s="9"/>
      <c r="I90" s="9"/>
      <c r="J90" s="14" t="str">
        <f>IF(E90="","",IFERROR(VLOOKUP(E90,TabProd,5,FALSE),0)+SUMIFS($H$5:H90,$E$5:E90,E90)-SUMIFS($I$5:I90,$E$5:E90,E90))</f>
        <v/>
      </c>
      <c r="K90" s="7"/>
      <c r="L90" s="7"/>
      <c r="M90" s="1" t="str">
        <f>IF(E90="","",E90&amp;"|"&amp;COUNTIF($E$5:E90,E90))</f>
        <v/>
      </c>
    </row>
    <row r="91" spans="2:13" x14ac:dyDescent="0.2">
      <c r="B91" s="10"/>
      <c r="C91" s="7"/>
      <c r="D91" s="11"/>
      <c r="E91" s="6"/>
      <c r="F91" s="12" t="str">
        <f t="shared" si="2"/>
        <v/>
      </c>
      <c r="G91" s="13" t="str">
        <f t="shared" si="3"/>
        <v/>
      </c>
      <c r="H91" s="9"/>
      <c r="I91" s="9"/>
      <c r="J91" s="14" t="str">
        <f>IF(E91="","",IFERROR(VLOOKUP(E91,TabProd,5,FALSE),0)+SUMIFS($H$5:H91,$E$5:E91,E91)-SUMIFS($I$5:I91,$E$5:E91,E91))</f>
        <v/>
      </c>
      <c r="K91" s="7"/>
      <c r="L91" s="7"/>
      <c r="M91" s="1" t="str">
        <f>IF(E91="","",E91&amp;"|"&amp;COUNTIF($E$5:E91,E91))</f>
        <v/>
      </c>
    </row>
    <row r="92" spans="2:13" x14ac:dyDescent="0.2">
      <c r="B92" s="10"/>
      <c r="C92" s="7"/>
      <c r="D92" s="11"/>
      <c r="E92" s="6"/>
      <c r="F92" s="12" t="str">
        <f t="shared" si="2"/>
        <v/>
      </c>
      <c r="G92" s="13" t="str">
        <f t="shared" si="3"/>
        <v/>
      </c>
      <c r="H92" s="9"/>
      <c r="I92" s="9"/>
      <c r="J92" s="14" t="str">
        <f>IF(E92="","",IFERROR(VLOOKUP(E92,TabProd,5,FALSE),0)+SUMIFS($H$5:H92,$E$5:E92,E92)-SUMIFS($I$5:I92,$E$5:E92,E92))</f>
        <v/>
      </c>
      <c r="K92" s="7"/>
      <c r="L92" s="7"/>
      <c r="M92" s="1" t="str">
        <f>IF(E92="","",E92&amp;"|"&amp;COUNTIF($E$5:E92,E92))</f>
        <v/>
      </c>
    </row>
    <row r="93" spans="2:13" x14ac:dyDescent="0.2">
      <c r="B93" s="10"/>
      <c r="C93" s="7"/>
      <c r="D93" s="11"/>
      <c r="E93" s="6"/>
      <c r="F93" s="12" t="str">
        <f t="shared" si="2"/>
        <v/>
      </c>
      <c r="G93" s="13" t="str">
        <f t="shared" si="3"/>
        <v/>
      </c>
      <c r="H93" s="9"/>
      <c r="I93" s="9"/>
      <c r="J93" s="14" t="str">
        <f>IF(E93="","",IFERROR(VLOOKUP(E93,TabProd,5,FALSE),0)+SUMIFS($H$5:H93,$E$5:E93,E93)-SUMIFS($I$5:I93,$E$5:E93,E93))</f>
        <v/>
      </c>
      <c r="K93" s="7"/>
      <c r="L93" s="7"/>
      <c r="M93" s="1" t="str">
        <f>IF(E93="","",E93&amp;"|"&amp;COUNTIF($E$5:E93,E93))</f>
        <v/>
      </c>
    </row>
    <row r="94" spans="2:13" x14ac:dyDescent="0.2">
      <c r="B94" s="10"/>
      <c r="C94" s="7"/>
      <c r="D94" s="11"/>
      <c r="E94" s="6"/>
      <c r="F94" s="12" t="str">
        <f t="shared" si="2"/>
        <v/>
      </c>
      <c r="G94" s="13" t="str">
        <f t="shared" si="3"/>
        <v/>
      </c>
      <c r="H94" s="9"/>
      <c r="I94" s="9"/>
      <c r="J94" s="14" t="str">
        <f>IF(E94="","",IFERROR(VLOOKUP(E94,TabProd,5,FALSE),0)+SUMIFS($H$5:H94,$E$5:E94,E94)-SUMIFS($I$5:I94,$E$5:E94,E94))</f>
        <v/>
      </c>
      <c r="K94" s="7"/>
      <c r="L94" s="7"/>
      <c r="M94" s="1" t="str">
        <f>IF(E94="","",E94&amp;"|"&amp;COUNTIF($E$5:E94,E94))</f>
        <v/>
      </c>
    </row>
    <row r="95" spans="2:13" x14ac:dyDescent="0.2">
      <c r="B95" s="10"/>
      <c r="C95" s="7"/>
      <c r="D95" s="11"/>
      <c r="E95" s="6"/>
      <c r="F95" s="12" t="str">
        <f t="shared" si="2"/>
        <v/>
      </c>
      <c r="G95" s="13" t="str">
        <f t="shared" si="3"/>
        <v/>
      </c>
      <c r="H95" s="9"/>
      <c r="I95" s="9"/>
      <c r="J95" s="14" t="str">
        <f>IF(E95="","",IFERROR(VLOOKUP(E95,TabProd,5,FALSE),0)+SUMIFS($H$5:H95,$E$5:E95,E95)-SUMIFS($I$5:I95,$E$5:E95,E95))</f>
        <v/>
      </c>
      <c r="K95" s="7"/>
      <c r="L95" s="7"/>
      <c r="M95" s="1" t="str">
        <f>IF(E95="","",E95&amp;"|"&amp;COUNTIF($E$5:E95,E95))</f>
        <v/>
      </c>
    </row>
    <row r="96" spans="2:13" x14ac:dyDescent="0.2">
      <c r="B96" s="10"/>
      <c r="C96" s="7"/>
      <c r="D96" s="11"/>
      <c r="E96" s="6"/>
      <c r="F96" s="12" t="str">
        <f t="shared" si="2"/>
        <v/>
      </c>
      <c r="G96" s="13" t="str">
        <f t="shared" si="3"/>
        <v/>
      </c>
      <c r="H96" s="9"/>
      <c r="I96" s="9"/>
      <c r="J96" s="14" t="str">
        <f>IF(E96="","",IFERROR(VLOOKUP(E96,TabProd,5,FALSE),0)+SUMIFS($H$5:H96,$E$5:E96,E96)-SUMIFS($I$5:I96,$E$5:E96,E96))</f>
        <v/>
      </c>
      <c r="K96" s="7"/>
      <c r="L96" s="7"/>
      <c r="M96" s="1" t="str">
        <f>IF(E96="","",E96&amp;"|"&amp;COUNTIF($E$5:E96,E96))</f>
        <v/>
      </c>
    </row>
    <row r="97" spans="2:13" x14ac:dyDescent="0.2">
      <c r="B97" s="10"/>
      <c r="C97" s="7"/>
      <c r="D97" s="11"/>
      <c r="E97" s="6"/>
      <c r="F97" s="12" t="str">
        <f t="shared" si="2"/>
        <v/>
      </c>
      <c r="G97" s="13" t="str">
        <f t="shared" si="3"/>
        <v/>
      </c>
      <c r="H97" s="9"/>
      <c r="I97" s="9"/>
      <c r="J97" s="14" t="str">
        <f>IF(E97="","",IFERROR(VLOOKUP(E97,TabProd,5,FALSE),0)+SUMIFS($H$5:H97,$E$5:E97,E97)-SUMIFS($I$5:I97,$E$5:E97,E97))</f>
        <v/>
      </c>
      <c r="K97" s="7"/>
      <c r="L97" s="7"/>
      <c r="M97" s="1" t="str">
        <f>IF(E97="","",E97&amp;"|"&amp;COUNTIF($E$5:E97,E97))</f>
        <v/>
      </c>
    </row>
    <row r="98" spans="2:13" x14ac:dyDescent="0.2">
      <c r="B98" s="10"/>
      <c r="C98" s="7"/>
      <c r="D98" s="11"/>
      <c r="E98" s="6"/>
      <c r="F98" s="12" t="str">
        <f t="shared" si="2"/>
        <v/>
      </c>
      <c r="G98" s="13" t="str">
        <f t="shared" si="3"/>
        <v/>
      </c>
      <c r="H98" s="9"/>
      <c r="I98" s="9"/>
      <c r="J98" s="14" t="str">
        <f>IF(E98="","",IFERROR(VLOOKUP(E98,TabProd,5,FALSE),0)+SUMIFS($H$5:H98,$E$5:E98,E98)-SUMIFS($I$5:I98,$E$5:E98,E98))</f>
        <v/>
      </c>
      <c r="K98" s="7"/>
      <c r="L98" s="7"/>
      <c r="M98" s="1" t="str">
        <f>IF(E98="","",E98&amp;"|"&amp;COUNTIF($E$5:E98,E98))</f>
        <v/>
      </c>
    </row>
    <row r="99" spans="2:13" x14ac:dyDescent="0.2">
      <c r="B99" s="10"/>
      <c r="C99" s="7"/>
      <c r="D99" s="11"/>
      <c r="E99" s="6"/>
      <c r="F99" s="12" t="str">
        <f t="shared" si="2"/>
        <v/>
      </c>
      <c r="G99" s="13" t="str">
        <f t="shared" si="3"/>
        <v/>
      </c>
      <c r="H99" s="9"/>
      <c r="I99" s="9"/>
      <c r="J99" s="14" t="str">
        <f>IF(E99="","",IFERROR(VLOOKUP(E99,TabProd,5,FALSE),0)+SUMIFS($H$5:H99,$E$5:E99,E99)-SUMIFS($I$5:I99,$E$5:E99,E99))</f>
        <v/>
      </c>
      <c r="K99" s="7"/>
      <c r="L99" s="7"/>
      <c r="M99" s="1" t="str">
        <f>IF(E99="","",E99&amp;"|"&amp;COUNTIF($E$5:E99,E99))</f>
        <v/>
      </c>
    </row>
    <row r="100" spans="2:13" x14ac:dyDescent="0.2">
      <c r="B100" s="10"/>
      <c r="C100" s="7"/>
      <c r="D100" s="11"/>
      <c r="E100" s="6"/>
      <c r="F100" s="12" t="str">
        <f t="shared" si="2"/>
        <v/>
      </c>
      <c r="G100" s="13" t="str">
        <f t="shared" si="3"/>
        <v/>
      </c>
      <c r="H100" s="9"/>
      <c r="I100" s="9"/>
      <c r="J100" s="14" t="str">
        <f>IF(E100="","",IFERROR(VLOOKUP(E100,TabProd,5,FALSE),0)+SUMIFS($H$5:H100,$E$5:E100,E100)-SUMIFS($I$5:I100,$E$5:E100,E100))</f>
        <v/>
      </c>
      <c r="K100" s="7"/>
      <c r="L100" s="7"/>
      <c r="M100" s="1" t="str">
        <f>IF(E100="","",E100&amp;"|"&amp;COUNTIF($E$5:E100,E100))</f>
        <v/>
      </c>
    </row>
    <row r="101" spans="2:13" x14ac:dyDescent="0.2">
      <c r="B101" s="10"/>
      <c r="C101" s="7"/>
      <c r="D101" s="11"/>
      <c r="E101" s="6"/>
      <c r="F101" s="12" t="str">
        <f t="shared" si="2"/>
        <v/>
      </c>
      <c r="G101" s="13" t="str">
        <f t="shared" si="3"/>
        <v/>
      </c>
      <c r="H101" s="9"/>
      <c r="I101" s="9"/>
      <c r="J101" s="14" t="str">
        <f>IF(E101="","",IFERROR(VLOOKUP(E101,TabProd,5,FALSE),0)+SUMIFS($H$5:H101,$E$5:E101,E101)-SUMIFS($I$5:I101,$E$5:E101,E101))</f>
        <v/>
      </c>
      <c r="K101" s="7"/>
      <c r="L101" s="7"/>
      <c r="M101" s="1" t="str">
        <f>IF(E101="","",E101&amp;"|"&amp;COUNTIF($E$5:E101,E101))</f>
        <v/>
      </c>
    </row>
    <row r="102" spans="2:13" x14ac:dyDescent="0.2">
      <c r="B102" s="10"/>
      <c r="C102" s="7"/>
      <c r="D102" s="11"/>
      <c r="E102" s="6"/>
      <c r="F102" s="12" t="str">
        <f t="shared" si="2"/>
        <v/>
      </c>
      <c r="G102" s="13" t="str">
        <f t="shared" si="3"/>
        <v/>
      </c>
      <c r="H102" s="9"/>
      <c r="I102" s="9"/>
      <c r="J102" s="14" t="str">
        <f>IF(E102="","",IFERROR(VLOOKUP(E102,TabProd,5,FALSE),0)+SUMIFS($H$5:H102,$E$5:E102,E102)-SUMIFS($I$5:I102,$E$5:E102,E102))</f>
        <v/>
      </c>
      <c r="K102" s="7"/>
      <c r="L102" s="7"/>
      <c r="M102" s="1" t="str">
        <f>IF(E102="","",E102&amp;"|"&amp;COUNTIF($E$5:E102,E102))</f>
        <v/>
      </c>
    </row>
    <row r="103" spans="2:13" x14ac:dyDescent="0.2">
      <c r="B103" s="10"/>
      <c r="C103" s="7"/>
      <c r="D103" s="11"/>
      <c r="E103" s="6"/>
      <c r="F103" s="12" t="str">
        <f t="shared" si="2"/>
        <v/>
      </c>
      <c r="G103" s="13" t="str">
        <f t="shared" si="3"/>
        <v/>
      </c>
      <c r="H103" s="9"/>
      <c r="I103" s="9"/>
      <c r="J103" s="14" t="str">
        <f>IF(E103="","",IFERROR(VLOOKUP(E103,TabProd,5,FALSE),0)+SUMIFS($H$5:H103,$E$5:E103,E103)-SUMIFS($I$5:I103,$E$5:E103,E103))</f>
        <v/>
      </c>
      <c r="K103" s="7"/>
      <c r="L103" s="7"/>
      <c r="M103" s="1" t="str">
        <f>IF(E103="","",E103&amp;"|"&amp;COUNTIF($E$5:E103,E103))</f>
        <v/>
      </c>
    </row>
    <row r="104" spans="2:13" x14ac:dyDescent="0.2">
      <c r="B104" s="10"/>
      <c r="C104" s="7"/>
      <c r="D104" s="11"/>
      <c r="E104" s="6"/>
      <c r="F104" s="12" t="str">
        <f t="shared" si="2"/>
        <v/>
      </c>
      <c r="G104" s="13" t="str">
        <f t="shared" si="3"/>
        <v/>
      </c>
      <c r="H104" s="9"/>
      <c r="I104" s="9"/>
      <c r="J104" s="14" t="str">
        <f>IF(E104="","",IFERROR(VLOOKUP(E104,TabProd,5,FALSE),0)+SUMIFS($H$5:H104,$E$5:E104,E104)-SUMIFS($I$5:I104,$E$5:E104,E104))</f>
        <v/>
      </c>
      <c r="K104" s="7"/>
      <c r="L104" s="7"/>
      <c r="M104" s="1" t="str">
        <f>IF(E104="","",E104&amp;"|"&amp;COUNTIF($E$5:E104,E104))</f>
        <v/>
      </c>
    </row>
    <row r="105" spans="2:13" x14ac:dyDescent="0.2">
      <c r="B105" s="10"/>
      <c r="C105" s="7"/>
      <c r="D105" s="11"/>
      <c r="E105" s="6"/>
      <c r="F105" s="12" t="str">
        <f t="shared" si="2"/>
        <v/>
      </c>
      <c r="G105" s="13" t="str">
        <f t="shared" si="3"/>
        <v/>
      </c>
      <c r="H105" s="9"/>
      <c r="I105" s="9"/>
      <c r="J105" s="14" t="str">
        <f>IF(E105="","",IFERROR(VLOOKUP(E105,TabProd,5,FALSE),0)+SUMIFS($H$5:H105,$E$5:E105,E105)-SUMIFS($I$5:I105,$E$5:E105,E105))</f>
        <v/>
      </c>
      <c r="K105" s="7"/>
      <c r="L105" s="7"/>
      <c r="M105" s="1" t="str">
        <f>IF(E105="","",E105&amp;"|"&amp;COUNTIF($E$5:E105,E105))</f>
        <v/>
      </c>
    </row>
    <row r="106" spans="2:13" x14ac:dyDescent="0.2">
      <c r="B106" s="10"/>
      <c r="C106" s="7"/>
      <c r="D106" s="11"/>
      <c r="E106" s="6"/>
      <c r="F106" s="12" t="str">
        <f t="shared" si="2"/>
        <v/>
      </c>
      <c r="G106" s="13" t="str">
        <f t="shared" si="3"/>
        <v/>
      </c>
      <c r="H106" s="9"/>
      <c r="I106" s="9"/>
      <c r="J106" s="14" t="str">
        <f>IF(E106="","",IFERROR(VLOOKUP(E106,TabProd,5,FALSE),0)+SUMIFS($H$5:H106,$E$5:E106,E106)-SUMIFS($I$5:I106,$E$5:E106,E106))</f>
        <v/>
      </c>
      <c r="K106" s="7"/>
      <c r="L106" s="7"/>
      <c r="M106" s="1" t="str">
        <f>IF(E106="","",E106&amp;"|"&amp;COUNTIF($E$5:E106,E106))</f>
        <v/>
      </c>
    </row>
    <row r="107" spans="2:13" x14ac:dyDescent="0.2">
      <c r="B107" s="10"/>
      <c r="C107" s="7"/>
      <c r="D107" s="11"/>
      <c r="E107" s="6"/>
      <c r="F107" s="12" t="str">
        <f t="shared" si="2"/>
        <v/>
      </c>
      <c r="G107" s="13" t="str">
        <f t="shared" si="3"/>
        <v/>
      </c>
      <c r="H107" s="9"/>
      <c r="I107" s="9"/>
      <c r="J107" s="14" t="str">
        <f>IF(E107="","",IFERROR(VLOOKUP(E107,TabProd,5,FALSE),0)+SUMIFS($H$5:H107,$E$5:E107,E107)-SUMIFS($I$5:I107,$E$5:E107,E107))</f>
        <v/>
      </c>
      <c r="K107" s="7"/>
      <c r="L107" s="7"/>
      <c r="M107" s="1" t="str">
        <f>IF(E107="","",E107&amp;"|"&amp;COUNTIF($E$5:E107,E107))</f>
        <v/>
      </c>
    </row>
    <row r="108" spans="2:13" x14ac:dyDescent="0.2">
      <c r="B108" s="10"/>
      <c r="C108" s="7"/>
      <c r="D108" s="11"/>
      <c r="E108" s="6"/>
      <c r="F108" s="12" t="str">
        <f t="shared" si="2"/>
        <v/>
      </c>
      <c r="G108" s="13" t="str">
        <f t="shared" si="3"/>
        <v/>
      </c>
      <c r="H108" s="9"/>
      <c r="I108" s="9"/>
      <c r="J108" s="14" t="str">
        <f>IF(E108="","",IFERROR(VLOOKUP(E108,TabProd,5,FALSE),0)+SUMIFS($H$5:H108,$E$5:E108,E108)-SUMIFS($I$5:I108,$E$5:E108,E108))</f>
        <v/>
      </c>
      <c r="K108" s="7"/>
      <c r="L108" s="7"/>
      <c r="M108" s="1" t="str">
        <f>IF(E108="","",E108&amp;"|"&amp;COUNTIF($E$5:E108,E108))</f>
        <v/>
      </c>
    </row>
    <row r="109" spans="2:13" x14ac:dyDescent="0.2">
      <c r="B109" s="10"/>
      <c r="C109" s="7"/>
      <c r="D109" s="11"/>
      <c r="E109" s="6"/>
      <c r="F109" s="12" t="str">
        <f t="shared" si="2"/>
        <v/>
      </c>
      <c r="G109" s="13" t="str">
        <f t="shared" si="3"/>
        <v/>
      </c>
      <c r="H109" s="9"/>
      <c r="I109" s="9"/>
      <c r="J109" s="14" t="str">
        <f>IF(E109="","",IFERROR(VLOOKUP(E109,TabProd,5,FALSE),0)+SUMIFS($H$5:H109,$E$5:E109,E109)-SUMIFS($I$5:I109,$E$5:E109,E109))</f>
        <v/>
      </c>
      <c r="K109" s="7"/>
      <c r="L109" s="7"/>
      <c r="M109" s="1" t="str">
        <f>IF(E109="","",E109&amp;"|"&amp;COUNTIF($E$5:E109,E109))</f>
        <v/>
      </c>
    </row>
    <row r="110" spans="2:13" x14ac:dyDescent="0.2">
      <c r="B110" s="10"/>
      <c r="C110" s="7"/>
      <c r="D110" s="11"/>
      <c r="E110" s="6"/>
      <c r="F110" s="12" t="str">
        <f t="shared" si="2"/>
        <v/>
      </c>
      <c r="G110" s="13" t="str">
        <f t="shared" si="3"/>
        <v/>
      </c>
      <c r="H110" s="9"/>
      <c r="I110" s="9"/>
      <c r="J110" s="14" t="str">
        <f>IF(E110="","",IFERROR(VLOOKUP(E110,TabProd,5,FALSE),0)+SUMIFS($H$5:H110,$E$5:E110,E110)-SUMIFS($I$5:I110,$E$5:E110,E110))</f>
        <v/>
      </c>
      <c r="K110" s="7"/>
      <c r="L110" s="7"/>
      <c r="M110" s="1" t="str">
        <f>IF(E110="","",E110&amp;"|"&amp;COUNTIF($E$5:E110,E110))</f>
        <v/>
      </c>
    </row>
    <row r="111" spans="2:13" x14ac:dyDescent="0.2">
      <c r="B111" s="10"/>
      <c r="C111" s="7"/>
      <c r="D111" s="11"/>
      <c r="E111" s="6"/>
      <c r="F111" s="12" t="str">
        <f t="shared" si="2"/>
        <v/>
      </c>
      <c r="G111" s="13" t="str">
        <f t="shared" si="3"/>
        <v/>
      </c>
      <c r="H111" s="9"/>
      <c r="I111" s="9"/>
      <c r="J111" s="14" t="str">
        <f>IF(E111="","",IFERROR(VLOOKUP(E111,TabProd,5,FALSE),0)+SUMIFS($H$5:H111,$E$5:E111,E111)-SUMIFS($I$5:I111,$E$5:E111,E111))</f>
        <v/>
      </c>
      <c r="K111" s="7"/>
      <c r="L111" s="7"/>
      <c r="M111" s="1" t="str">
        <f>IF(E111="","",E111&amp;"|"&amp;COUNTIF($E$5:E111,E111))</f>
        <v/>
      </c>
    </row>
    <row r="112" spans="2:13" x14ac:dyDescent="0.2">
      <c r="B112" s="10"/>
      <c r="C112" s="7"/>
      <c r="D112" s="11"/>
      <c r="E112" s="6"/>
      <c r="F112" s="12" t="str">
        <f t="shared" si="2"/>
        <v/>
      </c>
      <c r="G112" s="13" t="str">
        <f t="shared" si="3"/>
        <v/>
      </c>
      <c r="H112" s="9"/>
      <c r="I112" s="9"/>
      <c r="J112" s="14" t="str">
        <f>IF(E112="","",IFERROR(VLOOKUP(E112,TabProd,5,FALSE),0)+SUMIFS($H$5:H112,$E$5:E112,E112)-SUMIFS($I$5:I112,$E$5:E112,E112))</f>
        <v/>
      </c>
      <c r="K112" s="7"/>
      <c r="L112" s="7"/>
      <c r="M112" s="1" t="str">
        <f>IF(E112="","",E112&amp;"|"&amp;COUNTIF($E$5:E112,E112))</f>
        <v/>
      </c>
    </row>
    <row r="113" spans="2:13" x14ac:dyDescent="0.2">
      <c r="B113" s="10"/>
      <c r="C113" s="7"/>
      <c r="D113" s="11"/>
      <c r="E113" s="6"/>
      <c r="F113" s="12" t="str">
        <f t="shared" si="2"/>
        <v/>
      </c>
      <c r="G113" s="13" t="str">
        <f t="shared" si="3"/>
        <v/>
      </c>
      <c r="H113" s="9"/>
      <c r="I113" s="9"/>
      <c r="J113" s="14" t="str">
        <f>IF(E113="","",IFERROR(VLOOKUP(E113,TabProd,5,FALSE),0)+SUMIFS($H$5:H113,$E$5:E113,E113)-SUMIFS($I$5:I113,$E$5:E113,E113))</f>
        <v/>
      </c>
      <c r="K113" s="7"/>
      <c r="L113" s="7"/>
      <c r="M113" s="1" t="str">
        <f>IF(E113="","",E113&amp;"|"&amp;COUNTIF($E$5:E113,E113))</f>
        <v/>
      </c>
    </row>
    <row r="114" spans="2:13" x14ac:dyDescent="0.2">
      <c r="B114" s="10"/>
      <c r="C114" s="7"/>
      <c r="D114" s="11"/>
      <c r="E114" s="6"/>
      <c r="F114" s="12" t="str">
        <f t="shared" si="2"/>
        <v/>
      </c>
      <c r="G114" s="13" t="str">
        <f t="shared" si="3"/>
        <v/>
      </c>
      <c r="H114" s="9"/>
      <c r="I114" s="9"/>
      <c r="J114" s="14" t="str">
        <f>IF(E114="","",IFERROR(VLOOKUP(E114,TabProd,5,FALSE),0)+SUMIFS($H$5:H114,$E$5:E114,E114)-SUMIFS($I$5:I114,$E$5:E114,E114))</f>
        <v/>
      </c>
      <c r="K114" s="7"/>
      <c r="L114" s="7"/>
      <c r="M114" s="1" t="str">
        <f>IF(E114="","",E114&amp;"|"&amp;COUNTIF($E$5:E114,E114))</f>
        <v/>
      </c>
    </row>
    <row r="115" spans="2:13" x14ac:dyDescent="0.2">
      <c r="B115" s="10"/>
      <c r="C115" s="7"/>
      <c r="D115" s="11"/>
      <c r="E115" s="6"/>
      <c r="F115" s="12" t="str">
        <f t="shared" si="2"/>
        <v/>
      </c>
      <c r="G115" s="13" t="str">
        <f t="shared" si="3"/>
        <v/>
      </c>
      <c r="H115" s="9"/>
      <c r="I115" s="9"/>
      <c r="J115" s="14" t="str">
        <f>IF(E115="","",IFERROR(VLOOKUP(E115,TabProd,5,FALSE),0)+SUMIFS($H$5:H115,$E$5:E115,E115)-SUMIFS($I$5:I115,$E$5:E115,E115))</f>
        <v/>
      </c>
      <c r="K115" s="7"/>
      <c r="L115" s="7"/>
      <c r="M115" s="1" t="str">
        <f>IF(E115="","",E115&amp;"|"&amp;COUNTIF($E$5:E115,E115))</f>
        <v/>
      </c>
    </row>
    <row r="116" spans="2:13" x14ac:dyDescent="0.2">
      <c r="B116" s="10"/>
      <c r="C116" s="7"/>
      <c r="D116" s="11"/>
      <c r="E116" s="6"/>
      <c r="F116" s="12" t="str">
        <f t="shared" si="2"/>
        <v/>
      </c>
      <c r="G116" s="13" t="str">
        <f t="shared" si="3"/>
        <v/>
      </c>
      <c r="H116" s="9"/>
      <c r="I116" s="9"/>
      <c r="J116" s="14" t="str">
        <f>IF(E116="","",IFERROR(VLOOKUP(E116,TabProd,5,FALSE),0)+SUMIFS($H$5:H116,$E$5:E116,E116)-SUMIFS($I$5:I116,$E$5:E116,E116))</f>
        <v/>
      </c>
      <c r="K116" s="7"/>
      <c r="L116" s="7"/>
      <c r="M116" s="1" t="str">
        <f>IF(E116="","",E116&amp;"|"&amp;COUNTIF($E$5:E116,E116))</f>
        <v/>
      </c>
    </row>
    <row r="117" spans="2:13" x14ac:dyDescent="0.2">
      <c r="B117" s="10"/>
      <c r="C117" s="7"/>
      <c r="D117" s="11"/>
      <c r="E117" s="6"/>
      <c r="F117" s="12" t="str">
        <f t="shared" si="2"/>
        <v/>
      </c>
      <c r="G117" s="13" t="str">
        <f t="shared" si="3"/>
        <v/>
      </c>
      <c r="H117" s="9"/>
      <c r="I117" s="9"/>
      <c r="J117" s="14" t="str">
        <f>IF(E117="","",IFERROR(VLOOKUP(E117,TabProd,5,FALSE),0)+SUMIFS($H$5:H117,$E$5:E117,E117)-SUMIFS($I$5:I117,$E$5:E117,E117))</f>
        <v/>
      </c>
      <c r="K117" s="7"/>
      <c r="L117" s="7"/>
      <c r="M117" s="1" t="str">
        <f>IF(E117="","",E117&amp;"|"&amp;COUNTIF($E$5:E117,E117))</f>
        <v/>
      </c>
    </row>
    <row r="118" spans="2:13" x14ac:dyDescent="0.2">
      <c r="B118" s="10"/>
      <c r="C118" s="7"/>
      <c r="D118" s="11"/>
      <c r="E118" s="6"/>
      <c r="F118" s="12" t="str">
        <f t="shared" si="2"/>
        <v/>
      </c>
      <c r="G118" s="13" t="str">
        <f t="shared" si="3"/>
        <v/>
      </c>
      <c r="H118" s="9"/>
      <c r="I118" s="9"/>
      <c r="J118" s="14" t="str">
        <f>IF(E118="","",IFERROR(VLOOKUP(E118,TabProd,5,FALSE),0)+SUMIFS($H$5:H118,$E$5:E118,E118)-SUMIFS($I$5:I118,$E$5:E118,E118))</f>
        <v/>
      </c>
      <c r="K118" s="7"/>
      <c r="L118" s="7"/>
      <c r="M118" s="1" t="str">
        <f>IF(E118="","",E118&amp;"|"&amp;COUNTIF($E$5:E118,E118))</f>
        <v/>
      </c>
    </row>
    <row r="119" spans="2:13" x14ac:dyDescent="0.2">
      <c r="B119" s="10"/>
      <c r="C119" s="7"/>
      <c r="D119" s="11"/>
      <c r="E119" s="6"/>
      <c r="F119" s="12" t="str">
        <f t="shared" si="2"/>
        <v/>
      </c>
      <c r="G119" s="13" t="str">
        <f t="shared" si="3"/>
        <v/>
      </c>
      <c r="H119" s="9"/>
      <c r="I119" s="9"/>
      <c r="J119" s="14" t="str">
        <f>IF(E119="","",IFERROR(VLOOKUP(E119,TabProd,5,FALSE),0)+SUMIFS($H$5:H119,$E$5:E119,E119)-SUMIFS($I$5:I119,$E$5:E119,E119))</f>
        <v/>
      </c>
      <c r="K119" s="7"/>
      <c r="L119" s="7"/>
      <c r="M119" s="1" t="str">
        <f>IF(E119="","",E119&amp;"|"&amp;COUNTIF($E$5:E119,E119))</f>
        <v/>
      </c>
    </row>
    <row r="120" spans="2:13" x14ac:dyDescent="0.2">
      <c r="B120" s="10"/>
      <c r="C120" s="7"/>
      <c r="D120" s="11"/>
      <c r="E120" s="6"/>
      <c r="F120" s="12" t="str">
        <f t="shared" si="2"/>
        <v/>
      </c>
      <c r="G120" s="13" t="str">
        <f t="shared" si="3"/>
        <v/>
      </c>
      <c r="H120" s="9"/>
      <c r="I120" s="9"/>
      <c r="J120" s="14" t="str">
        <f>IF(E120="","",IFERROR(VLOOKUP(E120,TabProd,5,FALSE),0)+SUMIFS($H$5:H120,$E$5:E120,E120)-SUMIFS($I$5:I120,$E$5:E120,E120))</f>
        <v/>
      </c>
      <c r="K120" s="7"/>
      <c r="L120" s="7"/>
      <c r="M120" s="1" t="str">
        <f>IF(E120="","",E120&amp;"|"&amp;COUNTIF($E$5:E120,E120))</f>
        <v/>
      </c>
    </row>
    <row r="121" spans="2:13" x14ac:dyDescent="0.2">
      <c r="B121" s="10"/>
      <c r="C121" s="7"/>
      <c r="D121" s="11"/>
      <c r="E121" s="6"/>
      <c r="F121" s="12" t="str">
        <f t="shared" si="2"/>
        <v/>
      </c>
      <c r="G121" s="13" t="str">
        <f t="shared" si="3"/>
        <v/>
      </c>
      <c r="H121" s="9"/>
      <c r="I121" s="9"/>
      <c r="J121" s="14" t="str">
        <f>IF(E121="","",IFERROR(VLOOKUP(E121,TabProd,5,FALSE),0)+SUMIFS($H$5:H121,$E$5:E121,E121)-SUMIFS($I$5:I121,$E$5:E121,E121))</f>
        <v/>
      </c>
      <c r="K121" s="7"/>
      <c r="L121" s="7"/>
      <c r="M121" s="1" t="str">
        <f>IF(E121="","",E121&amp;"|"&amp;COUNTIF($E$5:E121,E121))</f>
        <v/>
      </c>
    </row>
    <row r="122" spans="2:13" x14ac:dyDescent="0.2">
      <c r="B122" s="10"/>
      <c r="C122" s="7"/>
      <c r="D122" s="11"/>
      <c r="E122" s="6"/>
      <c r="F122" s="12" t="str">
        <f t="shared" si="2"/>
        <v/>
      </c>
      <c r="G122" s="13" t="str">
        <f t="shared" si="3"/>
        <v/>
      </c>
      <c r="H122" s="9"/>
      <c r="I122" s="9"/>
      <c r="J122" s="14" t="str">
        <f>IF(E122="","",IFERROR(VLOOKUP(E122,TabProd,5,FALSE),0)+SUMIFS($H$5:H122,$E$5:E122,E122)-SUMIFS($I$5:I122,$E$5:E122,E122))</f>
        <v/>
      </c>
      <c r="K122" s="7"/>
      <c r="L122" s="7"/>
      <c r="M122" s="1" t="str">
        <f>IF(E122="","",E122&amp;"|"&amp;COUNTIF($E$5:E122,E122))</f>
        <v/>
      </c>
    </row>
    <row r="123" spans="2:13" x14ac:dyDescent="0.2">
      <c r="B123" s="10"/>
      <c r="C123" s="7"/>
      <c r="D123" s="11"/>
      <c r="E123" s="6"/>
      <c r="F123" s="12" t="str">
        <f t="shared" si="2"/>
        <v/>
      </c>
      <c r="G123" s="13" t="str">
        <f t="shared" si="3"/>
        <v/>
      </c>
      <c r="H123" s="9"/>
      <c r="I123" s="9"/>
      <c r="J123" s="14" t="str">
        <f>IF(E123="","",IFERROR(VLOOKUP(E123,TabProd,5,FALSE),0)+SUMIFS($H$5:H123,$E$5:E123,E123)-SUMIFS($I$5:I123,$E$5:E123,E123))</f>
        <v/>
      </c>
      <c r="K123" s="7"/>
      <c r="L123" s="7"/>
      <c r="M123" s="1" t="str">
        <f>IF(E123="","",E123&amp;"|"&amp;COUNTIF($E$5:E123,E123))</f>
        <v/>
      </c>
    </row>
    <row r="124" spans="2:13" x14ac:dyDescent="0.2">
      <c r="B124" s="10"/>
      <c r="C124" s="7"/>
      <c r="D124" s="11"/>
      <c r="E124" s="6"/>
      <c r="F124" s="12" t="str">
        <f t="shared" si="2"/>
        <v/>
      </c>
      <c r="G124" s="13" t="str">
        <f t="shared" si="3"/>
        <v/>
      </c>
      <c r="H124" s="9"/>
      <c r="I124" s="9"/>
      <c r="J124" s="14" t="str">
        <f>IF(E124="","",IFERROR(VLOOKUP(E124,TabProd,5,FALSE),0)+SUMIFS($H$5:H124,$E$5:E124,E124)-SUMIFS($I$5:I124,$E$5:E124,E124))</f>
        <v/>
      </c>
      <c r="K124" s="7"/>
      <c r="L124" s="7"/>
      <c r="M124" s="1" t="str">
        <f>IF(E124="","",E124&amp;"|"&amp;COUNTIF($E$5:E124,E124))</f>
        <v/>
      </c>
    </row>
    <row r="125" spans="2:13" x14ac:dyDescent="0.2">
      <c r="B125" s="10"/>
      <c r="C125" s="7"/>
      <c r="D125" s="11"/>
      <c r="E125" s="6"/>
      <c r="F125" s="12" t="str">
        <f t="shared" si="2"/>
        <v/>
      </c>
      <c r="G125" s="13" t="str">
        <f t="shared" si="3"/>
        <v/>
      </c>
      <c r="H125" s="9"/>
      <c r="I125" s="9"/>
      <c r="J125" s="14" t="str">
        <f>IF(E125="","",IFERROR(VLOOKUP(E125,TabProd,5,FALSE),0)+SUMIFS($H$5:H125,$E$5:E125,E125)-SUMIFS($I$5:I125,$E$5:E125,E125))</f>
        <v/>
      </c>
      <c r="K125" s="7"/>
      <c r="L125" s="7"/>
      <c r="M125" s="1" t="str">
        <f>IF(E125="","",E125&amp;"|"&amp;COUNTIF($E$5:E125,E125))</f>
        <v/>
      </c>
    </row>
    <row r="126" spans="2:13" x14ac:dyDescent="0.2">
      <c r="B126" s="10"/>
      <c r="C126" s="7"/>
      <c r="D126" s="11"/>
      <c r="E126" s="6"/>
      <c r="F126" s="12" t="str">
        <f t="shared" si="2"/>
        <v/>
      </c>
      <c r="G126" s="13" t="str">
        <f t="shared" si="3"/>
        <v/>
      </c>
      <c r="H126" s="9"/>
      <c r="I126" s="9"/>
      <c r="J126" s="14" t="str">
        <f>IF(E126="","",IFERROR(VLOOKUP(E126,TabProd,5,FALSE),0)+SUMIFS($H$5:H126,$E$5:E126,E126)-SUMIFS($I$5:I126,$E$5:E126,E126))</f>
        <v/>
      </c>
      <c r="K126" s="7"/>
      <c r="L126" s="7"/>
      <c r="M126" s="1" t="str">
        <f>IF(E126="","",E126&amp;"|"&amp;COUNTIF($E$5:E126,E126))</f>
        <v/>
      </c>
    </row>
    <row r="127" spans="2:13" x14ac:dyDescent="0.2">
      <c r="B127" s="10"/>
      <c r="C127" s="7"/>
      <c r="D127" s="11"/>
      <c r="E127" s="6"/>
      <c r="F127" s="12" t="str">
        <f t="shared" si="2"/>
        <v/>
      </c>
      <c r="G127" s="13" t="str">
        <f t="shared" si="3"/>
        <v/>
      </c>
      <c r="H127" s="9"/>
      <c r="I127" s="9"/>
      <c r="J127" s="14" t="str">
        <f>IF(E127="","",IFERROR(VLOOKUP(E127,TabProd,5,FALSE),0)+SUMIFS($H$5:H127,$E$5:E127,E127)-SUMIFS($I$5:I127,$E$5:E127,E127))</f>
        <v/>
      </c>
      <c r="K127" s="7"/>
      <c r="L127" s="7"/>
      <c r="M127" s="1" t="str">
        <f>IF(E127="","",E127&amp;"|"&amp;COUNTIF($E$5:E127,E127))</f>
        <v/>
      </c>
    </row>
    <row r="128" spans="2:13" x14ac:dyDescent="0.2">
      <c r="B128" s="10"/>
      <c r="C128" s="7"/>
      <c r="D128" s="11"/>
      <c r="E128" s="6"/>
      <c r="F128" s="12" t="str">
        <f t="shared" si="2"/>
        <v/>
      </c>
      <c r="G128" s="13" t="str">
        <f t="shared" si="3"/>
        <v/>
      </c>
      <c r="H128" s="9"/>
      <c r="I128" s="9"/>
      <c r="J128" s="14" t="str">
        <f>IF(E128="","",IFERROR(VLOOKUP(E128,TabProd,5,FALSE),0)+SUMIFS($H$5:H128,$E$5:E128,E128)-SUMIFS($I$5:I128,$E$5:E128,E128))</f>
        <v/>
      </c>
      <c r="K128" s="7"/>
      <c r="L128" s="7"/>
      <c r="M128" s="1" t="str">
        <f>IF(E128="","",E128&amp;"|"&amp;COUNTIF($E$5:E128,E128))</f>
        <v/>
      </c>
    </row>
    <row r="129" spans="2:13" x14ac:dyDescent="0.2">
      <c r="B129" s="10"/>
      <c r="C129" s="7"/>
      <c r="D129" s="11"/>
      <c r="E129" s="6"/>
      <c r="F129" s="12" t="str">
        <f t="shared" si="2"/>
        <v/>
      </c>
      <c r="G129" s="13" t="str">
        <f t="shared" si="3"/>
        <v/>
      </c>
      <c r="H129" s="9"/>
      <c r="I129" s="9"/>
      <c r="J129" s="14" t="str">
        <f>IF(E129="","",IFERROR(VLOOKUP(E129,TabProd,5,FALSE),0)+SUMIFS($H$5:H129,$E$5:E129,E129)-SUMIFS($I$5:I129,$E$5:E129,E129))</f>
        <v/>
      </c>
      <c r="K129" s="7"/>
      <c r="L129" s="7"/>
      <c r="M129" s="1" t="str">
        <f>IF(E129="","",E129&amp;"|"&amp;COUNTIF($E$5:E129,E129))</f>
        <v/>
      </c>
    </row>
    <row r="130" spans="2:13" x14ac:dyDescent="0.2">
      <c r="B130" s="10"/>
      <c r="C130" s="7"/>
      <c r="D130" s="11"/>
      <c r="E130" s="6"/>
      <c r="F130" s="12" t="str">
        <f t="shared" si="2"/>
        <v/>
      </c>
      <c r="G130" s="13" t="str">
        <f t="shared" si="3"/>
        <v/>
      </c>
      <c r="H130" s="9"/>
      <c r="I130" s="9"/>
      <c r="J130" s="14" t="str">
        <f>IF(E130="","",IFERROR(VLOOKUP(E130,TabProd,5,FALSE),0)+SUMIFS($H$5:H130,$E$5:E130,E130)-SUMIFS($I$5:I130,$E$5:E130,E130))</f>
        <v/>
      </c>
      <c r="K130" s="7"/>
      <c r="L130" s="7"/>
      <c r="M130" s="1" t="str">
        <f>IF(E130="","",E130&amp;"|"&amp;COUNTIF($E$5:E130,E130))</f>
        <v/>
      </c>
    </row>
    <row r="131" spans="2:13" x14ac:dyDescent="0.2">
      <c r="B131" s="10"/>
      <c r="C131" s="7"/>
      <c r="D131" s="11"/>
      <c r="E131" s="6"/>
      <c r="F131" s="12" t="str">
        <f t="shared" si="2"/>
        <v/>
      </c>
      <c r="G131" s="13" t="str">
        <f t="shared" si="3"/>
        <v/>
      </c>
      <c r="H131" s="9"/>
      <c r="I131" s="9"/>
      <c r="J131" s="14" t="str">
        <f>IF(E131="","",IFERROR(VLOOKUP(E131,TabProd,5,FALSE),0)+SUMIFS($H$5:H131,$E$5:E131,E131)-SUMIFS($I$5:I131,$E$5:E131,E131))</f>
        <v/>
      </c>
      <c r="K131" s="7"/>
      <c r="L131" s="7"/>
      <c r="M131" s="1" t="str">
        <f>IF(E131="","",E131&amp;"|"&amp;COUNTIF($E$5:E131,E131))</f>
        <v/>
      </c>
    </row>
    <row r="132" spans="2:13" x14ac:dyDescent="0.2">
      <c r="B132" s="10"/>
      <c r="C132" s="7"/>
      <c r="D132" s="11"/>
      <c r="E132" s="6"/>
      <c r="F132" s="12" t="str">
        <f t="shared" si="2"/>
        <v/>
      </c>
      <c r="G132" s="13" t="str">
        <f t="shared" si="3"/>
        <v/>
      </c>
      <c r="H132" s="9"/>
      <c r="I132" s="9"/>
      <c r="J132" s="14" t="str">
        <f>IF(E132="","",IFERROR(VLOOKUP(E132,TabProd,5,FALSE),0)+SUMIFS($H$5:H132,$E$5:E132,E132)-SUMIFS($I$5:I132,$E$5:E132,E132))</f>
        <v/>
      </c>
      <c r="K132" s="7"/>
      <c r="L132" s="7"/>
      <c r="M132" s="1" t="str">
        <f>IF(E132="","",E132&amp;"|"&amp;COUNTIF($E$5:E132,E132))</f>
        <v/>
      </c>
    </row>
    <row r="133" spans="2:13" x14ac:dyDescent="0.2">
      <c r="B133" s="10"/>
      <c r="C133" s="7"/>
      <c r="D133" s="11"/>
      <c r="E133" s="6"/>
      <c r="F133" s="12" t="str">
        <f t="shared" ref="F133:F196" si="4">IF(E133="","",IFERROR(VLOOKUP(E133,TabProd,2,FALSE),"Cod inexistent"))</f>
        <v/>
      </c>
      <c r="G133" s="13" t="str">
        <f t="shared" ref="G133:G196" si="5">IF(E133="","",IFERROR(VLOOKUP(E133,TabProd,3,FALSE),""))</f>
        <v/>
      </c>
      <c r="H133" s="9"/>
      <c r="I133" s="9"/>
      <c r="J133" s="14" t="str">
        <f>IF(E133="","",IFERROR(VLOOKUP(E133,TabProd,5,FALSE),0)+SUMIFS($H$5:H133,$E$5:E133,E133)-SUMIFS($I$5:I133,$E$5:E133,E133))</f>
        <v/>
      </c>
      <c r="K133" s="7"/>
      <c r="L133" s="7"/>
      <c r="M133" s="1" t="str">
        <f>IF(E133="","",E133&amp;"|"&amp;COUNTIF($E$5:E133,E133))</f>
        <v/>
      </c>
    </row>
    <row r="134" spans="2:13" x14ac:dyDescent="0.2">
      <c r="B134" s="10"/>
      <c r="C134" s="7"/>
      <c r="D134" s="11"/>
      <c r="E134" s="6"/>
      <c r="F134" s="12" t="str">
        <f t="shared" si="4"/>
        <v/>
      </c>
      <c r="G134" s="13" t="str">
        <f t="shared" si="5"/>
        <v/>
      </c>
      <c r="H134" s="9"/>
      <c r="I134" s="9"/>
      <c r="J134" s="14" t="str">
        <f>IF(E134="","",IFERROR(VLOOKUP(E134,TabProd,5,FALSE),0)+SUMIFS($H$5:H134,$E$5:E134,E134)-SUMIFS($I$5:I134,$E$5:E134,E134))</f>
        <v/>
      </c>
      <c r="K134" s="7"/>
      <c r="L134" s="7"/>
      <c r="M134" s="1" t="str">
        <f>IF(E134="","",E134&amp;"|"&amp;COUNTIF($E$5:E134,E134))</f>
        <v/>
      </c>
    </row>
    <row r="135" spans="2:13" x14ac:dyDescent="0.2">
      <c r="B135" s="10"/>
      <c r="C135" s="7"/>
      <c r="D135" s="11"/>
      <c r="E135" s="6"/>
      <c r="F135" s="12" t="str">
        <f t="shared" si="4"/>
        <v/>
      </c>
      <c r="G135" s="13" t="str">
        <f t="shared" si="5"/>
        <v/>
      </c>
      <c r="H135" s="9"/>
      <c r="I135" s="9"/>
      <c r="J135" s="14" t="str">
        <f>IF(E135="","",IFERROR(VLOOKUP(E135,TabProd,5,FALSE),0)+SUMIFS($H$5:H135,$E$5:E135,E135)-SUMIFS($I$5:I135,$E$5:E135,E135))</f>
        <v/>
      </c>
      <c r="K135" s="7"/>
      <c r="L135" s="7"/>
      <c r="M135" s="1" t="str">
        <f>IF(E135="","",E135&amp;"|"&amp;COUNTIF($E$5:E135,E135))</f>
        <v/>
      </c>
    </row>
    <row r="136" spans="2:13" x14ac:dyDescent="0.2">
      <c r="B136" s="10"/>
      <c r="C136" s="7"/>
      <c r="D136" s="11"/>
      <c r="E136" s="6"/>
      <c r="F136" s="12" t="str">
        <f t="shared" si="4"/>
        <v/>
      </c>
      <c r="G136" s="13" t="str">
        <f t="shared" si="5"/>
        <v/>
      </c>
      <c r="H136" s="9"/>
      <c r="I136" s="9"/>
      <c r="J136" s="14" t="str">
        <f>IF(E136="","",IFERROR(VLOOKUP(E136,TabProd,5,FALSE),0)+SUMIFS($H$5:H136,$E$5:E136,E136)-SUMIFS($I$5:I136,$E$5:E136,E136))</f>
        <v/>
      </c>
      <c r="K136" s="7"/>
      <c r="L136" s="7"/>
      <c r="M136" s="1" t="str">
        <f>IF(E136="","",E136&amp;"|"&amp;COUNTIF($E$5:E136,E136))</f>
        <v/>
      </c>
    </row>
    <row r="137" spans="2:13" x14ac:dyDescent="0.2">
      <c r="B137" s="10"/>
      <c r="C137" s="7"/>
      <c r="D137" s="11"/>
      <c r="E137" s="6"/>
      <c r="F137" s="12" t="str">
        <f t="shared" si="4"/>
        <v/>
      </c>
      <c r="G137" s="13" t="str">
        <f t="shared" si="5"/>
        <v/>
      </c>
      <c r="H137" s="9"/>
      <c r="I137" s="9"/>
      <c r="J137" s="14" t="str">
        <f>IF(E137="","",IFERROR(VLOOKUP(E137,TabProd,5,FALSE),0)+SUMIFS($H$5:H137,$E$5:E137,E137)-SUMIFS($I$5:I137,$E$5:E137,E137))</f>
        <v/>
      </c>
      <c r="K137" s="7"/>
      <c r="L137" s="7"/>
      <c r="M137" s="1" t="str">
        <f>IF(E137="","",E137&amp;"|"&amp;COUNTIF($E$5:E137,E137))</f>
        <v/>
      </c>
    </row>
    <row r="138" spans="2:13" x14ac:dyDescent="0.2">
      <c r="B138" s="10"/>
      <c r="C138" s="7"/>
      <c r="D138" s="11"/>
      <c r="E138" s="6"/>
      <c r="F138" s="12" t="str">
        <f t="shared" si="4"/>
        <v/>
      </c>
      <c r="G138" s="13" t="str">
        <f t="shared" si="5"/>
        <v/>
      </c>
      <c r="H138" s="9"/>
      <c r="I138" s="9"/>
      <c r="J138" s="14" t="str">
        <f>IF(E138="","",IFERROR(VLOOKUP(E138,TabProd,5,FALSE),0)+SUMIFS($H$5:H138,$E$5:E138,E138)-SUMIFS($I$5:I138,$E$5:E138,E138))</f>
        <v/>
      </c>
      <c r="K138" s="7"/>
      <c r="L138" s="7"/>
      <c r="M138" s="1" t="str">
        <f>IF(E138="","",E138&amp;"|"&amp;COUNTIF($E$5:E138,E138))</f>
        <v/>
      </c>
    </row>
    <row r="139" spans="2:13" x14ac:dyDescent="0.2">
      <c r="B139" s="10"/>
      <c r="C139" s="7"/>
      <c r="D139" s="11"/>
      <c r="E139" s="6"/>
      <c r="F139" s="12" t="str">
        <f t="shared" si="4"/>
        <v/>
      </c>
      <c r="G139" s="13" t="str">
        <f t="shared" si="5"/>
        <v/>
      </c>
      <c r="H139" s="9"/>
      <c r="I139" s="9"/>
      <c r="J139" s="14" t="str">
        <f>IF(E139="","",IFERROR(VLOOKUP(E139,TabProd,5,FALSE),0)+SUMIFS($H$5:H139,$E$5:E139,E139)-SUMIFS($I$5:I139,$E$5:E139,E139))</f>
        <v/>
      </c>
      <c r="K139" s="7"/>
      <c r="L139" s="7"/>
      <c r="M139" s="1" t="str">
        <f>IF(E139="","",E139&amp;"|"&amp;COUNTIF($E$5:E139,E139))</f>
        <v/>
      </c>
    </row>
    <row r="140" spans="2:13" x14ac:dyDescent="0.2">
      <c r="B140" s="10"/>
      <c r="C140" s="7"/>
      <c r="D140" s="11"/>
      <c r="E140" s="6"/>
      <c r="F140" s="12" t="str">
        <f t="shared" si="4"/>
        <v/>
      </c>
      <c r="G140" s="13" t="str">
        <f t="shared" si="5"/>
        <v/>
      </c>
      <c r="H140" s="9"/>
      <c r="I140" s="9"/>
      <c r="J140" s="14" t="str">
        <f>IF(E140="","",IFERROR(VLOOKUP(E140,TabProd,5,FALSE),0)+SUMIFS($H$5:H140,$E$5:E140,E140)-SUMIFS($I$5:I140,$E$5:E140,E140))</f>
        <v/>
      </c>
      <c r="K140" s="7"/>
      <c r="L140" s="7"/>
      <c r="M140" s="1" t="str">
        <f>IF(E140="","",E140&amp;"|"&amp;COUNTIF($E$5:E140,E140))</f>
        <v/>
      </c>
    </row>
    <row r="141" spans="2:13" x14ac:dyDescent="0.2">
      <c r="B141" s="10"/>
      <c r="C141" s="7"/>
      <c r="D141" s="11"/>
      <c r="E141" s="6"/>
      <c r="F141" s="12" t="str">
        <f t="shared" si="4"/>
        <v/>
      </c>
      <c r="G141" s="13" t="str">
        <f t="shared" si="5"/>
        <v/>
      </c>
      <c r="H141" s="9"/>
      <c r="I141" s="9"/>
      <c r="J141" s="14" t="str">
        <f>IF(E141="","",IFERROR(VLOOKUP(E141,TabProd,5,FALSE),0)+SUMIFS($H$5:H141,$E$5:E141,E141)-SUMIFS($I$5:I141,$E$5:E141,E141))</f>
        <v/>
      </c>
      <c r="K141" s="7"/>
      <c r="L141" s="7"/>
      <c r="M141" s="1" t="str">
        <f>IF(E141="","",E141&amp;"|"&amp;COUNTIF($E$5:E141,E141))</f>
        <v/>
      </c>
    </row>
    <row r="142" spans="2:13" x14ac:dyDescent="0.2">
      <c r="B142" s="10"/>
      <c r="C142" s="7"/>
      <c r="D142" s="11"/>
      <c r="E142" s="6"/>
      <c r="F142" s="12" t="str">
        <f t="shared" si="4"/>
        <v/>
      </c>
      <c r="G142" s="13" t="str">
        <f t="shared" si="5"/>
        <v/>
      </c>
      <c r="H142" s="9"/>
      <c r="I142" s="9"/>
      <c r="J142" s="14" t="str">
        <f>IF(E142="","",IFERROR(VLOOKUP(E142,TabProd,5,FALSE),0)+SUMIFS($H$5:H142,$E$5:E142,E142)-SUMIFS($I$5:I142,$E$5:E142,E142))</f>
        <v/>
      </c>
      <c r="K142" s="7"/>
      <c r="L142" s="7"/>
      <c r="M142" s="1" t="str">
        <f>IF(E142="","",E142&amp;"|"&amp;COUNTIF($E$5:E142,E142))</f>
        <v/>
      </c>
    </row>
    <row r="143" spans="2:13" x14ac:dyDescent="0.2">
      <c r="B143" s="10"/>
      <c r="C143" s="7"/>
      <c r="D143" s="11"/>
      <c r="E143" s="6"/>
      <c r="F143" s="12" t="str">
        <f t="shared" si="4"/>
        <v/>
      </c>
      <c r="G143" s="13" t="str">
        <f t="shared" si="5"/>
        <v/>
      </c>
      <c r="H143" s="9"/>
      <c r="I143" s="9"/>
      <c r="J143" s="14" t="str">
        <f>IF(E143="","",IFERROR(VLOOKUP(E143,TabProd,5,FALSE),0)+SUMIFS($H$5:H143,$E$5:E143,E143)-SUMIFS($I$5:I143,$E$5:E143,E143))</f>
        <v/>
      </c>
      <c r="K143" s="7"/>
      <c r="L143" s="7"/>
      <c r="M143" s="1" t="str">
        <f>IF(E143="","",E143&amp;"|"&amp;COUNTIF($E$5:E143,E143))</f>
        <v/>
      </c>
    </row>
    <row r="144" spans="2:13" x14ac:dyDescent="0.2">
      <c r="B144" s="10"/>
      <c r="C144" s="7"/>
      <c r="D144" s="11"/>
      <c r="E144" s="6"/>
      <c r="F144" s="12" t="str">
        <f t="shared" si="4"/>
        <v/>
      </c>
      <c r="G144" s="13" t="str">
        <f t="shared" si="5"/>
        <v/>
      </c>
      <c r="H144" s="9"/>
      <c r="I144" s="9"/>
      <c r="J144" s="14" t="str">
        <f>IF(E144="","",IFERROR(VLOOKUP(E144,TabProd,5,FALSE),0)+SUMIFS($H$5:H144,$E$5:E144,E144)-SUMIFS($I$5:I144,$E$5:E144,E144))</f>
        <v/>
      </c>
      <c r="K144" s="7"/>
      <c r="L144" s="7"/>
      <c r="M144" s="1" t="str">
        <f>IF(E144="","",E144&amp;"|"&amp;COUNTIF($E$5:E144,E144))</f>
        <v/>
      </c>
    </row>
    <row r="145" spans="2:13" x14ac:dyDescent="0.2">
      <c r="B145" s="10"/>
      <c r="C145" s="7"/>
      <c r="D145" s="11"/>
      <c r="E145" s="6"/>
      <c r="F145" s="12" t="str">
        <f t="shared" si="4"/>
        <v/>
      </c>
      <c r="G145" s="13" t="str">
        <f t="shared" si="5"/>
        <v/>
      </c>
      <c r="H145" s="9"/>
      <c r="I145" s="9"/>
      <c r="J145" s="14" t="str">
        <f>IF(E145="","",IFERROR(VLOOKUP(E145,TabProd,5,FALSE),0)+SUMIFS($H$5:H145,$E$5:E145,E145)-SUMIFS($I$5:I145,$E$5:E145,E145))</f>
        <v/>
      </c>
      <c r="K145" s="7"/>
      <c r="L145" s="7"/>
      <c r="M145" s="1" t="str">
        <f>IF(E145="","",E145&amp;"|"&amp;COUNTIF($E$5:E145,E145))</f>
        <v/>
      </c>
    </row>
    <row r="146" spans="2:13" x14ac:dyDescent="0.2">
      <c r="B146" s="10"/>
      <c r="C146" s="7"/>
      <c r="D146" s="11"/>
      <c r="E146" s="6"/>
      <c r="F146" s="12" t="str">
        <f t="shared" si="4"/>
        <v/>
      </c>
      <c r="G146" s="13" t="str">
        <f t="shared" si="5"/>
        <v/>
      </c>
      <c r="H146" s="9"/>
      <c r="I146" s="9"/>
      <c r="J146" s="14" t="str">
        <f>IF(E146="","",IFERROR(VLOOKUP(E146,TabProd,5,FALSE),0)+SUMIFS($H$5:H146,$E$5:E146,E146)-SUMIFS($I$5:I146,$E$5:E146,E146))</f>
        <v/>
      </c>
      <c r="K146" s="7"/>
      <c r="L146" s="7"/>
      <c r="M146" s="1" t="str">
        <f>IF(E146="","",E146&amp;"|"&amp;COUNTIF($E$5:E146,E146))</f>
        <v/>
      </c>
    </row>
    <row r="147" spans="2:13" x14ac:dyDescent="0.2">
      <c r="B147" s="10"/>
      <c r="C147" s="7"/>
      <c r="D147" s="11"/>
      <c r="E147" s="6"/>
      <c r="F147" s="12" t="str">
        <f t="shared" si="4"/>
        <v/>
      </c>
      <c r="G147" s="13" t="str">
        <f t="shared" si="5"/>
        <v/>
      </c>
      <c r="H147" s="9"/>
      <c r="I147" s="9"/>
      <c r="J147" s="14" t="str">
        <f>IF(E147="","",IFERROR(VLOOKUP(E147,TabProd,5,FALSE),0)+SUMIFS($H$5:H147,$E$5:E147,E147)-SUMIFS($I$5:I147,$E$5:E147,E147))</f>
        <v/>
      </c>
      <c r="K147" s="7"/>
      <c r="L147" s="7"/>
      <c r="M147" s="1" t="str">
        <f>IF(E147="","",E147&amp;"|"&amp;COUNTIF($E$5:E147,E147))</f>
        <v/>
      </c>
    </row>
    <row r="148" spans="2:13" x14ac:dyDescent="0.2">
      <c r="B148" s="10"/>
      <c r="C148" s="7"/>
      <c r="D148" s="11"/>
      <c r="E148" s="6"/>
      <c r="F148" s="12" t="str">
        <f t="shared" si="4"/>
        <v/>
      </c>
      <c r="G148" s="13" t="str">
        <f t="shared" si="5"/>
        <v/>
      </c>
      <c r="H148" s="9"/>
      <c r="I148" s="9"/>
      <c r="J148" s="14" t="str">
        <f>IF(E148="","",IFERROR(VLOOKUP(E148,TabProd,5,FALSE),0)+SUMIFS($H$5:H148,$E$5:E148,E148)-SUMIFS($I$5:I148,$E$5:E148,E148))</f>
        <v/>
      </c>
      <c r="K148" s="7"/>
      <c r="L148" s="7"/>
      <c r="M148" s="1" t="str">
        <f>IF(E148="","",E148&amp;"|"&amp;COUNTIF($E$5:E148,E148))</f>
        <v/>
      </c>
    </row>
    <row r="149" spans="2:13" x14ac:dyDescent="0.2">
      <c r="B149" s="10"/>
      <c r="C149" s="7"/>
      <c r="D149" s="11"/>
      <c r="E149" s="6"/>
      <c r="F149" s="12" t="str">
        <f t="shared" si="4"/>
        <v/>
      </c>
      <c r="G149" s="13" t="str">
        <f t="shared" si="5"/>
        <v/>
      </c>
      <c r="H149" s="9"/>
      <c r="I149" s="9"/>
      <c r="J149" s="14" t="str">
        <f>IF(E149="","",IFERROR(VLOOKUP(E149,TabProd,5,FALSE),0)+SUMIFS($H$5:H149,$E$5:E149,E149)-SUMIFS($I$5:I149,$E$5:E149,E149))</f>
        <v/>
      </c>
      <c r="K149" s="7"/>
      <c r="L149" s="7"/>
      <c r="M149" s="1" t="str">
        <f>IF(E149="","",E149&amp;"|"&amp;COUNTIF($E$5:E149,E149))</f>
        <v/>
      </c>
    </row>
    <row r="150" spans="2:13" x14ac:dyDescent="0.2">
      <c r="B150" s="10"/>
      <c r="C150" s="7"/>
      <c r="D150" s="11"/>
      <c r="E150" s="6"/>
      <c r="F150" s="12" t="str">
        <f t="shared" si="4"/>
        <v/>
      </c>
      <c r="G150" s="13" t="str">
        <f t="shared" si="5"/>
        <v/>
      </c>
      <c r="H150" s="9"/>
      <c r="I150" s="9"/>
      <c r="J150" s="14" t="str">
        <f>IF(E150="","",IFERROR(VLOOKUP(E150,TabProd,5,FALSE),0)+SUMIFS($H$5:H150,$E$5:E150,E150)-SUMIFS($I$5:I150,$E$5:E150,E150))</f>
        <v/>
      </c>
      <c r="K150" s="7"/>
      <c r="L150" s="7"/>
      <c r="M150" s="1" t="str">
        <f>IF(E150="","",E150&amp;"|"&amp;COUNTIF($E$5:E150,E150))</f>
        <v/>
      </c>
    </row>
    <row r="151" spans="2:13" x14ac:dyDescent="0.2">
      <c r="B151" s="10"/>
      <c r="C151" s="7"/>
      <c r="D151" s="11"/>
      <c r="E151" s="6"/>
      <c r="F151" s="12" t="str">
        <f t="shared" si="4"/>
        <v/>
      </c>
      <c r="G151" s="13" t="str">
        <f t="shared" si="5"/>
        <v/>
      </c>
      <c r="H151" s="9"/>
      <c r="I151" s="9"/>
      <c r="J151" s="14" t="str">
        <f>IF(E151="","",IFERROR(VLOOKUP(E151,TabProd,5,FALSE),0)+SUMIFS($H$5:H151,$E$5:E151,E151)-SUMIFS($I$5:I151,$E$5:E151,E151))</f>
        <v/>
      </c>
      <c r="K151" s="7"/>
      <c r="L151" s="7"/>
      <c r="M151" s="1" t="str">
        <f>IF(E151="","",E151&amp;"|"&amp;COUNTIF($E$5:E151,E151))</f>
        <v/>
      </c>
    </row>
    <row r="152" spans="2:13" x14ac:dyDescent="0.2">
      <c r="B152" s="10"/>
      <c r="C152" s="7"/>
      <c r="D152" s="11"/>
      <c r="E152" s="6"/>
      <c r="F152" s="12" t="str">
        <f t="shared" si="4"/>
        <v/>
      </c>
      <c r="G152" s="13" t="str">
        <f t="shared" si="5"/>
        <v/>
      </c>
      <c r="H152" s="9"/>
      <c r="I152" s="9"/>
      <c r="J152" s="14" t="str">
        <f>IF(E152="","",IFERROR(VLOOKUP(E152,TabProd,5,FALSE),0)+SUMIFS($H$5:H152,$E$5:E152,E152)-SUMIFS($I$5:I152,$E$5:E152,E152))</f>
        <v/>
      </c>
      <c r="K152" s="7"/>
      <c r="L152" s="7"/>
      <c r="M152" s="1" t="str">
        <f>IF(E152="","",E152&amp;"|"&amp;COUNTIF($E$5:E152,E152))</f>
        <v/>
      </c>
    </row>
    <row r="153" spans="2:13" x14ac:dyDescent="0.2">
      <c r="B153" s="10"/>
      <c r="C153" s="7"/>
      <c r="D153" s="11"/>
      <c r="E153" s="6"/>
      <c r="F153" s="12" t="str">
        <f t="shared" si="4"/>
        <v/>
      </c>
      <c r="G153" s="13" t="str">
        <f t="shared" si="5"/>
        <v/>
      </c>
      <c r="H153" s="9"/>
      <c r="I153" s="9"/>
      <c r="J153" s="14" t="str">
        <f>IF(E153="","",IFERROR(VLOOKUP(E153,TabProd,5,FALSE),0)+SUMIFS($H$5:H153,$E$5:E153,E153)-SUMIFS($I$5:I153,$E$5:E153,E153))</f>
        <v/>
      </c>
      <c r="K153" s="7"/>
      <c r="L153" s="7"/>
      <c r="M153" s="1" t="str">
        <f>IF(E153="","",E153&amp;"|"&amp;COUNTIF($E$5:E153,E153))</f>
        <v/>
      </c>
    </row>
    <row r="154" spans="2:13" x14ac:dyDescent="0.2">
      <c r="B154" s="10"/>
      <c r="C154" s="7"/>
      <c r="D154" s="11"/>
      <c r="E154" s="6"/>
      <c r="F154" s="12" t="str">
        <f t="shared" si="4"/>
        <v/>
      </c>
      <c r="G154" s="13" t="str">
        <f t="shared" si="5"/>
        <v/>
      </c>
      <c r="H154" s="9"/>
      <c r="I154" s="9"/>
      <c r="J154" s="14" t="str">
        <f>IF(E154="","",IFERROR(VLOOKUP(E154,TabProd,5,FALSE),0)+SUMIFS($H$5:H154,$E$5:E154,E154)-SUMIFS($I$5:I154,$E$5:E154,E154))</f>
        <v/>
      </c>
      <c r="K154" s="7"/>
      <c r="L154" s="7"/>
      <c r="M154" s="1" t="str">
        <f>IF(E154="","",E154&amp;"|"&amp;COUNTIF($E$5:E154,E154))</f>
        <v/>
      </c>
    </row>
    <row r="155" spans="2:13" x14ac:dyDescent="0.2">
      <c r="B155" s="10"/>
      <c r="C155" s="7"/>
      <c r="D155" s="11"/>
      <c r="E155" s="6"/>
      <c r="F155" s="12" t="str">
        <f t="shared" si="4"/>
        <v/>
      </c>
      <c r="G155" s="13" t="str">
        <f t="shared" si="5"/>
        <v/>
      </c>
      <c r="H155" s="9"/>
      <c r="I155" s="9"/>
      <c r="J155" s="14" t="str">
        <f>IF(E155="","",IFERROR(VLOOKUP(E155,TabProd,5,FALSE),0)+SUMIFS($H$5:H155,$E$5:E155,E155)-SUMIFS($I$5:I155,$E$5:E155,E155))</f>
        <v/>
      </c>
      <c r="K155" s="7"/>
      <c r="L155" s="7"/>
      <c r="M155" s="1" t="str">
        <f>IF(E155="","",E155&amp;"|"&amp;COUNTIF($E$5:E155,E155))</f>
        <v/>
      </c>
    </row>
    <row r="156" spans="2:13" x14ac:dyDescent="0.2">
      <c r="B156" s="10"/>
      <c r="C156" s="7"/>
      <c r="D156" s="11"/>
      <c r="E156" s="6"/>
      <c r="F156" s="12" t="str">
        <f t="shared" si="4"/>
        <v/>
      </c>
      <c r="G156" s="13" t="str">
        <f t="shared" si="5"/>
        <v/>
      </c>
      <c r="H156" s="9"/>
      <c r="I156" s="9"/>
      <c r="J156" s="14" t="str">
        <f>IF(E156="","",IFERROR(VLOOKUP(E156,TabProd,5,FALSE),0)+SUMIFS($H$5:H156,$E$5:E156,E156)-SUMIFS($I$5:I156,$E$5:E156,E156))</f>
        <v/>
      </c>
      <c r="K156" s="7"/>
      <c r="L156" s="7"/>
      <c r="M156" s="1" t="str">
        <f>IF(E156="","",E156&amp;"|"&amp;COUNTIF($E$5:E156,E156))</f>
        <v/>
      </c>
    </row>
    <row r="157" spans="2:13" x14ac:dyDescent="0.2">
      <c r="B157" s="10"/>
      <c r="C157" s="7"/>
      <c r="D157" s="11"/>
      <c r="E157" s="6"/>
      <c r="F157" s="12" t="str">
        <f t="shared" si="4"/>
        <v/>
      </c>
      <c r="G157" s="13" t="str">
        <f t="shared" si="5"/>
        <v/>
      </c>
      <c r="H157" s="9"/>
      <c r="I157" s="9"/>
      <c r="J157" s="14" t="str">
        <f>IF(E157="","",IFERROR(VLOOKUP(E157,TabProd,5,FALSE),0)+SUMIFS($H$5:H157,$E$5:E157,E157)-SUMIFS($I$5:I157,$E$5:E157,E157))</f>
        <v/>
      </c>
      <c r="K157" s="7"/>
      <c r="L157" s="7"/>
      <c r="M157" s="1" t="str">
        <f>IF(E157="","",E157&amp;"|"&amp;COUNTIF($E$5:E157,E157))</f>
        <v/>
      </c>
    </row>
    <row r="158" spans="2:13" x14ac:dyDescent="0.2">
      <c r="B158" s="10"/>
      <c r="C158" s="7"/>
      <c r="D158" s="11"/>
      <c r="E158" s="6"/>
      <c r="F158" s="12" t="str">
        <f t="shared" si="4"/>
        <v/>
      </c>
      <c r="G158" s="13" t="str">
        <f t="shared" si="5"/>
        <v/>
      </c>
      <c r="H158" s="9"/>
      <c r="I158" s="9"/>
      <c r="J158" s="14" t="str">
        <f>IF(E158="","",IFERROR(VLOOKUP(E158,TabProd,5,FALSE),0)+SUMIFS($H$5:H158,$E$5:E158,E158)-SUMIFS($I$5:I158,$E$5:E158,E158))</f>
        <v/>
      </c>
      <c r="K158" s="7"/>
      <c r="L158" s="7"/>
      <c r="M158" s="1" t="str">
        <f>IF(E158="","",E158&amp;"|"&amp;COUNTIF($E$5:E158,E158))</f>
        <v/>
      </c>
    </row>
    <row r="159" spans="2:13" x14ac:dyDescent="0.2">
      <c r="B159" s="10"/>
      <c r="C159" s="7"/>
      <c r="D159" s="11"/>
      <c r="E159" s="6"/>
      <c r="F159" s="12" t="str">
        <f t="shared" si="4"/>
        <v/>
      </c>
      <c r="G159" s="13" t="str">
        <f t="shared" si="5"/>
        <v/>
      </c>
      <c r="H159" s="9"/>
      <c r="I159" s="9"/>
      <c r="J159" s="14" t="str">
        <f>IF(E159="","",IFERROR(VLOOKUP(E159,TabProd,5,FALSE),0)+SUMIFS($H$5:H159,$E$5:E159,E159)-SUMIFS($I$5:I159,$E$5:E159,E159))</f>
        <v/>
      </c>
      <c r="K159" s="7"/>
      <c r="L159" s="7"/>
      <c r="M159" s="1" t="str">
        <f>IF(E159="","",E159&amp;"|"&amp;COUNTIF($E$5:E159,E159))</f>
        <v/>
      </c>
    </row>
    <row r="160" spans="2:13" x14ac:dyDescent="0.2">
      <c r="B160" s="10"/>
      <c r="C160" s="7"/>
      <c r="D160" s="11"/>
      <c r="E160" s="6"/>
      <c r="F160" s="12" t="str">
        <f t="shared" si="4"/>
        <v/>
      </c>
      <c r="G160" s="13" t="str">
        <f t="shared" si="5"/>
        <v/>
      </c>
      <c r="H160" s="9"/>
      <c r="I160" s="9"/>
      <c r="J160" s="14" t="str">
        <f>IF(E160="","",IFERROR(VLOOKUP(E160,TabProd,5,FALSE),0)+SUMIFS($H$5:H160,$E$5:E160,E160)-SUMIFS($I$5:I160,$E$5:E160,E160))</f>
        <v/>
      </c>
      <c r="K160" s="7"/>
      <c r="L160" s="7"/>
      <c r="M160" s="1" t="str">
        <f>IF(E160="","",E160&amp;"|"&amp;COUNTIF($E$5:E160,E160))</f>
        <v/>
      </c>
    </row>
    <row r="161" spans="2:13" x14ac:dyDescent="0.2">
      <c r="B161" s="10"/>
      <c r="C161" s="7"/>
      <c r="D161" s="11"/>
      <c r="E161" s="6"/>
      <c r="F161" s="12" t="str">
        <f t="shared" si="4"/>
        <v/>
      </c>
      <c r="G161" s="13" t="str">
        <f t="shared" si="5"/>
        <v/>
      </c>
      <c r="H161" s="9"/>
      <c r="I161" s="9"/>
      <c r="J161" s="14" t="str">
        <f>IF(E161="","",IFERROR(VLOOKUP(E161,TabProd,5,FALSE),0)+SUMIFS($H$5:H161,$E$5:E161,E161)-SUMIFS($I$5:I161,$E$5:E161,E161))</f>
        <v/>
      </c>
      <c r="K161" s="7"/>
      <c r="L161" s="7"/>
      <c r="M161" s="1" t="str">
        <f>IF(E161="","",E161&amp;"|"&amp;COUNTIF($E$5:E161,E161))</f>
        <v/>
      </c>
    </row>
    <row r="162" spans="2:13" x14ac:dyDescent="0.2">
      <c r="B162" s="10"/>
      <c r="C162" s="7"/>
      <c r="D162" s="11"/>
      <c r="E162" s="6"/>
      <c r="F162" s="12" t="str">
        <f t="shared" si="4"/>
        <v/>
      </c>
      <c r="G162" s="13" t="str">
        <f t="shared" si="5"/>
        <v/>
      </c>
      <c r="H162" s="9"/>
      <c r="I162" s="9"/>
      <c r="J162" s="14" t="str">
        <f>IF(E162="","",IFERROR(VLOOKUP(E162,TabProd,5,FALSE),0)+SUMIFS($H$5:H162,$E$5:E162,E162)-SUMIFS($I$5:I162,$E$5:E162,E162))</f>
        <v/>
      </c>
      <c r="K162" s="7"/>
      <c r="L162" s="7"/>
      <c r="M162" s="1" t="str">
        <f>IF(E162="","",E162&amp;"|"&amp;COUNTIF($E$5:E162,E162))</f>
        <v/>
      </c>
    </row>
    <row r="163" spans="2:13" x14ac:dyDescent="0.2">
      <c r="B163" s="10"/>
      <c r="C163" s="7"/>
      <c r="D163" s="11"/>
      <c r="E163" s="6"/>
      <c r="F163" s="12" t="str">
        <f t="shared" si="4"/>
        <v/>
      </c>
      <c r="G163" s="13" t="str">
        <f t="shared" si="5"/>
        <v/>
      </c>
      <c r="H163" s="9"/>
      <c r="I163" s="9"/>
      <c r="J163" s="14" t="str">
        <f>IF(E163="","",IFERROR(VLOOKUP(E163,TabProd,5,FALSE),0)+SUMIFS($H$5:H163,$E$5:E163,E163)-SUMIFS($I$5:I163,$E$5:E163,E163))</f>
        <v/>
      </c>
      <c r="K163" s="7"/>
      <c r="L163" s="7"/>
      <c r="M163" s="1" t="str">
        <f>IF(E163="","",E163&amp;"|"&amp;COUNTIF($E$5:E163,E163))</f>
        <v/>
      </c>
    </row>
    <row r="164" spans="2:13" x14ac:dyDescent="0.2">
      <c r="B164" s="10"/>
      <c r="C164" s="7"/>
      <c r="D164" s="11"/>
      <c r="E164" s="6"/>
      <c r="F164" s="12" t="str">
        <f t="shared" si="4"/>
        <v/>
      </c>
      <c r="G164" s="13" t="str">
        <f t="shared" si="5"/>
        <v/>
      </c>
      <c r="H164" s="9"/>
      <c r="I164" s="9"/>
      <c r="J164" s="14" t="str">
        <f>IF(E164="","",IFERROR(VLOOKUP(E164,TabProd,5,FALSE),0)+SUMIFS($H$5:H164,$E$5:E164,E164)-SUMIFS($I$5:I164,$E$5:E164,E164))</f>
        <v/>
      </c>
      <c r="K164" s="7"/>
      <c r="L164" s="7"/>
      <c r="M164" s="1" t="str">
        <f>IF(E164="","",E164&amp;"|"&amp;COUNTIF($E$5:E164,E164))</f>
        <v/>
      </c>
    </row>
    <row r="165" spans="2:13" x14ac:dyDescent="0.2">
      <c r="B165" s="10"/>
      <c r="C165" s="7"/>
      <c r="D165" s="11"/>
      <c r="E165" s="6"/>
      <c r="F165" s="12" t="str">
        <f t="shared" si="4"/>
        <v/>
      </c>
      <c r="G165" s="13" t="str">
        <f t="shared" si="5"/>
        <v/>
      </c>
      <c r="H165" s="9"/>
      <c r="I165" s="9"/>
      <c r="J165" s="14" t="str">
        <f>IF(E165="","",IFERROR(VLOOKUP(E165,TabProd,5,FALSE),0)+SUMIFS($H$5:H165,$E$5:E165,E165)-SUMIFS($I$5:I165,$E$5:E165,E165))</f>
        <v/>
      </c>
      <c r="K165" s="7"/>
      <c r="L165" s="7"/>
      <c r="M165" s="1" t="str">
        <f>IF(E165="","",E165&amp;"|"&amp;COUNTIF($E$5:E165,E165))</f>
        <v/>
      </c>
    </row>
    <row r="166" spans="2:13" x14ac:dyDescent="0.2">
      <c r="B166" s="10"/>
      <c r="C166" s="7"/>
      <c r="D166" s="11"/>
      <c r="E166" s="6"/>
      <c r="F166" s="12" t="str">
        <f t="shared" si="4"/>
        <v/>
      </c>
      <c r="G166" s="13" t="str">
        <f t="shared" si="5"/>
        <v/>
      </c>
      <c r="H166" s="9"/>
      <c r="I166" s="9"/>
      <c r="J166" s="14" t="str">
        <f>IF(E166="","",IFERROR(VLOOKUP(E166,TabProd,5,FALSE),0)+SUMIFS($H$5:H166,$E$5:E166,E166)-SUMIFS($I$5:I166,$E$5:E166,E166))</f>
        <v/>
      </c>
      <c r="K166" s="7"/>
      <c r="L166" s="7"/>
      <c r="M166" s="1" t="str">
        <f>IF(E166="","",E166&amp;"|"&amp;COUNTIF($E$5:E166,E166))</f>
        <v/>
      </c>
    </row>
    <row r="167" spans="2:13" x14ac:dyDescent="0.2">
      <c r="B167" s="10"/>
      <c r="C167" s="7"/>
      <c r="D167" s="11"/>
      <c r="E167" s="6"/>
      <c r="F167" s="12" t="str">
        <f t="shared" si="4"/>
        <v/>
      </c>
      <c r="G167" s="13" t="str">
        <f t="shared" si="5"/>
        <v/>
      </c>
      <c r="H167" s="9"/>
      <c r="I167" s="9"/>
      <c r="J167" s="14" t="str">
        <f>IF(E167="","",IFERROR(VLOOKUP(E167,TabProd,5,FALSE),0)+SUMIFS($H$5:H167,$E$5:E167,E167)-SUMIFS($I$5:I167,$E$5:E167,E167))</f>
        <v/>
      </c>
      <c r="K167" s="7"/>
      <c r="L167" s="7"/>
      <c r="M167" s="1" t="str">
        <f>IF(E167="","",E167&amp;"|"&amp;COUNTIF($E$5:E167,E167))</f>
        <v/>
      </c>
    </row>
    <row r="168" spans="2:13" x14ac:dyDescent="0.2">
      <c r="B168" s="10"/>
      <c r="C168" s="7"/>
      <c r="D168" s="11"/>
      <c r="E168" s="6"/>
      <c r="F168" s="12" t="str">
        <f t="shared" si="4"/>
        <v/>
      </c>
      <c r="G168" s="13" t="str">
        <f t="shared" si="5"/>
        <v/>
      </c>
      <c r="H168" s="9"/>
      <c r="I168" s="9"/>
      <c r="J168" s="14" t="str">
        <f>IF(E168="","",IFERROR(VLOOKUP(E168,TabProd,5,FALSE),0)+SUMIFS($H$5:H168,$E$5:E168,E168)-SUMIFS($I$5:I168,$E$5:E168,E168))</f>
        <v/>
      </c>
      <c r="K168" s="7"/>
      <c r="L168" s="7"/>
      <c r="M168" s="1" t="str">
        <f>IF(E168="","",E168&amp;"|"&amp;COUNTIF($E$5:E168,E168))</f>
        <v/>
      </c>
    </row>
    <row r="169" spans="2:13" x14ac:dyDescent="0.2">
      <c r="B169" s="10"/>
      <c r="C169" s="7"/>
      <c r="D169" s="11"/>
      <c r="E169" s="6"/>
      <c r="F169" s="12" t="str">
        <f t="shared" si="4"/>
        <v/>
      </c>
      <c r="G169" s="13" t="str">
        <f t="shared" si="5"/>
        <v/>
      </c>
      <c r="H169" s="9"/>
      <c r="I169" s="9"/>
      <c r="J169" s="14" t="str">
        <f>IF(E169="","",IFERROR(VLOOKUP(E169,TabProd,5,FALSE),0)+SUMIFS($H$5:H169,$E$5:E169,E169)-SUMIFS($I$5:I169,$E$5:E169,E169))</f>
        <v/>
      </c>
      <c r="K169" s="7"/>
      <c r="L169" s="7"/>
      <c r="M169" s="1" t="str">
        <f>IF(E169="","",E169&amp;"|"&amp;COUNTIF($E$5:E169,E169))</f>
        <v/>
      </c>
    </row>
    <row r="170" spans="2:13" x14ac:dyDescent="0.2">
      <c r="B170" s="10"/>
      <c r="C170" s="7"/>
      <c r="D170" s="11"/>
      <c r="E170" s="6"/>
      <c r="F170" s="12" t="str">
        <f t="shared" si="4"/>
        <v/>
      </c>
      <c r="G170" s="13" t="str">
        <f t="shared" si="5"/>
        <v/>
      </c>
      <c r="H170" s="9"/>
      <c r="I170" s="9"/>
      <c r="J170" s="14" t="str">
        <f>IF(E170="","",IFERROR(VLOOKUP(E170,TabProd,5,FALSE),0)+SUMIFS($H$5:H170,$E$5:E170,E170)-SUMIFS($I$5:I170,$E$5:E170,E170))</f>
        <v/>
      </c>
      <c r="K170" s="7"/>
      <c r="L170" s="7"/>
      <c r="M170" s="1" t="str">
        <f>IF(E170="","",E170&amp;"|"&amp;COUNTIF($E$5:E170,E170))</f>
        <v/>
      </c>
    </row>
    <row r="171" spans="2:13" x14ac:dyDescent="0.2">
      <c r="B171" s="10"/>
      <c r="C171" s="7"/>
      <c r="D171" s="11"/>
      <c r="E171" s="6"/>
      <c r="F171" s="12" t="str">
        <f t="shared" si="4"/>
        <v/>
      </c>
      <c r="G171" s="13" t="str">
        <f t="shared" si="5"/>
        <v/>
      </c>
      <c r="H171" s="9"/>
      <c r="I171" s="9"/>
      <c r="J171" s="14" t="str">
        <f>IF(E171="","",IFERROR(VLOOKUP(E171,TabProd,5,FALSE),0)+SUMIFS($H$5:H171,$E$5:E171,E171)-SUMIFS($I$5:I171,$E$5:E171,E171))</f>
        <v/>
      </c>
      <c r="K171" s="7"/>
      <c r="L171" s="7"/>
      <c r="M171" s="1" t="str">
        <f>IF(E171="","",E171&amp;"|"&amp;COUNTIF($E$5:E171,E171))</f>
        <v/>
      </c>
    </row>
    <row r="172" spans="2:13" x14ac:dyDescent="0.2">
      <c r="B172" s="10"/>
      <c r="C172" s="7"/>
      <c r="D172" s="11"/>
      <c r="E172" s="6"/>
      <c r="F172" s="12" t="str">
        <f t="shared" si="4"/>
        <v/>
      </c>
      <c r="G172" s="13" t="str">
        <f t="shared" si="5"/>
        <v/>
      </c>
      <c r="H172" s="9"/>
      <c r="I172" s="9"/>
      <c r="J172" s="14" t="str">
        <f>IF(E172="","",IFERROR(VLOOKUP(E172,TabProd,5,FALSE),0)+SUMIFS($H$5:H172,$E$5:E172,E172)-SUMIFS($I$5:I172,$E$5:E172,E172))</f>
        <v/>
      </c>
      <c r="K172" s="7"/>
      <c r="L172" s="7"/>
      <c r="M172" s="1" t="str">
        <f>IF(E172="","",E172&amp;"|"&amp;COUNTIF($E$5:E172,E172))</f>
        <v/>
      </c>
    </row>
    <row r="173" spans="2:13" x14ac:dyDescent="0.2">
      <c r="B173" s="10"/>
      <c r="C173" s="7"/>
      <c r="D173" s="11"/>
      <c r="E173" s="6"/>
      <c r="F173" s="12" t="str">
        <f t="shared" si="4"/>
        <v/>
      </c>
      <c r="G173" s="13" t="str">
        <f t="shared" si="5"/>
        <v/>
      </c>
      <c r="H173" s="9"/>
      <c r="I173" s="9"/>
      <c r="J173" s="14" t="str">
        <f>IF(E173="","",IFERROR(VLOOKUP(E173,TabProd,5,FALSE),0)+SUMIFS($H$5:H173,$E$5:E173,E173)-SUMIFS($I$5:I173,$E$5:E173,E173))</f>
        <v/>
      </c>
      <c r="K173" s="7"/>
      <c r="L173" s="7"/>
      <c r="M173" s="1" t="str">
        <f>IF(E173="","",E173&amp;"|"&amp;COUNTIF($E$5:E173,E173))</f>
        <v/>
      </c>
    </row>
    <row r="174" spans="2:13" x14ac:dyDescent="0.2">
      <c r="B174" s="10"/>
      <c r="C174" s="7"/>
      <c r="D174" s="11"/>
      <c r="E174" s="6"/>
      <c r="F174" s="12" t="str">
        <f t="shared" si="4"/>
        <v/>
      </c>
      <c r="G174" s="13" t="str">
        <f t="shared" si="5"/>
        <v/>
      </c>
      <c r="H174" s="9"/>
      <c r="I174" s="9"/>
      <c r="J174" s="14" t="str">
        <f>IF(E174="","",IFERROR(VLOOKUP(E174,TabProd,5,FALSE),0)+SUMIFS($H$5:H174,$E$5:E174,E174)-SUMIFS($I$5:I174,$E$5:E174,E174))</f>
        <v/>
      </c>
      <c r="K174" s="7"/>
      <c r="L174" s="7"/>
      <c r="M174" s="1" t="str">
        <f>IF(E174="","",E174&amp;"|"&amp;COUNTIF($E$5:E174,E174))</f>
        <v/>
      </c>
    </row>
    <row r="175" spans="2:13" x14ac:dyDescent="0.2">
      <c r="B175" s="10"/>
      <c r="C175" s="7"/>
      <c r="D175" s="11"/>
      <c r="E175" s="6"/>
      <c r="F175" s="12" t="str">
        <f t="shared" si="4"/>
        <v/>
      </c>
      <c r="G175" s="13" t="str">
        <f t="shared" si="5"/>
        <v/>
      </c>
      <c r="H175" s="9"/>
      <c r="I175" s="9"/>
      <c r="J175" s="14" t="str">
        <f>IF(E175="","",IFERROR(VLOOKUP(E175,TabProd,5,FALSE),0)+SUMIFS($H$5:H175,$E$5:E175,E175)-SUMIFS($I$5:I175,$E$5:E175,E175))</f>
        <v/>
      </c>
      <c r="K175" s="7"/>
      <c r="L175" s="7"/>
      <c r="M175" s="1" t="str">
        <f>IF(E175="","",E175&amp;"|"&amp;COUNTIF($E$5:E175,E175))</f>
        <v/>
      </c>
    </row>
    <row r="176" spans="2:13" x14ac:dyDescent="0.2">
      <c r="B176" s="10"/>
      <c r="C176" s="7"/>
      <c r="D176" s="11"/>
      <c r="E176" s="6"/>
      <c r="F176" s="12" t="str">
        <f t="shared" si="4"/>
        <v/>
      </c>
      <c r="G176" s="13" t="str">
        <f t="shared" si="5"/>
        <v/>
      </c>
      <c r="H176" s="9"/>
      <c r="I176" s="9"/>
      <c r="J176" s="14" t="str">
        <f>IF(E176="","",IFERROR(VLOOKUP(E176,TabProd,5,FALSE),0)+SUMIFS($H$5:H176,$E$5:E176,E176)-SUMIFS($I$5:I176,$E$5:E176,E176))</f>
        <v/>
      </c>
      <c r="K176" s="7"/>
      <c r="L176" s="7"/>
      <c r="M176" s="1" t="str">
        <f>IF(E176="","",E176&amp;"|"&amp;COUNTIF($E$5:E176,E176))</f>
        <v/>
      </c>
    </row>
    <row r="177" spans="2:13" x14ac:dyDescent="0.2">
      <c r="B177" s="10"/>
      <c r="C177" s="7"/>
      <c r="D177" s="11"/>
      <c r="E177" s="6"/>
      <c r="F177" s="12" t="str">
        <f t="shared" si="4"/>
        <v/>
      </c>
      <c r="G177" s="13" t="str">
        <f t="shared" si="5"/>
        <v/>
      </c>
      <c r="H177" s="9"/>
      <c r="I177" s="9"/>
      <c r="J177" s="14" t="str">
        <f>IF(E177="","",IFERROR(VLOOKUP(E177,TabProd,5,FALSE),0)+SUMIFS($H$5:H177,$E$5:E177,E177)-SUMIFS($I$5:I177,$E$5:E177,E177))</f>
        <v/>
      </c>
      <c r="K177" s="7"/>
      <c r="L177" s="7"/>
      <c r="M177" s="1" t="str">
        <f>IF(E177="","",E177&amp;"|"&amp;COUNTIF($E$5:E177,E177))</f>
        <v/>
      </c>
    </row>
    <row r="178" spans="2:13" x14ac:dyDescent="0.2">
      <c r="B178" s="10"/>
      <c r="C178" s="7"/>
      <c r="D178" s="11"/>
      <c r="E178" s="6"/>
      <c r="F178" s="12" t="str">
        <f t="shared" si="4"/>
        <v/>
      </c>
      <c r="G178" s="13" t="str">
        <f t="shared" si="5"/>
        <v/>
      </c>
      <c r="H178" s="9"/>
      <c r="I178" s="9"/>
      <c r="J178" s="14" t="str">
        <f>IF(E178="","",IFERROR(VLOOKUP(E178,TabProd,5,FALSE),0)+SUMIFS($H$5:H178,$E$5:E178,E178)-SUMIFS($I$5:I178,$E$5:E178,E178))</f>
        <v/>
      </c>
      <c r="K178" s="7"/>
      <c r="L178" s="7"/>
      <c r="M178" s="1" t="str">
        <f>IF(E178="","",E178&amp;"|"&amp;COUNTIF($E$5:E178,E178))</f>
        <v/>
      </c>
    </row>
    <row r="179" spans="2:13" x14ac:dyDescent="0.2">
      <c r="B179" s="10"/>
      <c r="C179" s="7"/>
      <c r="D179" s="11"/>
      <c r="E179" s="6"/>
      <c r="F179" s="12" t="str">
        <f t="shared" si="4"/>
        <v/>
      </c>
      <c r="G179" s="13" t="str">
        <f t="shared" si="5"/>
        <v/>
      </c>
      <c r="H179" s="9"/>
      <c r="I179" s="9"/>
      <c r="J179" s="14" t="str">
        <f>IF(E179="","",IFERROR(VLOOKUP(E179,TabProd,5,FALSE),0)+SUMIFS($H$5:H179,$E$5:E179,E179)-SUMIFS($I$5:I179,$E$5:E179,E179))</f>
        <v/>
      </c>
      <c r="K179" s="7"/>
      <c r="L179" s="7"/>
      <c r="M179" s="1" t="str">
        <f>IF(E179="","",E179&amp;"|"&amp;COUNTIF($E$5:E179,E179))</f>
        <v/>
      </c>
    </row>
    <row r="180" spans="2:13" x14ac:dyDescent="0.2">
      <c r="B180" s="10"/>
      <c r="C180" s="7"/>
      <c r="D180" s="11"/>
      <c r="E180" s="6"/>
      <c r="F180" s="12" t="str">
        <f t="shared" si="4"/>
        <v/>
      </c>
      <c r="G180" s="13" t="str">
        <f t="shared" si="5"/>
        <v/>
      </c>
      <c r="H180" s="9"/>
      <c r="I180" s="9"/>
      <c r="J180" s="14" t="str">
        <f>IF(E180="","",IFERROR(VLOOKUP(E180,TabProd,5,FALSE),0)+SUMIFS($H$5:H180,$E$5:E180,E180)-SUMIFS($I$5:I180,$E$5:E180,E180))</f>
        <v/>
      </c>
      <c r="K180" s="7"/>
      <c r="L180" s="7"/>
      <c r="M180" s="1" t="str">
        <f>IF(E180="","",E180&amp;"|"&amp;COUNTIF($E$5:E180,E180))</f>
        <v/>
      </c>
    </row>
    <row r="181" spans="2:13" x14ac:dyDescent="0.2">
      <c r="B181" s="10"/>
      <c r="C181" s="7"/>
      <c r="D181" s="11"/>
      <c r="E181" s="6"/>
      <c r="F181" s="12" t="str">
        <f t="shared" si="4"/>
        <v/>
      </c>
      <c r="G181" s="13" t="str">
        <f t="shared" si="5"/>
        <v/>
      </c>
      <c r="H181" s="9"/>
      <c r="I181" s="9"/>
      <c r="J181" s="14" t="str">
        <f>IF(E181="","",IFERROR(VLOOKUP(E181,TabProd,5,FALSE),0)+SUMIFS($H$5:H181,$E$5:E181,E181)-SUMIFS($I$5:I181,$E$5:E181,E181))</f>
        <v/>
      </c>
      <c r="K181" s="7"/>
      <c r="L181" s="7"/>
      <c r="M181" s="1" t="str">
        <f>IF(E181="","",E181&amp;"|"&amp;COUNTIF($E$5:E181,E181))</f>
        <v/>
      </c>
    </row>
    <row r="182" spans="2:13" x14ac:dyDescent="0.2">
      <c r="B182" s="10"/>
      <c r="C182" s="7"/>
      <c r="D182" s="11"/>
      <c r="E182" s="6"/>
      <c r="F182" s="12" t="str">
        <f t="shared" si="4"/>
        <v/>
      </c>
      <c r="G182" s="13" t="str">
        <f t="shared" si="5"/>
        <v/>
      </c>
      <c r="H182" s="9"/>
      <c r="I182" s="9"/>
      <c r="J182" s="14" t="str">
        <f>IF(E182="","",IFERROR(VLOOKUP(E182,TabProd,5,FALSE),0)+SUMIFS($H$5:H182,$E$5:E182,E182)-SUMIFS($I$5:I182,$E$5:E182,E182))</f>
        <v/>
      </c>
      <c r="K182" s="7"/>
      <c r="L182" s="7"/>
      <c r="M182" s="1" t="str">
        <f>IF(E182="","",E182&amp;"|"&amp;COUNTIF($E$5:E182,E182))</f>
        <v/>
      </c>
    </row>
    <row r="183" spans="2:13" x14ac:dyDescent="0.2">
      <c r="B183" s="10"/>
      <c r="C183" s="7"/>
      <c r="D183" s="11"/>
      <c r="E183" s="6"/>
      <c r="F183" s="12" t="str">
        <f t="shared" si="4"/>
        <v/>
      </c>
      <c r="G183" s="13" t="str">
        <f t="shared" si="5"/>
        <v/>
      </c>
      <c r="H183" s="9"/>
      <c r="I183" s="9"/>
      <c r="J183" s="14" t="str">
        <f>IF(E183="","",IFERROR(VLOOKUP(E183,TabProd,5,FALSE),0)+SUMIFS($H$5:H183,$E$5:E183,E183)-SUMIFS($I$5:I183,$E$5:E183,E183))</f>
        <v/>
      </c>
      <c r="K183" s="7"/>
      <c r="L183" s="7"/>
      <c r="M183" s="1" t="str">
        <f>IF(E183="","",E183&amp;"|"&amp;COUNTIF($E$5:E183,E183))</f>
        <v/>
      </c>
    </row>
    <row r="184" spans="2:13" x14ac:dyDescent="0.2">
      <c r="B184" s="10"/>
      <c r="C184" s="7"/>
      <c r="D184" s="11"/>
      <c r="E184" s="6"/>
      <c r="F184" s="12" t="str">
        <f t="shared" si="4"/>
        <v/>
      </c>
      <c r="G184" s="13" t="str">
        <f t="shared" si="5"/>
        <v/>
      </c>
      <c r="H184" s="9"/>
      <c r="I184" s="9"/>
      <c r="J184" s="14" t="str">
        <f>IF(E184="","",IFERROR(VLOOKUP(E184,TabProd,5,FALSE),0)+SUMIFS($H$5:H184,$E$5:E184,E184)-SUMIFS($I$5:I184,$E$5:E184,E184))</f>
        <v/>
      </c>
      <c r="K184" s="7"/>
      <c r="L184" s="7"/>
      <c r="M184" s="1" t="str">
        <f>IF(E184="","",E184&amp;"|"&amp;COUNTIF($E$5:E184,E184))</f>
        <v/>
      </c>
    </row>
    <row r="185" spans="2:13" x14ac:dyDescent="0.2">
      <c r="B185" s="10"/>
      <c r="C185" s="7"/>
      <c r="D185" s="11"/>
      <c r="E185" s="6"/>
      <c r="F185" s="12" t="str">
        <f t="shared" si="4"/>
        <v/>
      </c>
      <c r="G185" s="13" t="str">
        <f t="shared" si="5"/>
        <v/>
      </c>
      <c r="H185" s="9"/>
      <c r="I185" s="9"/>
      <c r="J185" s="14" t="str">
        <f>IF(E185="","",IFERROR(VLOOKUP(E185,TabProd,5,FALSE),0)+SUMIFS($H$5:H185,$E$5:E185,E185)-SUMIFS($I$5:I185,$E$5:E185,E185))</f>
        <v/>
      </c>
      <c r="K185" s="7"/>
      <c r="L185" s="7"/>
      <c r="M185" s="1" t="str">
        <f>IF(E185="","",E185&amp;"|"&amp;COUNTIF($E$5:E185,E185))</f>
        <v/>
      </c>
    </row>
    <row r="186" spans="2:13" x14ac:dyDescent="0.2">
      <c r="B186" s="10"/>
      <c r="C186" s="7"/>
      <c r="D186" s="11"/>
      <c r="E186" s="6"/>
      <c r="F186" s="12" t="str">
        <f t="shared" si="4"/>
        <v/>
      </c>
      <c r="G186" s="13" t="str">
        <f t="shared" si="5"/>
        <v/>
      </c>
      <c r="H186" s="9"/>
      <c r="I186" s="9"/>
      <c r="J186" s="14" t="str">
        <f>IF(E186="","",IFERROR(VLOOKUP(E186,TabProd,5,FALSE),0)+SUMIFS($H$5:H186,$E$5:E186,E186)-SUMIFS($I$5:I186,$E$5:E186,E186))</f>
        <v/>
      </c>
      <c r="K186" s="7"/>
      <c r="L186" s="7"/>
      <c r="M186" s="1" t="str">
        <f>IF(E186="","",E186&amp;"|"&amp;COUNTIF($E$5:E186,E186))</f>
        <v/>
      </c>
    </row>
    <row r="187" spans="2:13" x14ac:dyDescent="0.2">
      <c r="B187" s="10"/>
      <c r="C187" s="7"/>
      <c r="D187" s="11"/>
      <c r="E187" s="6"/>
      <c r="F187" s="12" t="str">
        <f t="shared" si="4"/>
        <v/>
      </c>
      <c r="G187" s="13" t="str">
        <f t="shared" si="5"/>
        <v/>
      </c>
      <c r="H187" s="9"/>
      <c r="I187" s="9"/>
      <c r="J187" s="14" t="str">
        <f>IF(E187="","",IFERROR(VLOOKUP(E187,TabProd,5,FALSE),0)+SUMIFS($H$5:H187,$E$5:E187,E187)-SUMIFS($I$5:I187,$E$5:E187,E187))</f>
        <v/>
      </c>
      <c r="K187" s="7"/>
      <c r="L187" s="7"/>
      <c r="M187" s="1" t="str">
        <f>IF(E187="","",E187&amp;"|"&amp;COUNTIF($E$5:E187,E187))</f>
        <v/>
      </c>
    </row>
    <row r="188" spans="2:13" x14ac:dyDescent="0.2">
      <c r="B188" s="10"/>
      <c r="C188" s="7"/>
      <c r="D188" s="11"/>
      <c r="E188" s="6"/>
      <c r="F188" s="12" t="str">
        <f t="shared" si="4"/>
        <v/>
      </c>
      <c r="G188" s="13" t="str">
        <f t="shared" si="5"/>
        <v/>
      </c>
      <c r="H188" s="9"/>
      <c r="I188" s="9"/>
      <c r="J188" s="14" t="str">
        <f>IF(E188="","",IFERROR(VLOOKUP(E188,TabProd,5,FALSE),0)+SUMIFS($H$5:H188,$E$5:E188,E188)-SUMIFS($I$5:I188,$E$5:E188,E188))</f>
        <v/>
      </c>
      <c r="K188" s="7"/>
      <c r="L188" s="7"/>
      <c r="M188" s="1" t="str">
        <f>IF(E188="","",E188&amp;"|"&amp;COUNTIF($E$5:E188,E188))</f>
        <v/>
      </c>
    </row>
    <row r="189" spans="2:13" x14ac:dyDescent="0.2">
      <c r="B189" s="10"/>
      <c r="C189" s="7"/>
      <c r="D189" s="11"/>
      <c r="E189" s="6"/>
      <c r="F189" s="12" t="str">
        <f t="shared" si="4"/>
        <v/>
      </c>
      <c r="G189" s="13" t="str">
        <f t="shared" si="5"/>
        <v/>
      </c>
      <c r="H189" s="9"/>
      <c r="I189" s="9"/>
      <c r="J189" s="14" t="str">
        <f>IF(E189="","",IFERROR(VLOOKUP(E189,TabProd,5,FALSE),0)+SUMIFS($H$5:H189,$E$5:E189,E189)-SUMIFS($I$5:I189,$E$5:E189,E189))</f>
        <v/>
      </c>
      <c r="K189" s="7"/>
      <c r="L189" s="7"/>
      <c r="M189" s="1" t="str">
        <f>IF(E189="","",E189&amp;"|"&amp;COUNTIF($E$5:E189,E189))</f>
        <v/>
      </c>
    </row>
    <row r="190" spans="2:13" x14ac:dyDescent="0.2">
      <c r="B190" s="10"/>
      <c r="C190" s="7"/>
      <c r="D190" s="11"/>
      <c r="E190" s="6"/>
      <c r="F190" s="12" t="str">
        <f t="shared" si="4"/>
        <v/>
      </c>
      <c r="G190" s="13" t="str">
        <f t="shared" si="5"/>
        <v/>
      </c>
      <c r="H190" s="9"/>
      <c r="I190" s="9"/>
      <c r="J190" s="14" t="str">
        <f>IF(E190="","",IFERROR(VLOOKUP(E190,TabProd,5,FALSE),0)+SUMIFS($H$5:H190,$E$5:E190,E190)-SUMIFS($I$5:I190,$E$5:E190,E190))</f>
        <v/>
      </c>
      <c r="K190" s="7"/>
      <c r="L190" s="7"/>
      <c r="M190" s="1" t="str">
        <f>IF(E190="","",E190&amp;"|"&amp;COUNTIF($E$5:E190,E190))</f>
        <v/>
      </c>
    </row>
    <row r="191" spans="2:13" x14ac:dyDescent="0.2">
      <c r="B191" s="10"/>
      <c r="C191" s="7"/>
      <c r="D191" s="11"/>
      <c r="E191" s="6"/>
      <c r="F191" s="12" t="str">
        <f t="shared" si="4"/>
        <v/>
      </c>
      <c r="G191" s="13" t="str">
        <f t="shared" si="5"/>
        <v/>
      </c>
      <c r="H191" s="9"/>
      <c r="I191" s="9"/>
      <c r="J191" s="14" t="str">
        <f>IF(E191="","",IFERROR(VLOOKUP(E191,TabProd,5,FALSE),0)+SUMIFS($H$5:H191,$E$5:E191,E191)-SUMIFS($I$5:I191,$E$5:E191,E191))</f>
        <v/>
      </c>
      <c r="K191" s="7"/>
      <c r="L191" s="7"/>
      <c r="M191" s="1" t="str">
        <f>IF(E191="","",E191&amp;"|"&amp;COUNTIF($E$5:E191,E191))</f>
        <v/>
      </c>
    </row>
    <row r="192" spans="2:13" x14ac:dyDescent="0.2">
      <c r="B192" s="10"/>
      <c r="C192" s="7"/>
      <c r="D192" s="11"/>
      <c r="E192" s="6"/>
      <c r="F192" s="12" t="str">
        <f t="shared" si="4"/>
        <v/>
      </c>
      <c r="G192" s="13" t="str">
        <f t="shared" si="5"/>
        <v/>
      </c>
      <c r="H192" s="9"/>
      <c r="I192" s="9"/>
      <c r="J192" s="14" t="str">
        <f>IF(E192="","",IFERROR(VLOOKUP(E192,TabProd,5,FALSE),0)+SUMIFS($H$5:H192,$E$5:E192,E192)-SUMIFS($I$5:I192,$E$5:E192,E192))</f>
        <v/>
      </c>
      <c r="K192" s="7"/>
      <c r="L192" s="7"/>
      <c r="M192" s="1" t="str">
        <f>IF(E192="","",E192&amp;"|"&amp;COUNTIF($E$5:E192,E192))</f>
        <v/>
      </c>
    </row>
    <row r="193" spans="2:13" x14ac:dyDescent="0.2">
      <c r="B193" s="10"/>
      <c r="C193" s="7"/>
      <c r="D193" s="11"/>
      <c r="E193" s="6"/>
      <c r="F193" s="12" t="str">
        <f t="shared" si="4"/>
        <v/>
      </c>
      <c r="G193" s="13" t="str">
        <f t="shared" si="5"/>
        <v/>
      </c>
      <c r="H193" s="9"/>
      <c r="I193" s="9"/>
      <c r="J193" s="14" t="str">
        <f>IF(E193="","",IFERROR(VLOOKUP(E193,TabProd,5,FALSE),0)+SUMIFS($H$5:H193,$E$5:E193,E193)-SUMIFS($I$5:I193,$E$5:E193,E193))</f>
        <v/>
      </c>
      <c r="K193" s="7"/>
      <c r="L193" s="7"/>
      <c r="M193" s="1" t="str">
        <f>IF(E193="","",E193&amp;"|"&amp;COUNTIF($E$5:E193,E193))</f>
        <v/>
      </c>
    </row>
    <row r="194" spans="2:13" x14ac:dyDescent="0.2">
      <c r="B194" s="10"/>
      <c r="C194" s="7"/>
      <c r="D194" s="11"/>
      <c r="E194" s="6"/>
      <c r="F194" s="12" t="str">
        <f t="shared" si="4"/>
        <v/>
      </c>
      <c r="G194" s="13" t="str">
        <f t="shared" si="5"/>
        <v/>
      </c>
      <c r="H194" s="9"/>
      <c r="I194" s="9"/>
      <c r="J194" s="14" t="str">
        <f>IF(E194="","",IFERROR(VLOOKUP(E194,TabProd,5,FALSE),0)+SUMIFS($H$5:H194,$E$5:E194,E194)-SUMIFS($I$5:I194,$E$5:E194,E194))</f>
        <v/>
      </c>
      <c r="K194" s="7"/>
      <c r="L194" s="7"/>
      <c r="M194" s="1" t="str">
        <f>IF(E194="","",E194&amp;"|"&amp;COUNTIF($E$5:E194,E194))</f>
        <v/>
      </c>
    </row>
    <row r="195" spans="2:13" x14ac:dyDescent="0.2">
      <c r="B195" s="10"/>
      <c r="C195" s="7"/>
      <c r="D195" s="11"/>
      <c r="E195" s="6"/>
      <c r="F195" s="12" t="str">
        <f t="shared" si="4"/>
        <v/>
      </c>
      <c r="G195" s="13" t="str">
        <f t="shared" si="5"/>
        <v/>
      </c>
      <c r="H195" s="9"/>
      <c r="I195" s="9"/>
      <c r="J195" s="14" t="str">
        <f>IF(E195="","",IFERROR(VLOOKUP(E195,TabProd,5,FALSE),0)+SUMIFS($H$5:H195,$E$5:E195,E195)-SUMIFS($I$5:I195,$E$5:E195,E195))</f>
        <v/>
      </c>
      <c r="K195" s="7"/>
      <c r="L195" s="7"/>
      <c r="M195" s="1" t="str">
        <f>IF(E195="","",E195&amp;"|"&amp;COUNTIF($E$5:E195,E195))</f>
        <v/>
      </c>
    </row>
    <row r="196" spans="2:13" x14ac:dyDescent="0.2">
      <c r="B196" s="10"/>
      <c r="C196" s="7"/>
      <c r="D196" s="11"/>
      <c r="E196" s="6"/>
      <c r="F196" s="12" t="str">
        <f t="shared" si="4"/>
        <v/>
      </c>
      <c r="G196" s="13" t="str">
        <f t="shared" si="5"/>
        <v/>
      </c>
      <c r="H196" s="9"/>
      <c r="I196" s="9"/>
      <c r="J196" s="14" t="str">
        <f>IF(E196="","",IFERROR(VLOOKUP(E196,TabProd,5,FALSE),0)+SUMIFS($H$5:H196,$E$5:E196,E196)-SUMIFS($I$5:I196,$E$5:E196,E196))</f>
        <v/>
      </c>
      <c r="K196" s="7"/>
      <c r="L196" s="7"/>
      <c r="M196" s="1" t="str">
        <f>IF(E196="","",E196&amp;"|"&amp;COUNTIF($E$5:E196,E196))</f>
        <v/>
      </c>
    </row>
    <row r="197" spans="2:13" x14ac:dyDescent="0.2">
      <c r="B197" s="10"/>
      <c r="C197" s="7"/>
      <c r="D197" s="11"/>
      <c r="E197" s="6"/>
      <c r="F197" s="12" t="str">
        <f t="shared" ref="F197:F260" si="6">IF(E197="","",IFERROR(VLOOKUP(E197,TabProd,2,FALSE),"Cod inexistent"))</f>
        <v/>
      </c>
      <c r="G197" s="13" t="str">
        <f t="shared" ref="G197:G260" si="7">IF(E197="","",IFERROR(VLOOKUP(E197,TabProd,3,FALSE),""))</f>
        <v/>
      </c>
      <c r="H197" s="9"/>
      <c r="I197" s="9"/>
      <c r="J197" s="14" t="str">
        <f>IF(E197="","",IFERROR(VLOOKUP(E197,TabProd,5,FALSE),0)+SUMIFS($H$5:H197,$E$5:E197,E197)-SUMIFS($I$5:I197,$E$5:E197,E197))</f>
        <v/>
      </c>
      <c r="K197" s="7"/>
      <c r="L197" s="7"/>
      <c r="M197" s="1" t="str">
        <f>IF(E197="","",E197&amp;"|"&amp;COUNTIF($E$5:E197,E197))</f>
        <v/>
      </c>
    </row>
    <row r="198" spans="2:13" x14ac:dyDescent="0.2">
      <c r="B198" s="10"/>
      <c r="C198" s="7"/>
      <c r="D198" s="11"/>
      <c r="E198" s="6"/>
      <c r="F198" s="12" t="str">
        <f t="shared" si="6"/>
        <v/>
      </c>
      <c r="G198" s="13" t="str">
        <f t="shared" si="7"/>
        <v/>
      </c>
      <c r="H198" s="9"/>
      <c r="I198" s="9"/>
      <c r="J198" s="14" t="str">
        <f>IF(E198="","",IFERROR(VLOOKUP(E198,TabProd,5,FALSE),0)+SUMIFS($H$5:H198,$E$5:E198,E198)-SUMIFS($I$5:I198,$E$5:E198,E198))</f>
        <v/>
      </c>
      <c r="K198" s="7"/>
      <c r="L198" s="7"/>
      <c r="M198" s="1" t="str">
        <f>IF(E198="","",E198&amp;"|"&amp;COUNTIF($E$5:E198,E198))</f>
        <v/>
      </c>
    </row>
    <row r="199" spans="2:13" x14ac:dyDescent="0.2">
      <c r="B199" s="10"/>
      <c r="C199" s="7"/>
      <c r="D199" s="11"/>
      <c r="E199" s="6"/>
      <c r="F199" s="12" t="str">
        <f t="shared" si="6"/>
        <v/>
      </c>
      <c r="G199" s="13" t="str">
        <f t="shared" si="7"/>
        <v/>
      </c>
      <c r="H199" s="9"/>
      <c r="I199" s="9"/>
      <c r="J199" s="14" t="str">
        <f>IF(E199="","",IFERROR(VLOOKUP(E199,TabProd,5,FALSE),0)+SUMIFS($H$5:H199,$E$5:E199,E199)-SUMIFS($I$5:I199,$E$5:E199,E199))</f>
        <v/>
      </c>
      <c r="K199" s="7"/>
      <c r="L199" s="7"/>
      <c r="M199" s="1" t="str">
        <f>IF(E199="","",E199&amp;"|"&amp;COUNTIF($E$5:E199,E199))</f>
        <v/>
      </c>
    </row>
    <row r="200" spans="2:13" x14ac:dyDescent="0.2">
      <c r="B200" s="10"/>
      <c r="C200" s="7"/>
      <c r="D200" s="11"/>
      <c r="E200" s="6"/>
      <c r="F200" s="12" t="str">
        <f t="shared" si="6"/>
        <v/>
      </c>
      <c r="G200" s="13" t="str">
        <f t="shared" si="7"/>
        <v/>
      </c>
      <c r="H200" s="9"/>
      <c r="I200" s="9"/>
      <c r="J200" s="14" t="str">
        <f>IF(E200="","",IFERROR(VLOOKUP(E200,TabProd,5,FALSE),0)+SUMIFS($H$5:H200,$E$5:E200,E200)-SUMIFS($I$5:I200,$E$5:E200,E200))</f>
        <v/>
      </c>
      <c r="K200" s="7"/>
      <c r="L200" s="7"/>
      <c r="M200" s="1" t="str">
        <f>IF(E200="","",E200&amp;"|"&amp;COUNTIF($E$5:E200,E200))</f>
        <v/>
      </c>
    </row>
    <row r="201" spans="2:13" x14ac:dyDescent="0.2">
      <c r="B201" s="10"/>
      <c r="C201" s="7"/>
      <c r="D201" s="11"/>
      <c r="E201" s="6"/>
      <c r="F201" s="12" t="str">
        <f t="shared" si="6"/>
        <v/>
      </c>
      <c r="G201" s="13" t="str">
        <f t="shared" si="7"/>
        <v/>
      </c>
      <c r="H201" s="9"/>
      <c r="I201" s="9"/>
      <c r="J201" s="14" t="str">
        <f>IF(E201="","",IFERROR(VLOOKUP(E201,TabProd,5,FALSE),0)+SUMIFS($H$5:H201,$E$5:E201,E201)-SUMIFS($I$5:I201,$E$5:E201,E201))</f>
        <v/>
      </c>
      <c r="K201" s="7"/>
      <c r="L201" s="7"/>
      <c r="M201" s="1" t="str">
        <f>IF(E201="","",E201&amp;"|"&amp;COUNTIF($E$5:E201,E201))</f>
        <v/>
      </c>
    </row>
    <row r="202" spans="2:13" x14ac:dyDescent="0.2">
      <c r="B202" s="10"/>
      <c r="C202" s="7"/>
      <c r="D202" s="11"/>
      <c r="E202" s="6"/>
      <c r="F202" s="12" t="str">
        <f t="shared" si="6"/>
        <v/>
      </c>
      <c r="G202" s="13" t="str">
        <f t="shared" si="7"/>
        <v/>
      </c>
      <c r="H202" s="9"/>
      <c r="I202" s="9"/>
      <c r="J202" s="14" t="str">
        <f>IF(E202="","",IFERROR(VLOOKUP(E202,TabProd,5,FALSE),0)+SUMIFS($H$5:H202,$E$5:E202,E202)-SUMIFS($I$5:I202,$E$5:E202,E202))</f>
        <v/>
      </c>
      <c r="K202" s="7"/>
      <c r="L202" s="7"/>
      <c r="M202" s="1" t="str">
        <f>IF(E202="","",E202&amp;"|"&amp;COUNTIF($E$5:E202,E202))</f>
        <v/>
      </c>
    </row>
    <row r="203" spans="2:13" x14ac:dyDescent="0.2">
      <c r="B203" s="10"/>
      <c r="C203" s="7"/>
      <c r="D203" s="11"/>
      <c r="E203" s="6"/>
      <c r="F203" s="12" t="str">
        <f t="shared" si="6"/>
        <v/>
      </c>
      <c r="G203" s="13" t="str">
        <f t="shared" si="7"/>
        <v/>
      </c>
      <c r="H203" s="9"/>
      <c r="I203" s="9"/>
      <c r="J203" s="14" t="str">
        <f>IF(E203="","",IFERROR(VLOOKUP(E203,TabProd,5,FALSE),0)+SUMIFS($H$5:H203,$E$5:E203,E203)-SUMIFS($I$5:I203,$E$5:E203,E203))</f>
        <v/>
      </c>
      <c r="K203" s="7"/>
      <c r="L203" s="7"/>
      <c r="M203" s="1" t="str">
        <f>IF(E203="","",E203&amp;"|"&amp;COUNTIF($E$5:E203,E203))</f>
        <v/>
      </c>
    </row>
    <row r="204" spans="2:13" x14ac:dyDescent="0.2">
      <c r="B204" s="10"/>
      <c r="C204" s="7"/>
      <c r="D204" s="11"/>
      <c r="E204" s="6"/>
      <c r="F204" s="12" t="str">
        <f t="shared" si="6"/>
        <v/>
      </c>
      <c r="G204" s="13" t="str">
        <f t="shared" si="7"/>
        <v/>
      </c>
      <c r="H204" s="9"/>
      <c r="I204" s="9"/>
      <c r="J204" s="14" t="str">
        <f>IF(E204="","",IFERROR(VLOOKUP(E204,TabProd,5,FALSE),0)+SUMIFS($H$5:H204,$E$5:E204,E204)-SUMIFS($I$5:I204,$E$5:E204,E204))</f>
        <v/>
      </c>
      <c r="K204" s="7"/>
      <c r="L204" s="7"/>
      <c r="M204" s="1" t="str">
        <f>IF(E204="","",E204&amp;"|"&amp;COUNTIF($E$5:E204,E204))</f>
        <v/>
      </c>
    </row>
    <row r="205" spans="2:13" x14ac:dyDescent="0.2">
      <c r="B205" s="10"/>
      <c r="C205" s="7"/>
      <c r="D205" s="11"/>
      <c r="E205" s="6"/>
      <c r="F205" s="12" t="str">
        <f t="shared" si="6"/>
        <v/>
      </c>
      <c r="G205" s="13" t="str">
        <f t="shared" si="7"/>
        <v/>
      </c>
      <c r="H205" s="9"/>
      <c r="I205" s="9"/>
      <c r="J205" s="14" t="str">
        <f>IF(E205="","",IFERROR(VLOOKUP(E205,TabProd,5,FALSE),0)+SUMIFS($H$5:H205,$E$5:E205,E205)-SUMIFS($I$5:I205,$E$5:E205,E205))</f>
        <v/>
      </c>
      <c r="K205" s="7"/>
      <c r="L205" s="7"/>
      <c r="M205" s="1" t="str">
        <f>IF(E205="","",E205&amp;"|"&amp;COUNTIF($E$5:E205,E205))</f>
        <v/>
      </c>
    </row>
    <row r="206" spans="2:13" x14ac:dyDescent="0.2">
      <c r="B206" s="10"/>
      <c r="C206" s="7"/>
      <c r="D206" s="11"/>
      <c r="E206" s="6"/>
      <c r="F206" s="12" t="str">
        <f t="shared" si="6"/>
        <v/>
      </c>
      <c r="G206" s="13" t="str">
        <f t="shared" si="7"/>
        <v/>
      </c>
      <c r="H206" s="9"/>
      <c r="I206" s="9"/>
      <c r="J206" s="14" t="str">
        <f>IF(E206="","",IFERROR(VLOOKUP(E206,TabProd,5,FALSE),0)+SUMIFS($H$5:H206,$E$5:E206,E206)-SUMIFS($I$5:I206,$E$5:E206,E206))</f>
        <v/>
      </c>
      <c r="K206" s="7"/>
      <c r="L206" s="7"/>
      <c r="M206" s="1" t="str">
        <f>IF(E206="","",E206&amp;"|"&amp;COUNTIF($E$5:E206,E206))</f>
        <v/>
      </c>
    </row>
    <row r="207" spans="2:13" x14ac:dyDescent="0.2">
      <c r="B207" s="10"/>
      <c r="C207" s="7"/>
      <c r="D207" s="11"/>
      <c r="E207" s="6"/>
      <c r="F207" s="12" t="str">
        <f t="shared" si="6"/>
        <v/>
      </c>
      <c r="G207" s="13" t="str">
        <f t="shared" si="7"/>
        <v/>
      </c>
      <c r="H207" s="9"/>
      <c r="I207" s="9"/>
      <c r="J207" s="14" t="str">
        <f>IF(E207="","",IFERROR(VLOOKUP(E207,TabProd,5,FALSE),0)+SUMIFS($H$5:H207,$E$5:E207,E207)-SUMIFS($I$5:I207,$E$5:E207,E207))</f>
        <v/>
      </c>
      <c r="K207" s="7"/>
      <c r="L207" s="7"/>
      <c r="M207" s="1" t="str">
        <f>IF(E207="","",E207&amp;"|"&amp;COUNTIF($E$5:E207,E207))</f>
        <v/>
      </c>
    </row>
    <row r="208" spans="2:13" x14ac:dyDescent="0.2">
      <c r="B208" s="10"/>
      <c r="C208" s="7"/>
      <c r="D208" s="11"/>
      <c r="E208" s="6"/>
      <c r="F208" s="12" t="str">
        <f t="shared" si="6"/>
        <v/>
      </c>
      <c r="G208" s="13" t="str">
        <f t="shared" si="7"/>
        <v/>
      </c>
      <c r="H208" s="9"/>
      <c r="I208" s="9"/>
      <c r="J208" s="14" t="str">
        <f>IF(E208="","",IFERROR(VLOOKUP(E208,TabProd,5,FALSE),0)+SUMIFS($H$5:H208,$E$5:E208,E208)-SUMIFS($I$5:I208,$E$5:E208,E208))</f>
        <v/>
      </c>
      <c r="K208" s="7"/>
      <c r="L208" s="7"/>
      <c r="M208" s="1" t="str">
        <f>IF(E208="","",E208&amp;"|"&amp;COUNTIF($E$5:E208,E208))</f>
        <v/>
      </c>
    </row>
    <row r="209" spans="2:13" x14ac:dyDescent="0.2">
      <c r="B209" s="10"/>
      <c r="C209" s="7"/>
      <c r="D209" s="11"/>
      <c r="E209" s="6"/>
      <c r="F209" s="12" t="str">
        <f t="shared" si="6"/>
        <v/>
      </c>
      <c r="G209" s="13" t="str">
        <f t="shared" si="7"/>
        <v/>
      </c>
      <c r="H209" s="9"/>
      <c r="I209" s="9"/>
      <c r="J209" s="14" t="str">
        <f>IF(E209="","",IFERROR(VLOOKUP(E209,TabProd,5,FALSE),0)+SUMIFS($H$5:H209,$E$5:E209,E209)-SUMIFS($I$5:I209,$E$5:E209,E209))</f>
        <v/>
      </c>
      <c r="K209" s="7"/>
      <c r="L209" s="7"/>
      <c r="M209" s="1" t="str">
        <f>IF(E209="","",E209&amp;"|"&amp;COUNTIF($E$5:E209,E209))</f>
        <v/>
      </c>
    </row>
    <row r="210" spans="2:13" x14ac:dyDescent="0.2">
      <c r="B210" s="10"/>
      <c r="C210" s="7"/>
      <c r="D210" s="11"/>
      <c r="E210" s="6"/>
      <c r="F210" s="12" t="str">
        <f t="shared" si="6"/>
        <v/>
      </c>
      <c r="G210" s="13" t="str">
        <f t="shared" si="7"/>
        <v/>
      </c>
      <c r="H210" s="9"/>
      <c r="I210" s="9"/>
      <c r="J210" s="14" t="str">
        <f>IF(E210="","",IFERROR(VLOOKUP(E210,TabProd,5,FALSE),0)+SUMIFS($H$5:H210,$E$5:E210,E210)-SUMIFS($I$5:I210,$E$5:E210,E210))</f>
        <v/>
      </c>
      <c r="K210" s="7"/>
      <c r="L210" s="7"/>
      <c r="M210" s="1" t="str">
        <f>IF(E210="","",E210&amp;"|"&amp;COUNTIF($E$5:E210,E210))</f>
        <v/>
      </c>
    </row>
    <row r="211" spans="2:13" x14ac:dyDescent="0.2">
      <c r="B211" s="10"/>
      <c r="C211" s="7"/>
      <c r="D211" s="11"/>
      <c r="E211" s="6"/>
      <c r="F211" s="12" t="str">
        <f t="shared" si="6"/>
        <v/>
      </c>
      <c r="G211" s="13" t="str">
        <f t="shared" si="7"/>
        <v/>
      </c>
      <c r="H211" s="9"/>
      <c r="I211" s="9"/>
      <c r="J211" s="14" t="str">
        <f>IF(E211="","",IFERROR(VLOOKUP(E211,TabProd,5,FALSE),0)+SUMIFS($H$5:H211,$E$5:E211,E211)-SUMIFS($I$5:I211,$E$5:E211,E211))</f>
        <v/>
      </c>
      <c r="K211" s="7"/>
      <c r="L211" s="7"/>
      <c r="M211" s="1" t="str">
        <f>IF(E211="","",E211&amp;"|"&amp;COUNTIF($E$5:E211,E211))</f>
        <v/>
      </c>
    </row>
    <row r="212" spans="2:13" x14ac:dyDescent="0.2">
      <c r="B212" s="10"/>
      <c r="C212" s="7"/>
      <c r="D212" s="11"/>
      <c r="E212" s="6"/>
      <c r="F212" s="12" t="str">
        <f t="shared" si="6"/>
        <v/>
      </c>
      <c r="G212" s="13" t="str">
        <f t="shared" si="7"/>
        <v/>
      </c>
      <c r="H212" s="9"/>
      <c r="I212" s="9"/>
      <c r="J212" s="14" t="str">
        <f>IF(E212="","",IFERROR(VLOOKUP(E212,TabProd,5,FALSE),0)+SUMIFS($H$5:H212,$E$5:E212,E212)-SUMIFS($I$5:I212,$E$5:E212,E212))</f>
        <v/>
      </c>
      <c r="K212" s="7"/>
      <c r="L212" s="7"/>
      <c r="M212" s="1" t="str">
        <f>IF(E212="","",E212&amp;"|"&amp;COUNTIF($E$5:E212,E212))</f>
        <v/>
      </c>
    </row>
    <row r="213" spans="2:13" x14ac:dyDescent="0.2">
      <c r="B213" s="10"/>
      <c r="C213" s="7"/>
      <c r="D213" s="11"/>
      <c r="E213" s="6"/>
      <c r="F213" s="12" t="str">
        <f t="shared" si="6"/>
        <v/>
      </c>
      <c r="G213" s="13" t="str">
        <f t="shared" si="7"/>
        <v/>
      </c>
      <c r="H213" s="9"/>
      <c r="I213" s="9"/>
      <c r="J213" s="14" t="str">
        <f>IF(E213="","",IFERROR(VLOOKUP(E213,TabProd,5,FALSE),0)+SUMIFS($H$5:H213,$E$5:E213,E213)-SUMIFS($I$5:I213,$E$5:E213,E213))</f>
        <v/>
      </c>
      <c r="K213" s="7"/>
      <c r="L213" s="7"/>
      <c r="M213" s="1" t="str">
        <f>IF(E213="","",E213&amp;"|"&amp;COUNTIF($E$5:E213,E213))</f>
        <v/>
      </c>
    </row>
    <row r="214" spans="2:13" x14ac:dyDescent="0.2">
      <c r="B214" s="10"/>
      <c r="C214" s="7"/>
      <c r="D214" s="11"/>
      <c r="E214" s="6"/>
      <c r="F214" s="12" t="str">
        <f t="shared" si="6"/>
        <v/>
      </c>
      <c r="G214" s="13" t="str">
        <f t="shared" si="7"/>
        <v/>
      </c>
      <c r="H214" s="9"/>
      <c r="I214" s="9"/>
      <c r="J214" s="14" t="str">
        <f>IF(E214="","",IFERROR(VLOOKUP(E214,TabProd,5,FALSE),0)+SUMIFS($H$5:H214,$E$5:E214,E214)-SUMIFS($I$5:I214,$E$5:E214,E214))</f>
        <v/>
      </c>
      <c r="K214" s="7"/>
      <c r="L214" s="7"/>
      <c r="M214" s="1" t="str">
        <f>IF(E214="","",E214&amp;"|"&amp;COUNTIF($E$5:E214,E214))</f>
        <v/>
      </c>
    </row>
    <row r="215" spans="2:13" x14ac:dyDescent="0.2">
      <c r="B215" s="10"/>
      <c r="C215" s="7"/>
      <c r="D215" s="11"/>
      <c r="E215" s="6"/>
      <c r="F215" s="12" t="str">
        <f t="shared" si="6"/>
        <v/>
      </c>
      <c r="G215" s="13" t="str">
        <f t="shared" si="7"/>
        <v/>
      </c>
      <c r="H215" s="9"/>
      <c r="I215" s="9"/>
      <c r="J215" s="14" t="str">
        <f>IF(E215="","",IFERROR(VLOOKUP(E215,TabProd,5,FALSE),0)+SUMIFS($H$5:H215,$E$5:E215,E215)-SUMIFS($I$5:I215,$E$5:E215,E215))</f>
        <v/>
      </c>
      <c r="K215" s="7"/>
      <c r="L215" s="7"/>
      <c r="M215" s="1" t="str">
        <f>IF(E215="","",E215&amp;"|"&amp;COUNTIF($E$5:E215,E215))</f>
        <v/>
      </c>
    </row>
    <row r="216" spans="2:13" x14ac:dyDescent="0.2">
      <c r="B216" s="10"/>
      <c r="C216" s="7"/>
      <c r="D216" s="11"/>
      <c r="E216" s="6"/>
      <c r="F216" s="12" t="str">
        <f t="shared" si="6"/>
        <v/>
      </c>
      <c r="G216" s="13" t="str">
        <f t="shared" si="7"/>
        <v/>
      </c>
      <c r="H216" s="9"/>
      <c r="I216" s="9"/>
      <c r="J216" s="14" t="str">
        <f>IF(E216="","",IFERROR(VLOOKUP(E216,TabProd,5,FALSE),0)+SUMIFS($H$5:H216,$E$5:E216,E216)-SUMIFS($I$5:I216,$E$5:E216,E216))</f>
        <v/>
      </c>
      <c r="K216" s="7"/>
      <c r="L216" s="7"/>
      <c r="M216" s="1" t="str">
        <f>IF(E216="","",E216&amp;"|"&amp;COUNTIF($E$5:E216,E216))</f>
        <v/>
      </c>
    </row>
    <row r="217" spans="2:13" x14ac:dyDescent="0.2">
      <c r="B217" s="10"/>
      <c r="C217" s="7"/>
      <c r="D217" s="11"/>
      <c r="E217" s="6"/>
      <c r="F217" s="12" t="str">
        <f t="shared" si="6"/>
        <v/>
      </c>
      <c r="G217" s="13" t="str">
        <f t="shared" si="7"/>
        <v/>
      </c>
      <c r="H217" s="9"/>
      <c r="I217" s="9"/>
      <c r="J217" s="14" t="str">
        <f>IF(E217="","",IFERROR(VLOOKUP(E217,TabProd,5,FALSE),0)+SUMIFS($H$5:H217,$E$5:E217,E217)-SUMIFS($I$5:I217,$E$5:E217,E217))</f>
        <v/>
      </c>
      <c r="K217" s="7"/>
      <c r="L217" s="7"/>
      <c r="M217" s="1" t="str">
        <f>IF(E217="","",E217&amp;"|"&amp;COUNTIF($E$5:E217,E217))</f>
        <v/>
      </c>
    </row>
    <row r="218" spans="2:13" x14ac:dyDescent="0.2">
      <c r="B218" s="10"/>
      <c r="C218" s="7"/>
      <c r="D218" s="11"/>
      <c r="E218" s="6"/>
      <c r="F218" s="12" t="str">
        <f t="shared" si="6"/>
        <v/>
      </c>
      <c r="G218" s="13" t="str">
        <f t="shared" si="7"/>
        <v/>
      </c>
      <c r="H218" s="9"/>
      <c r="I218" s="9"/>
      <c r="J218" s="14" t="str">
        <f>IF(E218="","",IFERROR(VLOOKUP(E218,TabProd,5,FALSE),0)+SUMIFS($H$5:H218,$E$5:E218,E218)-SUMIFS($I$5:I218,$E$5:E218,E218))</f>
        <v/>
      </c>
      <c r="K218" s="7"/>
      <c r="L218" s="7"/>
      <c r="M218" s="1" t="str">
        <f>IF(E218="","",E218&amp;"|"&amp;COUNTIF($E$5:E218,E218))</f>
        <v/>
      </c>
    </row>
    <row r="219" spans="2:13" x14ac:dyDescent="0.2">
      <c r="B219" s="10"/>
      <c r="C219" s="7"/>
      <c r="D219" s="11"/>
      <c r="E219" s="6"/>
      <c r="F219" s="12" t="str">
        <f t="shared" si="6"/>
        <v/>
      </c>
      <c r="G219" s="13" t="str">
        <f t="shared" si="7"/>
        <v/>
      </c>
      <c r="H219" s="9"/>
      <c r="I219" s="9"/>
      <c r="J219" s="14" t="str">
        <f>IF(E219="","",IFERROR(VLOOKUP(E219,TabProd,5,FALSE),0)+SUMIFS($H$5:H219,$E$5:E219,E219)-SUMIFS($I$5:I219,$E$5:E219,E219))</f>
        <v/>
      </c>
      <c r="K219" s="7"/>
      <c r="L219" s="7"/>
      <c r="M219" s="1" t="str">
        <f>IF(E219="","",E219&amp;"|"&amp;COUNTIF($E$5:E219,E219))</f>
        <v/>
      </c>
    </row>
    <row r="220" spans="2:13" x14ac:dyDescent="0.2">
      <c r="B220" s="10"/>
      <c r="C220" s="7"/>
      <c r="D220" s="11"/>
      <c r="E220" s="6"/>
      <c r="F220" s="12" t="str">
        <f t="shared" si="6"/>
        <v/>
      </c>
      <c r="G220" s="13" t="str">
        <f t="shared" si="7"/>
        <v/>
      </c>
      <c r="H220" s="9"/>
      <c r="I220" s="9"/>
      <c r="J220" s="14" t="str">
        <f>IF(E220="","",IFERROR(VLOOKUP(E220,TabProd,5,FALSE),0)+SUMIFS($H$5:H220,$E$5:E220,E220)-SUMIFS($I$5:I220,$E$5:E220,E220))</f>
        <v/>
      </c>
      <c r="K220" s="7"/>
      <c r="L220" s="7"/>
      <c r="M220" s="1" t="str">
        <f>IF(E220="","",E220&amp;"|"&amp;COUNTIF($E$5:E220,E220))</f>
        <v/>
      </c>
    </row>
    <row r="221" spans="2:13" x14ac:dyDescent="0.2">
      <c r="B221" s="10"/>
      <c r="C221" s="7"/>
      <c r="D221" s="11"/>
      <c r="E221" s="6"/>
      <c r="F221" s="12" t="str">
        <f t="shared" si="6"/>
        <v/>
      </c>
      <c r="G221" s="13" t="str">
        <f t="shared" si="7"/>
        <v/>
      </c>
      <c r="H221" s="9"/>
      <c r="I221" s="9"/>
      <c r="J221" s="14" t="str">
        <f>IF(E221="","",IFERROR(VLOOKUP(E221,TabProd,5,FALSE),0)+SUMIFS($H$5:H221,$E$5:E221,E221)-SUMIFS($I$5:I221,$E$5:E221,E221))</f>
        <v/>
      </c>
      <c r="K221" s="7"/>
      <c r="L221" s="7"/>
      <c r="M221" s="1" t="str">
        <f>IF(E221="","",E221&amp;"|"&amp;COUNTIF($E$5:E221,E221))</f>
        <v/>
      </c>
    </row>
    <row r="222" spans="2:13" x14ac:dyDescent="0.2">
      <c r="B222" s="10"/>
      <c r="C222" s="7"/>
      <c r="D222" s="11"/>
      <c r="E222" s="6"/>
      <c r="F222" s="12" t="str">
        <f t="shared" si="6"/>
        <v/>
      </c>
      <c r="G222" s="13" t="str">
        <f t="shared" si="7"/>
        <v/>
      </c>
      <c r="H222" s="9"/>
      <c r="I222" s="9"/>
      <c r="J222" s="14" t="str">
        <f>IF(E222="","",IFERROR(VLOOKUP(E222,TabProd,5,FALSE),0)+SUMIFS($H$5:H222,$E$5:E222,E222)-SUMIFS($I$5:I222,$E$5:E222,E222))</f>
        <v/>
      </c>
      <c r="K222" s="7"/>
      <c r="L222" s="7"/>
      <c r="M222" s="1" t="str">
        <f>IF(E222="","",E222&amp;"|"&amp;COUNTIF($E$5:E222,E222))</f>
        <v/>
      </c>
    </row>
    <row r="223" spans="2:13" x14ac:dyDescent="0.2">
      <c r="B223" s="10"/>
      <c r="C223" s="7"/>
      <c r="D223" s="11"/>
      <c r="E223" s="6"/>
      <c r="F223" s="12" t="str">
        <f t="shared" si="6"/>
        <v/>
      </c>
      <c r="G223" s="13" t="str">
        <f t="shared" si="7"/>
        <v/>
      </c>
      <c r="H223" s="9"/>
      <c r="I223" s="9"/>
      <c r="J223" s="14" t="str">
        <f>IF(E223="","",IFERROR(VLOOKUP(E223,TabProd,5,FALSE),0)+SUMIFS($H$5:H223,$E$5:E223,E223)-SUMIFS($I$5:I223,$E$5:E223,E223))</f>
        <v/>
      </c>
      <c r="K223" s="7"/>
      <c r="L223" s="7"/>
      <c r="M223" s="1" t="str">
        <f>IF(E223="","",E223&amp;"|"&amp;COUNTIF($E$5:E223,E223))</f>
        <v/>
      </c>
    </row>
    <row r="224" spans="2:13" x14ac:dyDescent="0.2">
      <c r="B224" s="10"/>
      <c r="C224" s="7"/>
      <c r="D224" s="11"/>
      <c r="E224" s="6"/>
      <c r="F224" s="12" t="str">
        <f t="shared" si="6"/>
        <v/>
      </c>
      <c r="G224" s="13" t="str">
        <f t="shared" si="7"/>
        <v/>
      </c>
      <c r="H224" s="9"/>
      <c r="I224" s="9"/>
      <c r="J224" s="14" t="str">
        <f>IF(E224="","",IFERROR(VLOOKUP(E224,TabProd,5,FALSE),0)+SUMIFS($H$5:H224,$E$5:E224,E224)-SUMIFS($I$5:I224,$E$5:E224,E224))</f>
        <v/>
      </c>
      <c r="K224" s="7"/>
      <c r="L224" s="7"/>
      <c r="M224" s="1" t="str">
        <f>IF(E224="","",E224&amp;"|"&amp;COUNTIF($E$5:E224,E224))</f>
        <v/>
      </c>
    </row>
    <row r="225" spans="2:13" x14ac:dyDescent="0.2">
      <c r="B225" s="10"/>
      <c r="C225" s="7"/>
      <c r="D225" s="11"/>
      <c r="E225" s="6"/>
      <c r="F225" s="12" t="str">
        <f t="shared" si="6"/>
        <v/>
      </c>
      <c r="G225" s="13" t="str">
        <f t="shared" si="7"/>
        <v/>
      </c>
      <c r="H225" s="9"/>
      <c r="I225" s="9"/>
      <c r="J225" s="14" t="str">
        <f>IF(E225="","",IFERROR(VLOOKUP(E225,TabProd,5,FALSE),0)+SUMIFS($H$5:H225,$E$5:E225,E225)-SUMIFS($I$5:I225,$E$5:E225,E225))</f>
        <v/>
      </c>
      <c r="K225" s="7"/>
      <c r="L225" s="7"/>
      <c r="M225" s="1" t="str">
        <f>IF(E225="","",E225&amp;"|"&amp;COUNTIF($E$5:E225,E225))</f>
        <v/>
      </c>
    </row>
    <row r="226" spans="2:13" x14ac:dyDescent="0.2">
      <c r="B226" s="10"/>
      <c r="C226" s="7"/>
      <c r="D226" s="11"/>
      <c r="E226" s="6"/>
      <c r="F226" s="12" t="str">
        <f t="shared" si="6"/>
        <v/>
      </c>
      <c r="G226" s="13" t="str">
        <f t="shared" si="7"/>
        <v/>
      </c>
      <c r="H226" s="9"/>
      <c r="I226" s="9"/>
      <c r="J226" s="14" t="str">
        <f>IF(E226="","",IFERROR(VLOOKUP(E226,TabProd,5,FALSE),0)+SUMIFS($H$5:H226,$E$5:E226,E226)-SUMIFS($I$5:I226,$E$5:E226,E226))</f>
        <v/>
      </c>
      <c r="K226" s="7"/>
      <c r="L226" s="7"/>
      <c r="M226" s="1" t="str">
        <f>IF(E226="","",E226&amp;"|"&amp;COUNTIF($E$5:E226,E226))</f>
        <v/>
      </c>
    </row>
    <row r="227" spans="2:13" x14ac:dyDescent="0.2">
      <c r="B227" s="10"/>
      <c r="C227" s="7"/>
      <c r="D227" s="11"/>
      <c r="E227" s="6"/>
      <c r="F227" s="12" t="str">
        <f t="shared" si="6"/>
        <v/>
      </c>
      <c r="G227" s="13" t="str">
        <f t="shared" si="7"/>
        <v/>
      </c>
      <c r="H227" s="9"/>
      <c r="I227" s="9"/>
      <c r="J227" s="14" t="str">
        <f>IF(E227="","",IFERROR(VLOOKUP(E227,TabProd,5,FALSE),0)+SUMIFS($H$5:H227,$E$5:E227,E227)-SUMIFS($I$5:I227,$E$5:E227,E227))</f>
        <v/>
      </c>
      <c r="K227" s="7"/>
      <c r="L227" s="7"/>
      <c r="M227" s="1" t="str">
        <f>IF(E227="","",E227&amp;"|"&amp;COUNTIF($E$5:E227,E227))</f>
        <v/>
      </c>
    </row>
    <row r="228" spans="2:13" x14ac:dyDescent="0.2">
      <c r="B228" s="10"/>
      <c r="C228" s="7"/>
      <c r="D228" s="11"/>
      <c r="E228" s="6"/>
      <c r="F228" s="12" t="str">
        <f t="shared" si="6"/>
        <v/>
      </c>
      <c r="G228" s="13" t="str">
        <f t="shared" si="7"/>
        <v/>
      </c>
      <c r="H228" s="9"/>
      <c r="I228" s="9"/>
      <c r="J228" s="14" t="str">
        <f>IF(E228="","",IFERROR(VLOOKUP(E228,TabProd,5,FALSE),0)+SUMIFS($H$5:H228,$E$5:E228,E228)-SUMIFS($I$5:I228,$E$5:E228,E228))</f>
        <v/>
      </c>
      <c r="K228" s="7"/>
      <c r="L228" s="7"/>
      <c r="M228" s="1" t="str">
        <f>IF(E228="","",E228&amp;"|"&amp;COUNTIF($E$5:E228,E228))</f>
        <v/>
      </c>
    </row>
    <row r="229" spans="2:13" x14ac:dyDescent="0.2">
      <c r="B229" s="10"/>
      <c r="C229" s="7"/>
      <c r="D229" s="11"/>
      <c r="E229" s="6"/>
      <c r="F229" s="12" t="str">
        <f t="shared" si="6"/>
        <v/>
      </c>
      <c r="G229" s="13" t="str">
        <f t="shared" si="7"/>
        <v/>
      </c>
      <c r="H229" s="9"/>
      <c r="I229" s="9"/>
      <c r="J229" s="14" t="str">
        <f>IF(E229="","",IFERROR(VLOOKUP(E229,TabProd,5,FALSE),0)+SUMIFS($H$5:H229,$E$5:E229,E229)-SUMIFS($I$5:I229,$E$5:E229,E229))</f>
        <v/>
      </c>
      <c r="K229" s="7"/>
      <c r="L229" s="7"/>
      <c r="M229" s="1" t="str">
        <f>IF(E229="","",E229&amp;"|"&amp;COUNTIF($E$5:E229,E229))</f>
        <v/>
      </c>
    </row>
    <row r="230" spans="2:13" x14ac:dyDescent="0.2">
      <c r="B230" s="10"/>
      <c r="C230" s="7"/>
      <c r="D230" s="11"/>
      <c r="E230" s="6"/>
      <c r="F230" s="12" t="str">
        <f t="shared" si="6"/>
        <v/>
      </c>
      <c r="G230" s="13" t="str">
        <f t="shared" si="7"/>
        <v/>
      </c>
      <c r="H230" s="9"/>
      <c r="I230" s="9"/>
      <c r="J230" s="14" t="str">
        <f>IF(E230="","",IFERROR(VLOOKUP(E230,TabProd,5,FALSE),0)+SUMIFS($H$5:H230,$E$5:E230,E230)-SUMIFS($I$5:I230,$E$5:E230,E230))</f>
        <v/>
      </c>
      <c r="K230" s="7"/>
      <c r="L230" s="7"/>
      <c r="M230" s="1" t="str">
        <f>IF(E230="","",E230&amp;"|"&amp;COUNTIF($E$5:E230,E230))</f>
        <v/>
      </c>
    </row>
    <row r="231" spans="2:13" x14ac:dyDescent="0.2">
      <c r="B231" s="10"/>
      <c r="C231" s="7"/>
      <c r="D231" s="11"/>
      <c r="E231" s="6"/>
      <c r="F231" s="12" t="str">
        <f t="shared" si="6"/>
        <v/>
      </c>
      <c r="G231" s="13" t="str">
        <f t="shared" si="7"/>
        <v/>
      </c>
      <c r="H231" s="9"/>
      <c r="I231" s="9"/>
      <c r="J231" s="14" t="str">
        <f>IF(E231="","",IFERROR(VLOOKUP(E231,TabProd,5,FALSE),0)+SUMIFS($H$5:H231,$E$5:E231,E231)-SUMIFS($I$5:I231,$E$5:E231,E231))</f>
        <v/>
      </c>
      <c r="K231" s="7"/>
      <c r="L231" s="7"/>
      <c r="M231" s="1" t="str">
        <f>IF(E231="","",E231&amp;"|"&amp;COUNTIF($E$5:E231,E231))</f>
        <v/>
      </c>
    </row>
    <row r="232" spans="2:13" x14ac:dyDescent="0.2">
      <c r="B232" s="10"/>
      <c r="C232" s="7"/>
      <c r="D232" s="11"/>
      <c r="E232" s="6"/>
      <c r="F232" s="12" t="str">
        <f t="shared" si="6"/>
        <v/>
      </c>
      <c r="G232" s="13" t="str">
        <f t="shared" si="7"/>
        <v/>
      </c>
      <c r="H232" s="9"/>
      <c r="I232" s="9"/>
      <c r="J232" s="14" t="str">
        <f>IF(E232="","",IFERROR(VLOOKUP(E232,TabProd,5,FALSE),0)+SUMIFS($H$5:H232,$E$5:E232,E232)-SUMIFS($I$5:I232,$E$5:E232,E232))</f>
        <v/>
      </c>
      <c r="K232" s="7"/>
      <c r="L232" s="7"/>
      <c r="M232" s="1" t="str">
        <f>IF(E232="","",E232&amp;"|"&amp;COUNTIF($E$5:E232,E232))</f>
        <v/>
      </c>
    </row>
    <row r="233" spans="2:13" x14ac:dyDescent="0.2">
      <c r="B233" s="10"/>
      <c r="C233" s="7"/>
      <c r="D233" s="11"/>
      <c r="E233" s="6"/>
      <c r="F233" s="12" t="str">
        <f t="shared" si="6"/>
        <v/>
      </c>
      <c r="G233" s="13" t="str">
        <f t="shared" si="7"/>
        <v/>
      </c>
      <c r="H233" s="9"/>
      <c r="I233" s="9"/>
      <c r="J233" s="14" t="str">
        <f>IF(E233="","",IFERROR(VLOOKUP(E233,TabProd,5,FALSE),0)+SUMIFS($H$5:H233,$E$5:E233,E233)-SUMIFS($I$5:I233,$E$5:E233,E233))</f>
        <v/>
      </c>
      <c r="K233" s="7"/>
      <c r="L233" s="7"/>
      <c r="M233" s="1" t="str">
        <f>IF(E233="","",E233&amp;"|"&amp;COUNTIF($E$5:E233,E233))</f>
        <v/>
      </c>
    </row>
    <row r="234" spans="2:13" x14ac:dyDescent="0.2">
      <c r="B234" s="10"/>
      <c r="C234" s="7"/>
      <c r="D234" s="11"/>
      <c r="E234" s="6"/>
      <c r="F234" s="12" t="str">
        <f t="shared" si="6"/>
        <v/>
      </c>
      <c r="G234" s="13" t="str">
        <f t="shared" si="7"/>
        <v/>
      </c>
      <c r="H234" s="9"/>
      <c r="I234" s="9"/>
      <c r="J234" s="14" t="str">
        <f>IF(E234="","",IFERROR(VLOOKUP(E234,TabProd,5,FALSE),0)+SUMIFS($H$5:H234,$E$5:E234,E234)-SUMIFS($I$5:I234,$E$5:E234,E234))</f>
        <v/>
      </c>
      <c r="K234" s="7"/>
      <c r="L234" s="7"/>
      <c r="M234" s="1" t="str">
        <f>IF(E234="","",E234&amp;"|"&amp;COUNTIF($E$5:E234,E234))</f>
        <v/>
      </c>
    </row>
    <row r="235" spans="2:13" x14ac:dyDescent="0.2">
      <c r="B235" s="10"/>
      <c r="C235" s="7"/>
      <c r="D235" s="11"/>
      <c r="E235" s="6"/>
      <c r="F235" s="12" t="str">
        <f t="shared" si="6"/>
        <v/>
      </c>
      <c r="G235" s="13" t="str">
        <f t="shared" si="7"/>
        <v/>
      </c>
      <c r="H235" s="9"/>
      <c r="I235" s="9"/>
      <c r="J235" s="14" t="str">
        <f>IF(E235="","",IFERROR(VLOOKUP(E235,TabProd,5,FALSE),0)+SUMIFS($H$5:H235,$E$5:E235,E235)-SUMIFS($I$5:I235,$E$5:E235,E235))</f>
        <v/>
      </c>
      <c r="K235" s="7"/>
      <c r="L235" s="7"/>
      <c r="M235" s="1" t="str">
        <f>IF(E235="","",E235&amp;"|"&amp;COUNTIF($E$5:E235,E235))</f>
        <v/>
      </c>
    </row>
    <row r="236" spans="2:13" x14ac:dyDescent="0.2">
      <c r="B236" s="10"/>
      <c r="C236" s="7"/>
      <c r="D236" s="11"/>
      <c r="E236" s="6"/>
      <c r="F236" s="12" t="str">
        <f t="shared" si="6"/>
        <v/>
      </c>
      <c r="G236" s="13" t="str">
        <f t="shared" si="7"/>
        <v/>
      </c>
      <c r="H236" s="9"/>
      <c r="I236" s="9"/>
      <c r="J236" s="14" t="str">
        <f>IF(E236="","",IFERROR(VLOOKUP(E236,TabProd,5,FALSE),0)+SUMIFS($H$5:H236,$E$5:E236,E236)-SUMIFS($I$5:I236,$E$5:E236,E236))</f>
        <v/>
      </c>
      <c r="K236" s="7"/>
      <c r="L236" s="7"/>
      <c r="M236" s="1" t="str">
        <f>IF(E236="","",E236&amp;"|"&amp;COUNTIF($E$5:E236,E236))</f>
        <v/>
      </c>
    </row>
    <row r="237" spans="2:13" x14ac:dyDescent="0.2">
      <c r="B237" s="10"/>
      <c r="C237" s="7"/>
      <c r="D237" s="11"/>
      <c r="E237" s="6"/>
      <c r="F237" s="12" t="str">
        <f t="shared" si="6"/>
        <v/>
      </c>
      <c r="G237" s="13" t="str">
        <f t="shared" si="7"/>
        <v/>
      </c>
      <c r="H237" s="9"/>
      <c r="I237" s="9"/>
      <c r="J237" s="14" t="str">
        <f>IF(E237="","",IFERROR(VLOOKUP(E237,TabProd,5,FALSE),0)+SUMIFS($H$5:H237,$E$5:E237,E237)-SUMIFS($I$5:I237,$E$5:E237,E237))</f>
        <v/>
      </c>
      <c r="K237" s="7"/>
      <c r="L237" s="7"/>
      <c r="M237" s="1" t="str">
        <f>IF(E237="","",E237&amp;"|"&amp;COUNTIF($E$5:E237,E237))</f>
        <v/>
      </c>
    </row>
    <row r="238" spans="2:13" x14ac:dyDescent="0.2">
      <c r="B238" s="10"/>
      <c r="C238" s="7"/>
      <c r="D238" s="11"/>
      <c r="E238" s="6"/>
      <c r="F238" s="12" t="str">
        <f t="shared" si="6"/>
        <v/>
      </c>
      <c r="G238" s="13" t="str">
        <f t="shared" si="7"/>
        <v/>
      </c>
      <c r="H238" s="9"/>
      <c r="I238" s="9"/>
      <c r="J238" s="14" t="str">
        <f>IF(E238="","",IFERROR(VLOOKUP(E238,TabProd,5,FALSE),0)+SUMIFS($H$5:H238,$E$5:E238,E238)-SUMIFS($I$5:I238,$E$5:E238,E238))</f>
        <v/>
      </c>
      <c r="K238" s="7"/>
      <c r="L238" s="7"/>
      <c r="M238" s="1" t="str">
        <f>IF(E238="","",E238&amp;"|"&amp;COUNTIF($E$5:E238,E238))</f>
        <v/>
      </c>
    </row>
    <row r="239" spans="2:13" x14ac:dyDescent="0.2">
      <c r="B239" s="10"/>
      <c r="C239" s="7"/>
      <c r="D239" s="11"/>
      <c r="E239" s="6"/>
      <c r="F239" s="12" t="str">
        <f t="shared" si="6"/>
        <v/>
      </c>
      <c r="G239" s="13" t="str">
        <f t="shared" si="7"/>
        <v/>
      </c>
      <c r="H239" s="9"/>
      <c r="I239" s="9"/>
      <c r="J239" s="14" t="str">
        <f>IF(E239="","",IFERROR(VLOOKUP(E239,TabProd,5,FALSE),0)+SUMIFS($H$5:H239,$E$5:E239,E239)-SUMIFS($I$5:I239,$E$5:E239,E239))</f>
        <v/>
      </c>
      <c r="K239" s="7"/>
      <c r="L239" s="7"/>
      <c r="M239" s="1" t="str">
        <f>IF(E239="","",E239&amp;"|"&amp;COUNTIF($E$5:E239,E239))</f>
        <v/>
      </c>
    </row>
    <row r="240" spans="2:13" x14ac:dyDescent="0.2">
      <c r="B240" s="10"/>
      <c r="C240" s="7"/>
      <c r="D240" s="11"/>
      <c r="E240" s="6"/>
      <c r="F240" s="12" t="str">
        <f t="shared" si="6"/>
        <v/>
      </c>
      <c r="G240" s="13" t="str">
        <f t="shared" si="7"/>
        <v/>
      </c>
      <c r="H240" s="9"/>
      <c r="I240" s="9"/>
      <c r="J240" s="14" t="str">
        <f>IF(E240="","",IFERROR(VLOOKUP(E240,TabProd,5,FALSE),0)+SUMIFS($H$5:H240,$E$5:E240,E240)-SUMIFS($I$5:I240,$E$5:E240,E240))</f>
        <v/>
      </c>
      <c r="K240" s="7"/>
      <c r="L240" s="7"/>
      <c r="M240" s="1" t="str">
        <f>IF(E240="","",E240&amp;"|"&amp;COUNTIF($E$5:E240,E240))</f>
        <v/>
      </c>
    </row>
    <row r="241" spans="2:13" x14ac:dyDescent="0.2">
      <c r="B241" s="10"/>
      <c r="C241" s="7"/>
      <c r="D241" s="11"/>
      <c r="E241" s="6"/>
      <c r="F241" s="12" t="str">
        <f t="shared" si="6"/>
        <v/>
      </c>
      <c r="G241" s="13" t="str">
        <f t="shared" si="7"/>
        <v/>
      </c>
      <c r="H241" s="9"/>
      <c r="I241" s="9"/>
      <c r="J241" s="14" t="str">
        <f>IF(E241="","",IFERROR(VLOOKUP(E241,TabProd,5,FALSE),0)+SUMIFS($H$5:H241,$E$5:E241,E241)-SUMIFS($I$5:I241,$E$5:E241,E241))</f>
        <v/>
      </c>
      <c r="K241" s="7"/>
      <c r="L241" s="7"/>
      <c r="M241" s="1" t="str">
        <f>IF(E241="","",E241&amp;"|"&amp;COUNTIF($E$5:E241,E241))</f>
        <v/>
      </c>
    </row>
    <row r="242" spans="2:13" x14ac:dyDescent="0.2">
      <c r="B242" s="10"/>
      <c r="C242" s="7"/>
      <c r="D242" s="11"/>
      <c r="E242" s="6"/>
      <c r="F242" s="12" t="str">
        <f t="shared" si="6"/>
        <v/>
      </c>
      <c r="G242" s="13" t="str">
        <f t="shared" si="7"/>
        <v/>
      </c>
      <c r="H242" s="9"/>
      <c r="I242" s="9"/>
      <c r="J242" s="14" t="str">
        <f>IF(E242="","",IFERROR(VLOOKUP(E242,TabProd,5,FALSE),0)+SUMIFS($H$5:H242,$E$5:E242,E242)-SUMIFS($I$5:I242,$E$5:E242,E242))</f>
        <v/>
      </c>
      <c r="K242" s="7"/>
      <c r="L242" s="7"/>
      <c r="M242" s="1" t="str">
        <f>IF(E242="","",E242&amp;"|"&amp;COUNTIF($E$5:E242,E242))</f>
        <v/>
      </c>
    </row>
    <row r="243" spans="2:13" x14ac:dyDescent="0.2">
      <c r="B243" s="10"/>
      <c r="C243" s="7"/>
      <c r="D243" s="11"/>
      <c r="E243" s="6"/>
      <c r="F243" s="12" t="str">
        <f t="shared" si="6"/>
        <v/>
      </c>
      <c r="G243" s="13" t="str">
        <f t="shared" si="7"/>
        <v/>
      </c>
      <c r="H243" s="9"/>
      <c r="I243" s="9"/>
      <c r="J243" s="14" t="str">
        <f>IF(E243="","",IFERROR(VLOOKUP(E243,TabProd,5,FALSE),0)+SUMIFS($H$5:H243,$E$5:E243,E243)-SUMIFS($I$5:I243,$E$5:E243,E243))</f>
        <v/>
      </c>
      <c r="K243" s="7"/>
      <c r="L243" s="7"/>
      <c r="M243" s="1" t="str">
        <f>IF(E243="","",E243&amp;"|"&amp;COUNTIF($E$5:E243,E243))</f>
        <v/>
      </c>
    </row>
    <row r="244" spans="2:13" x14ac:dyDescent="0.2">
      <c r="B244" s="10"/>
      <c r="C244" s="7"/>
      <c r="D244" s="11"/>
      <c r="E244" s="6"/>
      <c r="F244" s="12" t="str">
        <f t="shared" si="6"/>
        <v/>
      </c>
      <c r="G244" s="13" t="str">
        <f t="shared" si="7"/>
        <v/>
      </c>
      <c r="H244" s="9"/>
      <c r="I244" s="9"/>
      <c r="J244" s="14" t="str">
        <f>IF(E244="","",IFERROR(VLOOKUP(E244,TabProd,5,FALSE),0)+SUMIFS($H$5:H244,$E$5:E244,E244)-SUMIFS($I$5:I244,$E$5:E244,E244))</f>
        <v/>
      </c>
      <c r="K244" s="7"/>
      <c r="L244" s="7"/>
      <c r="M244" s="1" t="str">
        <f>IF(E244="","",E244&amp;"|"&amp;COUNTIF($E$5:E244,E244))</f>
        <v/>
      </c>
    </row>
    <row r="245" spans="2:13" x14ac:dyDescent="0.2">
      <c r="B245" s="10"/>
      <c r="C245" s="7"/>
      <c r="D245" s="11"/>
      <c r="E245" s="6"/>
      <c r="F245" s="12" t="str">
        <f t="shared" si="6"/>
        <v/>
      </c>
      <c r="G245" s="13" t="str">
        <f t="shared" si="7"/>
        <v/>
      </c>
      <c r="H245" s="9"/>
      <c r="I245" s="9"/>
      <c r="J245" s="14" t="str">
        <f>IF(E245="","",IFERROR(VLOOKUP(E245,TabProd,5,FALSE),0)+SUMIFS($H$5:H245,$E$5:E245,E245)-SUMIFS($I$5:I245,$E$5:E245,E245))</f>
        <v/>
      </c>
      <c r="K245" s="7"/>
      <c r="L245" s="7"/>
      <c r="M245" s="1" t="str">
        <f>IF(E245="","",E245&amp;"|"&amp;COUNTIF($E$5:E245,E245))</f>
        <v/>
      </c>
    </row>
    <row r="246" spans="2:13" x14ac:dyDescent="0.2">
      <c r="B246" s="10"/>
      <c r="C246" s="7"/>
      <c r="D246" s="11"/>
      <c r="E246" s="6"/>
      <c r="F246" s="12" t="str">
        <f t="shared" si="6"/>
        <v/>
      </c>
      <c r="G246" s="13" t="str">
        <f t="shared" si="7"/>
        <v/>
      </c>
      <c r="H246" s="9"/>
      <c r="I246" s="9"/>
      <c r="J246" s="14" t="str">
        <f>IF(E246="","",IFERROR(VLOOKUP(E246,TabProd,5,FALSE),0)+SUMIFS($H$5:H246,$E$5:E246,E246)-SUMIFS($I$5:I246,$E$5:E246,E246))</f>
        <v/>
      </c>
      <c r="K246" s="7"/>
      <c r="L246" s="7"/>
      <c r="M246" s="1" t="str">
        <f>IF(E246="","",E246&amp;"|"&amp;COUNTIF($E$5:E246,E246))</f>
        <v/>
      </c>
    </row>
    <row r="247" spans="2:13" x14ac:dyDescent="0.2">
      <c r="B247" s="10"/>
      <c r="C247" s="7"/>
      <c r="D247" s="11"/>
      <c r="E247" s="6"/>
      <c r="F247" s="12" t="str">
        <f t="shared" si="6"/>
        <v/>
      </c>
      <c r="G247" s="13" t="str">
        <f t="shared" si="7"/>
        <v/>
      </c>
      <c r="H247" s="9"/>
      <c r="I247" s="9"/>
      <c r="J247" s="14" t="str">
        <f>IF(E247="","",IFERROR(VLOOKUP(E247,TabProd,5,FALSE),0)+SUMIFS($H$5:H247,$E$5:E247,E247)-SUMIFS($I$5:I247,$E$5:E247,E247))</f>
        <v/>
      </c>
      <c r="K247" s="7"/>
      <c r="L247" s="7"/>
      <c r="M247" s="1" t="str">
        <f>IF(E247="","",E247&amp;"|"&amp;COUNTIF($E$5:E247,E247))</f>
        <v/>
      </c>
    </row>
    <row r="248" spans="2:13" x14ac:dyDescent="0.2">
      <c r="B248" s="10"/>
      <c r="C248" s="7"/>
      <c r="D248" s="11"/>
      <c r="E248" s="6"/>
      <c r="F248" s="12" t="str">
        <f t="shared" si="6"/>
        <v/>
      </c>
      <c r="G248" s="13" t="str">
        <f t="shared" si="7"/>
        <v/>
      </c>
      <c r="H248" s="9"/>
      <c r="I248" s="9"/>
      <c r="J248" s="14" t="str">
        <f>IF(E248="","",IFERROR(VLOOKUP(E248,TabProd,5,FALSE),0)+SUMIFS($H$5:H248,$E$5:E248,E248)-SUMIFS($I$5:I248,$E$5:E248,E248))</f>
        <v/>
      </c>
      <c r="K248" s="7"/>
      <c r="L248" s="7"/>
      <c r="M248" s="1" t="str">
        <f>IF(E248="","",E248&amp;"|"&amp;COUNTIF($E$5:E248,E248))</f>
        <v/>
      </c>
    </row>
    <row r="249" spans="2:13" x14ac:dyDescent="0.2">
      <c r="B249" s="10"/>
      <c r="C249" s="7"/>
      <c r="D249" s="11"/>
      <c r="E249" s="6"/>
      <c r="F249" s="12" t="str">
        <f t="shared" si="6"/>
        <v/>
      </c>
      <c r="G249" s="13" t="str">
        <f t="shared" si="7"/>
        <v/>
      </c>
      <c r="H249" s="9"/>
      <c r="I249" s="9"/>
      <c r="J249" s="14" t="str">
        <f>IF(E249="","",IFERROR(VLOOKUP(E249,TabProd,5,FALSE),0)+SUMIFS($H$5:H249,$E$5:E249,E249)-SUMIFS($I$5:I249,$E$5:E249,E249))</f>
        <v/>
      </c>
      <c r="K249" s="7"/>
      <c r="L249" s="7"/>
      <c r="M249" s="1" t="str">
        <f>IF(E249="","",E249&amp;"|"&amp;COUNTIF($E$5:E249,E249))</f>
        <v/>
      </c>
    </row>
    <row r="250" spans="2:13" x14ac:dyDescent="0.2">
      <c r="B250" s="10"/>
      <c r="C250" s="7"/>
      <c r="D250" s="11"/>
      <c r="E250" s="6"/>
      <c r="F250" s="12" t="str">
        <f t="shared" si="6"/>
        <v/>
      </c>
      <c r="G250" s="13" t="str">
        <f t="shared" si="7"/>
        <v/>
      </c>
      <c r="H250" s="9"/>
      <c r="I250" s="9"/>
      <c r="J250" s="14" t="str">
        <f>IF(E250="","",IFERROR(VLOOKUP(E250,TabProd,5,FALSE),0)+SUMIFS($H$5:H250,$E$5:E250,E250)-SUMIFS($I$5:I250,$E$5:E250,E250))</f>
        <v/>
      </c>
      <c r="K250" s="7"/>
      <c r="L250" s="7"/>
      <c r="M250" s="1" t="str">
        <f>IF(E250="","",E250&amp;"|"&amp;COUNTIF($E$5:E250,E250))</f>
        <v/>
      </c>
    </row>
    <row r="251" spans="2:13" x14ac:dyDescent="0.2">
      <c r="B251" s="10"/>
      <c r="C251" s="7"/>
      <c r="D251" s="11"/>
      <c r="E251" s="6"/>
      <c r="F251" s="12" t="str">
        <f t="shared" si="6"/>
        <v/>
      </c>
      <c r="G251" s="13" t="str">
        <f t="shared" si="7"/>
        <v/>
      </c>
      <c r="H251" s="9"/>
      <c r="I251" s="9"/>
      <c r="J251" s="14" t="str">
        <f>IF(E251="","",IFERROR(VLOOKUP(E251,TabProd,5,FALSE),0)+SUMIFS($H$5:H251,$E$5:E251,E251)-SUMIFS($I$5:I251,$E$5:E251,E251))</f>
        <v/>
      </c>
      <c r="K251" s="7"/>
      <c r="L251" s="7"/>
      <c r="M251" s="1" t="str">
        <f>IF(E251="","",E251&amp;"|"&amp;COUNTIF($E$5:E251,E251))</f>
        <v/>
      </c>
    </row>
    <row r="252" spans="2:13" x14ac:dyDescent="0.2">
      <c r="B252" s="10"/>
      <c r="C252" s="7"/>
      <c r="D252" s="11"/>
      <c r="E252" s="6"/>
      <c r="F252" s="12" t="str">
        <f t="shared" si="6"/>
        <v/>
      </c>
      <c r="G252" s="13" t="str">
        <f t="shared" si="7"/>
        <v/>
      </c>
      <c r="H252" s="9"/>
      <c r="I252" s="9"/>
      <c r="J252" s="14" t="str">
        <f>IF(E252="","",IFERROR(VLOOKUP(E252,TabProd,5,FALSE),0)+SUMIFS($H$5:H252,$E$5:E252,E252)-SUMIFS($I$5:I252,$E$5:E252,E252))</f>
        <v/>
      </c>
      <c r="K252" s="7"/>
      <c r="L252" s="7"/>
      <c r="M252" s="1" t="str">
        <f>IF(E252="","",E252&amp;"|"&amp;COUNTIF($E$5:E252,E252))</f>
        <v/>
      </c>
    </row>
    <row r="253" spans="2:13" x14ac:dyDescent="0.2">
      <c r="B253" s="10"/>
      <c r="C253" s="7"/>
      <c r="D253" s="11"/>
      <c r="E253" s="6"/>
      <c r="F253" s="12" t="str">
        <f t="shared" si="6"/>
        <v/>
      </c>
      <c r="G253" s="13" t="str">
        <f t="shared" si="7"/>
        <v/>
      </c>
      <c r="H253" s="9"/>
      <c r="I253" s="9"/>
      <c r="J253" s="14" t="str">
        <f>IF(E253="","",IFERROR(VLOOKUP(E253,TabProd,5,FALSE),0)+SUMIFS($H$5:H253,$E$5:E253,E253)-SUMIFS($I$5:I253,$E$5:E253,E253))</f>
        <v/>
      </c>
      <c r="K253" s="7"/>
      <c r="L253" s="7"/>
      <c r="M253" s="1" t="str">
        <f>IF(E253="","",E253&amp;"|"&amp;COUNTIF($E$5:E253,E253))</f>
        <v/>
      </c>
    </row>
    <row r="254" spans="2:13" x14ac:dyDescent="0.2">
      <c r="B254" s="10"/>
      <c r="C254" s="7"/>
      <c r="D254" s="11"/>
      <c r="E254" s="6"/>
      <c r="F254" s="12" t="str">
        <f t="shared" si="6"/>
        <v/>
      </c>
      <c r="G254" s="13" t="str">
        <f t="shared" si="7"/>
        <v/>
      </c>
      <c r="H254" s="9"/>
      <c r="I254" s="9"/>
      <c r="J254" s="14" t="str">
        <f>IF(E254="","",IFERROR(VLOOKUP(E254,TabProd,5,FALSE),0)+SUMIFS($H$5:H254,$E$5:E254,E254)-SUMIFS($I$5:I254,$E$5:E254,E254))</f>
        <v/>
      </c>
      <c r="K254" s="7"/>
      <c r="L254" s="7"/>
      <c r="M254" s="1" t="str">
        <f>IF(E254="","",E254&amp;"|"&amp;COUNTIF($E$5:E254,E254))</f>
        <v/>
      </c>
    </row>
    <row r="255" spans="2:13" x14ac:dyDescent="0.2">
      <c r="B255" s="10"/>
      <c r="C255" s="7"/>
      <c r="D255" s="11"/>
      <c r="E255" s="6"/>
      <c r="F255" s="12" t="str">
        <f t="shared" si="6"/>
        <v/>
      </c>
      <c r="G255" s="13" t="str">
        <f t="shared" si="7"/>
        <v/>
      </c>
      <c r="H255" s="9"/>
      <c r="I255" s="9"/>
      <c r="J255" s="14" t="str">
        <f>IF(E255="","",IFERROR(VLOOKUP(E255,TabProd,5,FALSE),0)+SUMIFS($H$5:H255,$E$5:E255,E255)-SUMIFS($I$5:I255,$E$5:E255,E255))</f>
        <v/>
      </c>
      <c r="K255" s="7"/>
      <c r="L255" s="7"/>
      <c r="M255" s="1" t="str">
        <f>IF(E255="","",E255&amp;"|"&amp;COUNTIF($E$5:E255,E255))</f>
        <v/>
      </c>
    </row>
    <row r="256" spans="2:13" x14ac:dyDescent="0.2">
      <c r="B256" s="10"/>
      <c r="C256" s="7"/>
      <c r="D256" s="11"/>
      <c r="E256" s="6"/>
      <c r="F256" s="12" t="str">
        <f t="shared" si="6"/>
        <v/>
      </c>
      <c r="G256" s="13" t="str">
        <f t="shared" si="7"/>
        <v/>
      </c>
      <c r="H256" s="9"/>
      <c r="I256" s="9"/>
      <c r="J256" s="14" t="str">
        <f>IF(E256="","",IFERROR(VLOOKUP(E256,TabProd,5,FALSE),0)+SUMIFS($H$5:H256,$E$5:E256,E256)-SUMIFS($I$5:I256,$E$5:E256,E256))</f>
        <v/>
      </c>
      <c r="K256" s="7"/>
      <c r="L256" s="7"/>
      <c r="M256" s="1" t="str">
        <f>IF(E256="","",E256&amp;"|"&amp;COUNTIF($E$5:E256,E256))</f>
        <v/>
      </c>
    </row>
    <row r="257" spans="2:13" x14ac:dyDescent="0.2">
      <c r="B257" s="10"/>
      <c r="C257" s="7"/>
      <c r="D257" s="11"/>
      <c r="E257" s="6"/>
      <c r="F257" s="12" t="str">
        <f t="shared" si="6"/>
        <v/>
      </c>
      <c r="G257" s="13" t="str">
        <f t="shared" si="7"/>
        <v/>
      </c>
      <c r="H257" s="9"/>
      <c r="I257" s="9"/>
      <c r="J257" s="14" t="str">
        <f>IF(E257="","",IFERROR(VLOOKUP(E257,TabProd,5,FALSE),0)+SUMIFS($H$5:H257,$E$5:E257,E257)-SUMIFS($I$5:I257,$E$5:E257,E257))</f>
        <v/>
      </c>
      <c r="K257" s="7"/>
      <c r="L257" s="7"/>
      <c r="M257" s="1" t="str">
        <f>IF(E257="","",E257&amp;"|"&amp;COUNTIF($E$5:E257,E257))</f>
        <v/>
      </c>
    </row>
    <row r="258" spans="2:13" x14ac:dyDescent="0.2">
      <c r="B258" s="10"/>
      <c r="C258" s="7"/>
      <c r="D258" s="11"/>
      <c r="E258" s="6"/>
      <c r="F258" s="12" t="str">
        <f t="shared" si="6"/>
        <v/>
      </c>
      <c r="G258" s="13" t="str">
        <f t="shared" si="7"/>
        <v/>
      </c>
      <c r="H258" s="9"/>
      <c r="I258" s="9"/>
      <c r="J258" s="14" t="str">
        <f>IF(E258="","",IFERROR(VLOOKUP(E258,TabProd,5,FALSE),0)+SUMIFS($H$5:H258,$E$5:E258,E258)-SUMIFS($I$5:I258,$E$5:E258,E258))</f>
        <v/>
      </c>
      <c r="K258" s="7"/>
      <c r="L258" s="7"/>
      <c r="M258" s="1" t="str">
        <f>IF(E258="","",E258&amp;"|"&amp;COUNTIF($E$5:E258,E258))</f>
        <v/>
      </c>
    </row>
    <row r="259" spans="2:13" x14ac:dyDescent="0.2">
      <c r="B259" s="10"/>
      <c r="C259" s="7"/>
      <c r="D259" s="11"/>
      <c r="E259" s="6"/>
      <c r="F259" s="12" t="str">
        <f t="shared" si="6"/>
        <v/>
      </c>
      <c r="G259" s="13" t="str">
        <f t="shared" si="7"/>
        <v/>
      </c>
      <c r="H259" s="9"/>
      <c r="I259" s="9"/>
      <c r="J259" s="14" t="str">
        <f>IF(E259="","",IFERROR(VLOOKUP(E259,TabProd,5,FALSE),0)+SUMIFS($H$5:H259,$E$5:E259,E259)-SUMIFS($I$5:I259,$E$5:E259,E259))</f>
        <v/>
      </c>
      <c r="K259" s="7"/>
      <c r="L259" s="7"/>
      <c r="M259" s="1" t="str">
        <f>IF(E259="","",E259&amp;"|"&amp;COUNTIF($E$5:E259,E259))</f>
        <v/>
      </c>
    </row>
    <row r="260" spans="2:13" x14ac:dyDescent="0.2">
      <c r="B260" s="10"/>
      <c r="C260" s="7"/>
      <c r="D260" s="11"/>
      <c r="E260" s="6"/>
      <c r="F260" s="12" t="str">
        <f t="shared" si="6"/>
        <v/>
      </c>
      <c r="G260" s="13" t="str">
        <f t="shared" si="7"/>
        <v/>
      </c>
      <c r="H260" s="9"/>
      <c r="I260" s="9"/>
      <c r="J260" s="14" t="str">
        <f>IF(E260="","",IFERROR(VLOOKUP(E260,TabProd,5,FALSE),0)+SUMIFS($H$5:H260,$E$5:E260,E260)-SUMIFS($I$5:I260,$E$5:E260,E260))</f>
        <v/>
      </c>
      <c r="K260" s="7"/>
      <c r="L260" s="7"/>
      <c r="M260" s="1" t="str">
        <f>IF(E260="","",E260&amp;"|"&amp;COUNTIF($E$5:E260,E260))</f>
        <v/>
      </c>
    </row>
    <row r="261" spans="2:13" x14ac:dyDescent="0.2">
      <c r="B261" s="10"/>
      <c r="C261" s="7"/>
      <c r="D261" s="11"/>
      <c r="E261" s="6"/>
      <c r="F261" s="12" t="str">
        <f t="shared" ref="F261:F324" si="8">IF(E261="","",IFERROR(VLOOKUP(E261,TabProd,2,FALSE),"Cod inexistent"))</f>
        <v/>
      </c>
      <c r="G261" s="13" t="str">
        <f t="shared" ref="G261:G324" si="9">IF(E261="","",IFERROR(VLOOKUP(E261,TabProd,3,FALSE),""))</f>
        <v/>
      </c>
      <c r="H261" s="9"/>
      <c r="I261" s="9"/>
      <c r="J261" s="14" t="str">
        <f>IF(E261="","",IFERROR(VLOOKUP(E261,TabProd,5,FALSE),0)+SUMIFS($H$5:H261,$E$5:E261,E261)-SUMIFS($I$5:I261,$E$5:E261,E261))</f>
        <v/>
      </c>
      <c r="K261" s="7"/>
      <c r="L261" s="7"/>
      <c r="M261" s="1" t="str">
        <f>IF(E261="","",E261&amp;"|"&amp;COUNTIF($E$5:E261,E261))</f>
        <v/>
      </c>
    </row>
    <row r="262" spans="2:13" x14ac:dyDescent="0.2">
      <c r="B262" s="10"/>
      <c r="C262" s="7"/>
      <c r="D262" s="11"/>
      <c r="E262" s="6"/>
      <c r="F262" s="12" t="str">
        <f t="shared" si="8"/>
        <v/>
      </c>
      <c r="G262" s="13" t="str">
        <f t="shared" si="9"/>
        <v/>
      </c>
      <c r="H262" s="9"/>
      <c r="I262" s="9"/>
      <c r="J262" s="14" t="str">
        <f>IF(E262="","",IFERROR(VLOOKUP(E262,TabProd,5,FALSE),0)+SUMIFS($H$5:H262,$E$5:E262,E262)-SUMIFS($I$5:I262,$E$5:E262,E262))</f>
        <v/>
      </c>
      <c r="K262" s="7"/>
      <c r="L262" s="7"/>
      <c r="M262" s="1" t="str">
        <f>IF(E262="","",E262&amp;"|"&amp;COUNTIF($E$5:E262,E262))</f>
        <v/>
      </c>
    </row>
    <row r="263" spans="2:13" x14ac:dyDescent="0.2">
      <c r="B263" s="10"/>
      <c r="C263" s="7"/>
      <c r="D263" s="11"/>
      <c r="E263" s="6"/>
      <c r="F263" s="12" t="str">
        <f t="shared" si="8"/>
        <v/>
      </c>
      <c r="G263" s="13" t="str">
        <f t="shared" si="9"/>
        <v/>
      </c>
      <c r="H263" s="9"/>
      <c r="I263" s="9"/>
      <c r="J263" s="14" t="str">
        <f>IF(E263="","",IFERROR(VLOOKUP(E263,TabProd,5,FALSE),0)+SUMIFS($H$5:H263,$E$5:E263,E263)-SUMIFS($I$5:I263,$E$5:E263,E263))</f>
        <v/>
      </c>
      <c r="K263" s="7"/>
      <c r="L263" s="7"/>
      <c r="M263" s="1" t="str">
        <f>IF(E263="","",E263&amp;"|"&amp;COUNTIF($E$5:E263,E263))</f>
        <v/>
      </c>
    </row>
    <row r="264" spans="2:13" x14ac:dyDescent="0.2">
      <c r="B264" s="10"/>
      <c r="C264" s="7"/>
      <c r="D264" s="11"/>
      <c r="E264" s="6"/>
      <c r="F264" s="12" t="str">
        <f t="shared" si="8"/>
        <v/>
      </c>
      <c r="G264" s="13" t="str">
        <f t="shared" si="9"/>
        <v/>
      </c>
      <c r="H264" s="9"/>
      <c r="I264" s="9"/>
      <c r="J264" s="14" t="str">
        <f>IF(E264="","",IFERROR(VLOOKUP(E264,TabProd,5,FALSE),0)+SUMIFS($H$5:H264,$E$5:E264,E264)-SUMIFS($I$5:I264,$E$5:E264,E264))</f>
        <v/>
      </c>
      <c r="K264" s="7"/>
      <c r="L264" s="7"/>
      <c r="M264" s="1" t="str">
        <f>IF(E264="","",E264&amp;"|"&amp;COUNTIF($E$5:E264,E264))</f>
        <v/>
      </c>
    </row>
    <row r="265" spans="2:13" x14ac:dyDescent="0.2">
      <c r="B265" s="10"/>
      <c r="C265" s="7"/>
      <c r="D265" s="11"/>
      <c r="E265" s="6"/>
      <c r="F265" s="12" t="str">
        <f t="shared" si="8"/>
        <v/>
      </c>
      <c r="G265" s="13" t="str">
        <f t="shared" si="9"/>
        <v/>
      </c>
      <c r="H265" s="9"/>
      <c r="I265" s="9"/>
      <c r="J265" s="14" t="str">
        <f>IF(E265="","",IFERROR(VLOOKUP(E265,TabProd,5,FALSE),0)+SUMIFS($H$5:H265,$E$5:E265,E265)-SUMIFS($I$5:I265,$E$5:E265,E265))</f>
        <v/>
      </c>
      <c r="K265" s="7"/>
      <c r="L265" s="7"/>
      <c r="M265" s="1" t="str">
        <f>IF(E265="","",E265&amp;"|"&amp;COUNTIF($E$5:E265,E265))</f>
        <v/>
      </c>
    </row>
    <row r="266" spans="2:13" x14ac:dyDescent="0.2">
      <c r="B266" s="10"/>
      <c r="C266" s="7"/>
      <c r="D266" s="11"/>
      <c r="E266" s="6"/>
      <c r="F266" s="12" t="str">
        <f t="shared" si="8"/>
        <v/>
      </c>
      <c r="G266" s="13" t="str">
        <f t="shared" si="9"/>
        <v/>
      </c>
      <c r="H266" s="9"/>
      <c r="I266" s="9"/>
      <c r="J266" s="14" t="str">
        <f>IF(E266="","",IFERROR(VLOOKUP(E266,TabProd,5,FALSE),0)+SUMIFS($H$5:H266,$E$5:E266,E266)-SUMIFS($I$5:I266,$E$5:E266,E266))</f>
        <v/>
      </c>
      <c r="K266" s="7"/>
      <c r="L266" s="7"/>
      <c r="M266" s="1" t="str">
        <f>IF(E266="","",E266&amp;"|"&amp;COUNTIF($E$5:E266,E266))</f>
        <v/>
      </c>
    </row>
    <row r="267" spans="2:13" x14ac:dyDescent="0.2">
      <c r="B267" s="10"/>
      <c r="C267" s="7"/>
      <c r="D267" s="11"/>
      <c r="E267" s="6"/>
      <c r="F267" s="12" t="str">
        <f t="shared" si="8"/>
        <v/>
      </c>
      <c r="G267" s="13" t="str">
        <f t="shared" si="9"/>
        <v/>
      </c>
      <c r="H267" s="9"/>
      <c r="I267" s="9"/>
      <c r="J267" s="14" t="str">
        <f>IF(E267="","",IFERROR(VLOOKUP(E267,TabProd,5,FALSE),0)+SUMIFS($H$5:H267,$E$5:E267,E267)-SUMIFS($I$5:I267,$E$5:E267,E267))</f>
        <v/>
      </c>
      <c r="K267" s="7"/>
      <c r="L267" s="7"/>
      <c r="M267" s="1" t="str">
        <f>IF(E267="","",E267&amp;"|"&amp;COUNTIF($E$5:E267,E267))</f>
        <v/>
      </c>
    </row>
    <row r="268" spans="2:13" x14ac:dyDescent="0.2">
      <c r="B268" s="10"/>
      <c r="C268" s="7"/>
      <c r="D268" s="11"/>
      <c r="E268" s="6"/>
      <c r="F268" s="12" t="str">
        <f t="shared" si="8"/>
        <v/>
      </c>
      <c r="G268" s="13" t="str">
        <f t="shared" si="9"/>
        <v/>
      </c>
      <c r="H268" s="9"/>
      <c r="I268" s="9"/>
      <c r="J268" s="14" t="str">
        <f>IF(E268="","",IFERROR(VLOOKUP(E268,TabProd,5,FALSE),0)+SUMIFS($H$5:H268,$E$5:E268,E268)-SUMIFS($I$5:I268,$E$5:E268,E268))</f>
        <v/>
      </c>
      <c r="K268" s="7"/>
      <c r="L268" s="7"/>
      <c r="M268" s="1" t="str">
        <f>IF(E268="","",E268&amp;"|"&amp;COUNTIF($E$5:E268,E268))</f>
        <v/>
      </c>
    </row>
    <row r="269" spans="2:13" x14ac:dyDescent="0.2">
      <c r="B269" s="10"/>
      <c r="C269" s="7"/>
      <c r="D269" s="11"/>
      <c r="E269" s="6"/>
      <c r="F269" s="12" t="str">
        <f t="shared" si="8"/>
        <v/>
      </c>
      <c r="G269" s="13" t="str">
        <f t="shared" si="9"/>
        <v/>
      </c>
      <c r="H269" s="9"/>
      <c r="I269" s="9"/>
      <c r="J269" s="14" t="str">
        <f>IF(E269="","",IFERROR(VLOOKUP(E269,TabProd,5,FALSE),0)+SUMIFS($H$5:H269,$E$5:E269,E269)-SUMIFS($I$5:I269,$E$5:E269,E269))</f>
        <v/>
      </c>
      <c r="K269" s="7"/>
      <c r="L269" s="7"/>
      <c r="M269" s="1" t="str">
        <f>IF(E269="","",E269&amp;"|"&amp;COUNTIF($E$5:E269,E269))</f>
        <v/>
      </c>
    </row>
    <row r="270" spans="2:13" x14ac:dyDescent="0.2">
      <c r="B270" s="10"/>
      <c r="C270" s="7"/>
      <c r="D270" s="11"/>
      <c r="E270" s="6"/>
      <c r="F270" s="12" t="str">
        <f t="shared" si="8"/>
        <v/>
      </c>
      <c r="G270" s="13" t="str">
        <f t="shared" si="9"/>
        <v/>
      </c>
      <c r="H270" s="9"/>
      <c r="I270" s="9"/>
      <c r="J270" s="14" t="str">
        <f>IF(E270="","",IFERROR(VLOOKUP(E270,TabProd,5,FALSE),0)+SUMIFS($H$5:H270,$E$5:E270,E270)-SUMIFS($I$5:I270,$E$5:E270,E270))</f>
        <v/>
      </c>
      <c r="K270" s="7"/>
      <c r="L270" s="7"/>
      <c r="M270" s="1" t="str">
        <f>IF(E270="","",E270&amp;"|"&amp;COUNTIF($E$5:E270,E270))</f>
        <v/>
      </c>
    </row>
    <row r="271" spans="2:13" x14ac:dyDescent="0.2">
      <c r="B271" s="10"/>
      <c r="C271" s="7"/>
      <c r="D271" s="11"/>
      <c r="E271" s="6"/>
      <c r="F271" s="12" t="str">
        <f t="shared" si="8"/>
        <v/>
      </c>
      <c r="G271" s="13" t="str">
        <f t="shared" si="9"/>
        <v/>
      </c>
      <c r="H271" s="9"/>
      <c r="I271" s="9"/>
      <c r="J271" s="14" t="str">
        <f>IF(E271="","",IFERROR(VLOOKUP(E271,TabProd,5,FALSE),0)+SUMIFS($H$5:H271,$E$5:E271,E271)-SUMIFS($I$5:I271,$E$5:E271,E271))</f>
        <v/>
      </c>
      <c r="K271" s="7"/>
      <c r="L271" s="7"/>
      <c r="M271" s="1" t="str">
        <f>IF(E271="","",E271&amp;"|"&amp;COUNTIF($E$5:E271,E271))</f>
        <v/>
      </c>
    </row>
    <row r="272" spans="2:13" x14ac:dyDescent="0.2">
      <c r="B272" s="10"/>
      <c r="C272" s="7"/>
      <c r="D272" s="11"/>
      <c r="E272" s="6"/>
      <c r="F272" s="12" t="str">
        <f t="shared" si="8"/>
        <v/>
      </c>
      <c r="G272" s="13" t="str">
        <f t="shared" si="9"/>
        <v/>
      </c>
      <c r="H272" s="9"/>
      <c r="I272" s="9"/>
      <c r="J272" s="14" t="str">
        <f>IF(E272="","",IFERROR(VLOOKUP(E272,TabProd,5,FALSE),0)+SUMIFS($H$5:H272,$E$5:E272,E272)-SUMIFS($I$5:I272,$E$5:E272,E272))</f>
        <v/>
      </c>
      <c r="K272" s="7"/>
      <c r="L272" s="7"/>
      <c r="M272" s="1" t="str">
        <f>IF(E272="","",E272&amp;"|"&amp;COUNTIF($E$5:E272,E272))</f>
        <v/>
      </c>
    </row>
    <row r="273" spans="2:13" x14ac:dyDescent="0.2">
      <c r="B273" s="10"/>
      <c r="C273" s="7"/>
      <c r="D273" s="11"/>
      <c r="E273" s="6"/>
      <c r="F273" s="12" t="str">
        <f t="shared" si="8"/>
        <v/>
      </c>
      <c r="G273" s="13" t="str">
        <f t="shared" si="9"/>
        <v/>
      </c>
      <c r="H273" s="9"/>
      <c r="I273" s="9"/>
      <c r="J273" s="14" t="str">
        <f>IF(E273="","",IFERROR(VLOOKUP(E273,TabProd,5,FALSE),0)+SUMIFS($H$5:H273,$E$5:E273,E273)-SUMIFS($I$5:I273,$E$5:E273,E273))</f>
        <v/>
      </c>
      <c r="K273" s="7"/>
      <c r="L273" s="7"/>
      <c r="M273" s="1" t="str">
        <f>IF(E273="","",E273&amp;"|"&amp;COUNTIF($E$5:E273,E273))</f>
        <v/>
      </c>
    </row>
    <row r="274" spans="2:13" x14ac:dyDescent="0.2">
      <c r="B274" s="10"/>
      <c r="C274" s="7"/>
      <c r="D274" s="11"/>
      <c r="E274" s="6"/>
      <c r="F274" s="12" t="str">
        <f t="shared" si="8"/>
        <v/>
      </c>
      <c r="G274" s="13" t="str">
        <f t="shared" si="9"/>
        <v/>
      </c>
      <c r="H274" s="9"/>
      <c r="I274" s="9"/>
      <c r="J274" s="14" t="str">
        <f>IF(E274="","",IFERROR(VLOOKUP(E274,TabProd,5,FALSE),0)+SUMIFS($H$5:H274,$E$5:E274,E274)-SUMIFS($I$5:I274,$E$5:E274,E274))</f>
        <v/>
      </c>
      <c r="K274" s="7"/>
      <c r="L274" s="7"/>
      <c r="M274" s="1" t="str">
        <f>IF(E274="","",E274&amp;"|"&amp;COUNTIF($E$5:E274,E274))</f>
        <v/>
      </c>
    </row>
    <row r="275" spans="2:13" x14ac:dyDescent="0.2">
      <c r="B275" s="10"/>
      <c r="C275" s="7"/>
      <c r="D275" s="11"/>
      <c r="E275" s="6"/>
      <c r="F275" s="12" t="str">
        <f t="shared" si="8"/>
        <v/>
      </c>
      <c r="G275" s="13" t="str">
        <f t="shared" si="9"/>
        <v/>
      </c>
      <c r="H275" s="9"/>
      <c r="I275" s="9"/>
      <c r="J275" s="14" t="str">
        <f>IF(E275="","",IFERROR(VLOOKUP(E275,TabProd,5,FALSE),0)+SUMIFS($H$5:H275,$E$5:E275,E275)-SUMIFS($I$5:I275,$E$5:E275,E275))</f>
        <v/>
      </c>
      <c r="K275" s="7"/>
      <c r="L275" s="7"/>
      <c r="M275" s="1" t="str">
        <f>IF(E275="","",E275&amp;"|"&amp;COUNTIF($E$5:E275,E275))</f>
        <v/>
      </c>
    </row>
    <row r="276" spans="2:13" x14ac:dyDescent="0.2">
      <c r="B276" s="10"/>
      <c r="C276" s="7"/>
      <c r="D276" s="11"/>
      <c r="E276" s="6"/>
      <c r="F276" s="12" t="str">
        <f t="shared" si="8"/>
        <v/>
      </c>
      <c r="G276" s="13" t="str">
        <f t="shared" si="9"/>
        <v/>
      </c>
      <c r="H276" s="9"/>
      <c r="I276" s="9"/>
      <c r="J276" s="14" t="str">
        <f>IF(E276="","",IFERROR(VLOOKUP(E276,TabProd,5,FALSE),0)+SUMIFS($H$5:H276,$E$5:E276,E276)-SUMIFS($I$5:I276,$E$5:E276,E276))</f>
        <v/>
      </c>
      <c r="K276" s="7"/>
      <c r="L276" s="7"/>
      <c r="M276" s="1" t="str">
        <f>IF(E276="","",E276&amp;"|"&amp;COUNTIF($E$5:E276,E276))</f>
        <v/>
      </c>
    </row>
    <row r="277" spans="2:13" x14ac:dyDescent="0.2">
      <c r="B277" s="10"/>
      <c r="C277" s="7"/>
      <c r="D277" s="11"/>
      <c r="E277" s="6"/>
      <c r="F277" s="12" t="str">
        <f t="shared" si="8"/>
        <v/>
      </c>
      <c r="G277" s="13" t="str">
        <f t="shared" si="9"/>
        <v/>
      </c>
      <c r="H277" s="9"/>
      <c r="I277" s="9"/>
      <c r="J277" s="14" t="str">
        <f>IF(E277="","",IFERROR(VLOOKUP(E277,TabProd,5,FALSE),0)+SUMIFS($H$5:H277,$E$5:E277,E277)-SUMIFS($I$5:I277,$E$5:E277,E277))</f>
        <v/>
      </c>
      <c r="K277" s="7"/>
      <c r="L277" s="7"/>
      <c r="M277" s="1" t="str">
        <f>IF(E277="","",E277&amp;"|"&amp;COUNTIF($E$5:E277,E277))</f>
        <v/>
      </c>
    </row>
    <row r="278" spans="2:13" x14ac:dyDescent="0.2">
      <c r="B278" s="10"/>
      <c r="C278" s="7"/>
      <c r="D278" s="11"/>
      <c r="E278" s="6"/>
      <c r="F278" s="12" t="str">
        <f t="shared" si="8"/>
        <v/>
      </c>
      <c r="G278" s="13" t="str">
        <f t="shared" si="9"/>
        <v/>
      </c>
      <c r="H278" s="9"/>
      <c r="I278" s="9"/>
      <c r="J278" s="14" t="str">
        <f>IF(E278="","",IFERROR(VLOOKUP(E278,TabProd,5,FALSE),0)+SUMIFS($H$5:H278,$E$5:E278,E278)-SUMIFS($I$5:I278,$E$5:E278,E278))</f>
        <v/>
      </c>
      <c r="K278" s="7"/>
      <c r="L278" s="7"/>
      <c r="M278" s="1" t="str">
        <f>IF(E278="","",E278&amp;"|"&amp;COUNTIF($E$5:E278,E278))</f>
        <v/>
      </c>
    </row>
    <row r="279" spans="2:13" x14ac:dyDescent="0.2">
      <c r="B279" s="10"/>
      <c r="C279" s="7"/>
      <c r="D279" s="11"/>
      <c r="E279" s="6"/>
      <c r="F279" s="12" t="str">
        <f t="shared" si="8"/>
        <v/>
      </c>
      <c r="G279" s="13" t="str">
        <f t="shared" si="9"/>
        <v/>
      </c>
      <c r="H279" s="9"/>
      <c r="I279" s="9"/>
      <c r="J279" s="14" t="str">
        <f>IF(E279="","",IFERROR(VLOOKUP(E279,TabProd,5,FALSE),0)+SUMIFS($H$5:H279,$E$5:E279,E279)-SUMIFS($I$5:I279,$E$5:E279,E279))</f>
        <v/>
      </c>
      <c r="K279" s="7"/>
      <c r="L279" s="7"/>
      <c r="M279" s="1" t="str">
        <f>IF(E279="","",E279&amp;"|"&amp;COUNTIF($E$5:E279,E279))</f>
        <v/>
      </c>
    </row>
    <row r="280" spans="2:13" x14ac:dyDescent="0.2">
      <c r="B280" s="10"/>
      <c r="C280" s="7"/>
      <c r="D280" s="11"/>
      <c r="E280" s="6"/>
      <c r="F280" s="12" t="str">
        <f t="shared" si="8"/>
        <v/>
      </c>
      <c r="G280" s="13" t="str">
        <f t="shared" si="9"/>
        <v/>
      </c>
      <c r="H280" s="9"/>
      <c r="I280" s="9"/>
      <c r="J280" s="14" t="str">
        <f>IF(E280="","",IFERROR(VLOOKUP(E280,TabProd,5,FALSE),0)+SUMIFS($H$5:H280,$E$5:E280,E280)-SUMIFS($I$5:I280,$E$5:E280,E280))</f>
        <v/>
      </c>
      <c r="K280" s="7"/>
      <c r="L280" s="7"/>
      <c r="M280" s="1" t="str">
        <f>IF(E280="","",E280&amp;"|"&amp;COUNTIF($E$5:E280,E280))</f>
        <v/>
      </c>
    </row>
    <row r="281" spans="2:13" x14ac:dyDescent="0.2">
      <c r="B281" s="10"/>
      <c r="C281" s="7"/>
      <c r="D281" s="11"/>
      <c r="E281" s="6"/>
      <c r="F281" s="12" t="str">
        <f t="shared" si="8"/>
        <v/>
      </c>
      <c r="G281" s="13" t="str">
        <f t="shared" si="9"/>
        <v/>
      </c>
      <c r="H281" s="9"/>
      <c r="I281" s="9"/>
      <c r="J281" s="14" t="str">
        <f>IF(E281="","",IFERROR(VLOOKUP(E281,TabProd,5,FALSE),0)+SUMIFS($H$5:H281,$E$5:E281,E281)-SUMIFS($I$5:I281,$E$5:E281,E281))</f>
        <v/>
      </c>
      <c r="K281" s="7"/>
      <c r="L281" s="7"/>
      <c r="M281" s="1" t="str">
        <f>IF(E281="","",E281&amp;"|"&amp;COUNTIF($E$5:E281,E281))</f>
        <v/>
      </c>
    </row>
    <row r="282" spans="2:13" x14ac:dyDescent="0.2">
      <c r="B282" s="10"/>
      <c r="C282" s="7"/>
      <c r="D282" s="11"/>
      <c r="E282" s="6"/>
      <c r="F282" s="12" t="str">
        <f t="shared" si="8"/>
        <v/>
      </c>
      <c r="G282" s="13" t="str">
        <f t="shared" si="9"/>
        <v/>
      </c>
      <c r="H282" s="9"/>
      <c r="I282" s="9"/>
      <c r="J282" s="14" t="str">
        <f>IF(E282="","",IFERROR(VLOOKUP(E282,TabProd,5,FALSE),0)+SUMIFS($H$5:H282,$E$5:E282,E282)-SUMIFS($I$5:I282,$E$5:E282,E282))</f>
        <v/>
      </c>
      <c r="K282" s="7"/>
      <c r="L282" s="7"/>
      <c r="M282" s="1" t="str">
        <f>IF(E282="","",E282&amp;"|"&amp;COUNTIF($E$5:E282,E282))</f>
        <v/>
      </c>
    </row>
    <row r="283" spans="2:13" x14ac:dyDescent="0.2">
      <c r="B283" s="10"/>
      <c r="C283" s="7"/>
      <c r="D283" s="11"/>
      <c r="E283" s="6"/>
      <c r="F283" s="12" t="str">
        <f t="shared" si="8"/>
        <v/>
      </c>
      <c r="G283" s="13" t="str">
        <f t="shared" si="9"/>
        <v/>
      </c>
      <c r="H283" s="9"/>
      <c r="I283" s="9"/>
      <c r="J283" s="14" t="str">
        <f>IF(E283="","",IFERROR(VLOOKUP(E283,TabProd,5,FALSE),0)+SUMIFS($H$5:H283,$E$5:E283,E283)-SUMIFS($I$5:I283,$E$5:E283,E283))</f>
        <v/>
      </c>
      <c r="K283" s="7"/>
      <c r="L283" s="7"/>
      <c r="M283" s="1" t="str">
        <f>IF(E283="","",E283&amp;"|"&amp;COUNTIF($E$5:E283,E283))</f>
        <v/>
      </c>
    </row>
    <row r="284" spans="2:13" x14ac:dyDescent="0.2">
      <c r="B284" s="10"/>
      <c r="C284" s="7"/>
      <c r="D284" s="11"/>
      <c r="E284" s="6"/>
      <c r="F284" s="12" t="str">
        <f t="shared" si="8"/>
        <v/>
      </c>
      <c r="G284" s="13" t="str">
        <f t="shared" si="9"/>
        <v/>
      </c>
      <c r="H284" s="9"/>
      <c r="I284" s="9"/>
      <c r="J284" s="14" t="str">
        <f>IF(E284="","",IFERROR(VLOOKUP(E284,TabProd,5,FALSE),0)+SUMIFS($H$5:H284,$E$5:E284,E284)-SUMIFS($I$5:I284,$E$5:E284,E284))</f>
        <v/>
      </c>
      <c r="K284" s="7"/>
      <c r="L284" s="7"/>
      <c r="M284" s="1" t="str">
        <f>IF(E284="","",E284&amp;"|"&amp;COUNTIF($E$5:E284,E284))</f>
        <v/>
      </c>
    </row>
    <row r="285" spans="2:13" x14ac:dyDescent="0.2">
      <c r="B285" s="10"/>
      <c r="C285" s="7"/>
      <c r="D285" s="11"/>
      <c r="E285" s="6"/>
      <c r="F285" s="12" t="str">
        <f t="shared" si="8"/>
        <v/>
      </c>
      <c r="G285" s="13" t="str">
        <f t="shared" si="9"/>
        <v/>
      </c>
      <c r="H285" s="9"/>
      <c r="I285" s="9"/>
      <c r="J285" s="14" t="str">
        <f>IF(E285="","",IFERROR(VLOOKUP(E285,TabProd,5,FALSE),0)+SUMIFS($H$5:H285,$E$5:E285,E285)-SUMIFS($I$5:I285,$E$5:E285,E285))</f>
        <v/>
      </c>
      <c r="K285" s="7"/>
      <c r="L285" s="7"/>
      <c r="M285" s="1" t="str">
        <f>IF(E285="","",E285&amp;"|"&amp;COUNTIF($E$5:E285,E285))</f>
        <v/>
      </c>
    </row>
    <row r="286" spans="2:13" x14ac:dyDescent="0.2">
      <c r="B286" s="10"/>
      <c r="C286" s="7"/>
      <c r="D286" s="11"/>
      <c r="E286" s="6"/>
      <c r="F286" s="12" t="str">
        <f t="shared" si="8"/>
        <v/>
      </c>
      <c r="G286" s="13" t="str">
        <f t="shared" si="9"/>
        <v/>
      </c>
      <c r="H286" s="9"/>
      <c r="I286" s="9"/>
      <c r="J286" s="14" t="str">
        <f>IF(E286="","",IFERROR(VLOOKUP(E286,TabProd,5,FALSE),0)+SUMIFS($H$5:H286,$E$5:E286,E286)-SUMIFS($I$5:I286,$E$5:E286,E286))</f>
        <v/>
      </c>
      <c r="K286" s="7"/>
      <c r="L286" s="7"/>
      <c r="M286" s="1" t="str">
        <f>IF(E286="","",E286&amp;"|"&amp;COUNTIF($E$5:E286,E286))</f>
        <v/>
      </c>
    </row>
    <row r="287" spans="2:13" x14ac:dyDescent="0.2">
      <c r="B287" s="10"/>
      <c r="C287" s="7"/>
      <c r="D287" s="11"/>
      <c r="E287" s="6"/>
      <c r="F287" s="12" t="str">
        <f t="shared" si="8"/>
        <v/>
      </c>
      <c r="G287" s="13" t="str">
        <f t="shared" si="9"/>
        <v/>
      </c>
      <c r="H287" s="9"/>
      <c r="I287" s="9"/>
      <c r="J287" s="14" t="str">
        <f>IF(E287="","",IFERROR(VLOOKUP(E287,TabProd,5,FALSE),0)+SUMIFS($H$5:H287,$E$5:E287,E287)-SUMIFS($I$5:I287,$E$5:E287,E287))</f>
        <v/>
      </c>
      <c r="K287" s="7"/>
      <c r="L287" s="7"/>
      <c r="M287" s="1" t="str">
        <f>IF(E287="","",E287&amp;"|"&amp;COUNTIF($E$5:E287,E287))</f>
        <v/>
      </c>
    </row>
    <row r="288" spans="2:13" x14ac:dyDescent="0.2">
      <c r="B288" s="10"/>
      <c r="C288" s="7"/>
      <c r="D288" s="11"/>
      <c r="E288" s="6"/>
      <c r="F288" s="12" t="str">
        <f t="shared" si="8"/>
        <v/>
      </c>
      <c r="G288" s="13" t="str">
        <f t="shared" si="9"/>
        <v/>
      </c>
      <c r="H288" s="9"/>
      <c r="I288" s="9"/>
      <c r="J288" s="14" t="str">
        <f>IF(E288="","",IFERROR(VLOOKUP(E288,TabProd,5,FALSE),0)+SUMIFS($H$5:H288,$E$5:E288,E288)-SUMIFS($I$5:I288,$E$5:E288,E288))</f>
        <v/>
      </c>
      <c r="K288" s="7"/>
      <c r="L288" s="7"/>
      <c r="M288" s="1" t="str">
        <f>IF(E288="","",E288&amp;"|"&amp;COUNTIF($E$5:E288,E288))</f>
        <v/>
      </c>
    </row>
    <row r="289" spans="2:13" x14ac:dyDescent="0.2">
      <c r="B289" s="10"/>
      <c r="C289" s="7"/>
      <c r="D289" s="11"/>
      <c r="E289" s="6"/>
      <c r="F289" s="12" t="str">
        <f t="shared" si="8"/>
        <v/>
      </c>
      <c r="G289" s="13" t="str">
        <f t="shared" si="9"/>
        <v/>
      </c>
      <c r="H289" s="9"/>
      <c r="I289" s="9"/>
      <c r="J289" s="14" t="str">
        <f>IF(E289="","",IFERROR(VLOOKUP(E289,TabProd,5,FALSE),0)+SUMIFS($H$5:H289,$E$5:E289,E289)-SUMIFS($I$5:I289,$E$5:E289,E289))</f>
        <v/>
      </c>
      <c r="K289" s="7"/>
      <c r="L289" s="7"/>
      <c r="M289" s="1" t="str">
        <f>IF(E289="","",E289&amp;"|"&amp;COUNTIF($E$5:E289,E289))</f>
        <v/>
      </c>
    </row>
    <row r="290" spans="2:13" x14ac:dyDescent="0.2">
      <c r="B290" s="10"/>
      <c r="C290" s="7"/>
      <c r="D290" s="11"/>
      <c r="E290" s="6"/>
      <c r="F290" s="12" t="str">
        <f t="shared" si="8"/>
        <v/>
      </c>
      <c r="G290" s="13" t="str">
        <f t="shared" si="9"/>
        <v/>
      </c>
      <c r="H290" s="9"/>
      <c r="I290" s="9"/>
      <c r="J290" s="14" t="str">
        <f>IF(E290="","",IFERROR(VLOOKUP(E290,TabProd,5,FALSE),0)+SUMIFS($H$5:H290,$E$5:E290,E290)-SUMIFS($I$5:I290,$E$5:E290,E290))</f>
        <v/>
      </c>
      <c r="K290" s="7"/>
      <c r="L290" s="7"/>
      <c r="M290" s="1" t="str">
        <f>IF(E290="","",E290&amp;"|"&amp;COUNTIF($E$5:E290,E290))</f>
        <v/>
      </c>
    </row>
    <row r="291" spans="2:13" x14ac:dyDescent="0.2">
      <c r="B291" s="10"/>
      <c r="C291" s="7"/>
      <c r="D291" s="11"/>
      <c r="E291" s="6"/>
      <c r="F291" s="12" t="str">
        <f t="shared" si="8"/>
        <v/>
      </c>
      <c r="G291" s="13" t="str">
        <f t="shared" si="9"/>
        <v/>
      </c>
      <c r="H291" s="9"/>
      <c r="I291" s="9"/>
      <c r="J291" s="14" t="str">
        <f>IF(E291="","",IFERROR(VLOOKUP(E291,TabProd,5,FALSE),0)+SUMIFS($H$5:H291,$E$5:E291,E291)-SUMIFS($I$5:I291,$E$5:E291,E291))</f>
        <v/>
      </c>
      <c r="K291" s="7"/>
      <c r="L291" s="7"/>
      <c r="M291" s="1" t="str">
        <f>IF(E291="","",E291&amp;"|"&amp;COUNTIF($E$5:E291,E291))</f>
        <v/>
      </c>
    </row>
    <row r="292" spans="2:13" x14ac:dyDescent="0.2">
      <c r="B292" s="10"/>
      <c r="C292" s="7"/>
      <c r="D292" s="11"/>
      <c r="E292" s="6"/>
      <c r="F292" s="12" t="str">
        <f t="shared" si="8"/>
        <v/>
      </c>
      <c r="G292" s="13" t="str">
        <f t="shared" si="9"/>
        <v/>
      </c>
      <c r="H292" s="9"/>
      <c r="I292" s="9"/>
      <c r="J292" s="14" t="str">
        <f>IF(E292="","",IFERROR(VLOOKUP(E292,TabProd,5,FALSE),0)+SUMIFS($H$5:H292,$E$5:E292,E292)-SUMIFS($I$5:I292,$E$5:E292,E292))</f>
        <v/>
      </c>
      <c r="K292" s="7"/>
      <c r="L292" s="7"/>
      <c r="M292" s="1" t="str">
        <f>IF(E292="","",E292&amp;"|"&amp;COUNTIF($E$5:E292,E292))</f>
        <v/>
      </c>
    </row>
    <row r="293" spans="2:13" x14ac:dyDescent="0.2">
      <c r="B293" s="10"/>
      <c r="C293" s="7"/>
      <c r="D293" s="11"/>
      <c r="E293" s="6"/>
      <c r="F293" s="12" t="str">
        <f t="shared" si="8"/>
        <v/>
      </c>
      <c r="G293" s="13" t="str">
        <f t="shared" si="9"/>
        <v/>
      </c>
      <c r="H293" s="9"/>
      <c r="I293" s="9"/>
      <c r="J293" s="14" t="str">
        <f>IF(E293="","",IFERROR(VLOOKUP(E293,TabProd,5,FALSE),0)+SUMIFS($H$5:H293,$E$5:E293,E293)-SUMIFS($I$5:I293,$E$5:E293,E293))</f>
        <v/>
      </c>
      <c r="K293" s="7"/>
      <c r="L293" s="7"/>
      <c r="M293" s="1" t="str">
        <f>IF(E293="","",E293&amp;"|"&amp;COUNTIF($E$5:E293,E293))</f>
        <v/>
      </c>
    </row>
    <row r="294" spans="2:13" x14ac:dyDescent="0.2">
      <c r="B294" s="10"/>
      <c r="C294" s="7"/>
      <c r="D294" s="11"/>
      <c r="E294" s="6"/>
      <c r="F294" s="12" t="str">
        <f t="shared" si="8"/>
        <v/>
      </c>
      <c r="G294" s="13" t="str">
        <f t="shared" si="9"/>
        <v/>
      </c>
      <c r="H294" s="9"/>
      <c r="I294" s="9"/>
      <c r="J294" s="14" t="str">
        <f>IF(E294="","",IFERROR(VLOOKUP(E294,TabProd,5,FALSE),0)+SUMIFS($H$5:H294,$E$5:E294,E294)-SUMIFS($I$5:I294,$E$5:E294,E294))</f>
        <v/>
      </c>
      <c r="K294" s="7"/>
      <c r="L294" s="7"/>
      <c r="M294" s="1" t="str">
        <f>IF(E294="","",E294&amp;"|"&amp;COUNTIF($E$5:E294,E294))</f>
        <v/>
      </c>
    </row>
    <row r="295" spans="2:13" x14ac:dyDescent="0.2">
      <c r="B295" s="10"/>
      <c r="C295" s="7"/>
      <c r="D295" s="11"/>
      <c r="E295" s="6"/>
      <c r="F295" s="12" t="str">
        <f t="shared" si="8"/>
        <v/>
      </c>
      <c r="G295" s="13" t="str">
        <f t="shared" si="9"/>
        <v/>
      </c>
      <c r="H295" s="9"/>
      <c r="I295" s="9"/>
      <c r="J295" s="14" t="str">
        <f>IF(E295="","",IFERROR(VLOOKUP(E295,TabProd,5,FALSE),0)+SUMIFS($H$5:H295,$E$5:E295,E295)-SUMIFS($I$5:I295,$E$5:E295,E295))</f>
        <v/>
      </c>
      <c r="K295" s="7"/>
      <c r="L295" s="7"/>
      <c r="M295" s="1" t="str">
        <f>IF(E295="","",E295&amp;"|"&amp;COUNTIF($E$5:E295,E295))</f>
        <v/>
      </c>
    </row>
    <row r="296" spans="2:13" x14ac:dyDescent="0.2">
      <c r="B296" s="10"/>
      <c r="C296" s="7"/>
      <c r="D296" s="11"/>
      <c r="E296" s="6"/>
      <c r="F296" s="12" t="str">
        <f t="shared" si="8"/>
        <v/>
      </c>
      <c r="G296" s="13" t="str">
        <f t="shared" si="9"/>
        <v/>
      </c>
      <c r="H296" s="9"/>
      <c r="I296" s="9"/>
      <c r="J296" s="14" t="str">
        <f>IF(E296="","",IFERROR(VLOOKUP(E296,TabProd,5,FALSE),0)+SUMIFS($H$5:H296,$E$5:E296,E296)-SUMIFS($I$5:I296,$E$5:E296,E296))</f>
        <v/>
      </c>
      <c r="K296" s="7"/>
      <c r="L296" s="7"/>
      <c r="M296" s="1" t="str">
        <f>IF(E296="","",E296&amp;"|"&amp;COUNTIF($E$5:E296,E296))</f>
        <v/>
      </c>
    </row>
    <row r="297" spans="2:13" x14ac:dyDescent="0.2">
      <c r="B297" s="10"/>
      <c r="C297" s="7"/>
      <c r="D297" s="11"/>
      <c r="E297" s="6"/>
      <c r="F297" s="12" t="str">
        <f t="shared" si="8"/>
        <v/>
      </c>
      <c r="G297" s="13" t="str">
        <f t="shared" si="9"/>
        <v/>
      </c>
      <c r="H297" s="9"/>
      <c r="I297" s="9"/>
      <c r="J297" s="14" t="str">
        <f>IF(E297="","",IFERROR(VLOOKUP(E297,TabProd,5,FALSE),0)+SUMIFS($H$5:H297,$E$5:E297,E297)-SUMIFS($I$5:I297,$E$5:E297,E297))</f>
        <v/>
      </c>
      <c r="K297" s="7"/>
      <c r="L297" s="7"/>
      <c r="M297" s="1" t="str">
        <f>IF(E297="","",E297&amp;"|"&amp;COUNTIF($E$5:E297,E297))</f>
        <v/>
      </c>
    </row>
    <row r="298" spans="2:13" x14ac:dyDescent="0.2">
      <c r="B298" s="10"/>
      <c r="C298" s="7"/>
      <c r="D298" s="11"/>
      <c r="E298" s="6"/>
      <c r="F298" s="12" t="str">
        <f t="shared" si="8"/>
        <v/>
      </c>
      <c r="G298" s="13" t="str">
        <f t="shared" si="9"/>
        <v/>
      </c>
      <c r="H298" s="9"/>
      <c r="I298" s="9"/>
      <c r="J298" s="14" t="str">
        <f>IF(E298="","",IFERROR(VLOOKUP(E298,TabProd,5,FALSE),0)+SUMIFS($H$5:H298,$E$5:E298,E298)-SUMIFS($I$5:I298,$E$5:E298,E298))</f>
        <v/>
      </c>
      <c r="K298" s="7"/>
      <c r="L298" s="7"/>
      <c r="M298" s="1" t="str">
        <f>IF(E298="","",E298&amp;"|"&amp;COUNTIF($E$5:E298,E298))</f>
        <v/>
      </c>
    </row>
    <row r="299" spans="2:13" x14ac:dyDescent="0.2">
      <c r="B299" s="10"/>
      <c r="C299" s="7"/>
      <c r="D299" s="11"/>
      <c r="E299" s="6"/>
      <c r="F299" s="12" t="str">
        <f t="shared" si="8"/>
        <v/>
      </c>
      <c r="G299" s="13" t="str">
        <f t="shared" si="9"/>
        <v/>
      </c>
      <c r="H299" s="9"/>
      <c r="I299" s="9"/>
      <c r="J299" s="14" t="str">
        <f>IF(E299="","",IFERROR(VLOOKUP(E299,TabProd,5,FALSE),0)+SUMIFS($H$5:H299,$E$5:E299,E299)-SUMIFS($I$5:I299,$E$5:E299,E299))</f>
        <v/>
      </c>
      <c r="K299" s="7"/>
      <c r="L299" s="7"/>
      <c r="M299" s="1" t="str">
        <f>IF(E299="","",E299&amp;"|"&amp;COUNTIF($E$5:E299,E299))</f>
        <v/>
      </c>
    </row>
    <row r="300" spans="2:13" x14ac:dyDescent="0.2">
      <c r="B300" s="10"/>
      <c r="C300" s="7"/>
      <c r="D300" s="11"/>
      <c r="E300" s="6"/>
      <c r="F300" s="12" t="str">
        <f t="shared" si="8"/>
        <v/>
      </c>
      <c r="G300" s="13" t="str">
        <f t="shared" si="9"/>
        <v/>
      </c>
      <c r="H300" s="9"/>
      <c r="I300" s="9"/>
      <c r="J300" s="14" t="str">
        <f>IF(E300="","",IFERROR(VLOOKUP(E300,TabProd,5,FALSE),0)+SUMIFS($H$5:H300,$E$5:E300,E300)-SUMIFS($I$5:I300,$E$5:E300,E300))</f>
        <v/>
      </c>
      <c r="K300" s="7"/>
      <c r="L300" s="7"/>
      <c r="M300" s="1" t="str">
        <f>IF(E300="","",E300&amp;"|"&amp;COUNTIF($E$5:E300,E300))</f>
        <v/>
      </c>
    </row>
    <row r="301" spans="2:13" x14ac:dyDescent="0.2">
      <c r="B301" s="10"/>
      <c r="C301" s="7"/>
      <c r="D301" s="11"/>
      <c r="E301" s="6"/>
      <c r="F301" s="12" t="str">
        <f t="shared" si="8"/>
        <v/>
      </c>
      <c r="G301" s="13" t="str">
        <f t="shared" si="9"/>
        <v/>
      </c>
      <c r="H301" s="9"/>
      <c r="I301" s="9"/>
      <c r="J301" s="14" t="str">
        <f>IF(E301="","",IFERROR(VLOOKUP(E301,TabProd,5,FALSE),0)+SUMIFS($H$5:H301,$E$5:E301,E301)-SUMIFS($I$5:I301,$E$5:E301,E301))</f>
        <v/>
      </c>
      <c r="K301" s="7"/>
      <c r="L301" s="7"/>
      <c r="M301" s="1" t="str">
        <f>IF(E301="","",E301&amp;"|"&amp;COUNTIF($E$5:E301,E301))</f>
        <v/>
      </c>
    </row>
    <row r="302" spans="2:13" x14ac:dyDescent="0.2">
      <c r="B302" s="10"/>
      <c r="C302" s="7"/>
      <c r="D302" s="11"/>
      <c r="E302" s="6"/>
      <c r="F302" s="12" t="str">
        <f t="shared" si="8"/>
        <v/>
      </c>
      <c r="G302" s="13" t="str">
        <f t="shared" si="9"/>
        <v/>
      </c>
      <c r="H302" s="9"/>
      <c r="I302" s="9"/>
      <c r="J302" s="14" t="str">
        <f>IF(E302="","",IFERROR(VLOOKUP(E302,TabProd,5,FALSE),0)+SUMIFS($H$5:H302,$E$5:E302,E302)-SUMIFS($I$5:I302,$E$5:E302,E302))</f>
        <v/>
      </c>
      <c r="K302" s="7"/>
      <c r="L302" s="7"/>
      <c r="M302" s="1" t="str">
        <f>IF(E302="","",E302&amp;"|"&amp;COUNTIF($E$5:E302,E302))</f>
        <v/>
      </c>
    </row>
    <row r="303" spans="2:13" x14ac:dyDescent="0.2">
      <c r="B303" s="10"/>
      <c r="C303" s="7"/>
      <c r="D303" s="11"/>
      <c r="E303" s="6"/>
      <c r="F303" s="12" t="str">
        <f t="shared" si="8"/>
        <v/>
      </c>
      <c r="G303" s="13" t="str">
        <f t="shared" si="9"/>
        <v/>
      </c>
      <c r="H303" s="9"/>
      <c r="I303" s="9"/>
      <c r="J303" s="14" t="str">
        <f>IF(E303="","",IFERROR(VLOOKUP(E303,TabProd,5,FALSE),0)+SUMIFS($H$5:H303,$E$5:E303,E303)-SUMIFS($I$5:I303,$E$5:E303,E303))</f>
        <v/>
      </c>
      <c r="K303" s="7"/>
      <c r="L303" s="7"/>
      <c r="M303" s="1" t="str">
        <f>IF(E303="","",E303&amp;"|"&amp;COUNTIF($E$5:E303,E303))</f>
        <v/>
      </c>
    </row>
    <row r="304" spans="2:13" x14ac:dyDescent="0.2">
      <c r="B304" s="10"/>
      <c r="C304" s="7"/>
      <c r="D304" s="11"/>
      <c r="E304" s="6"/>
      <c r="F304" s="12" t="str">
        <f t="shared" si="8"/>
        <v/>
      </c>
      <c r="G304" s="13" t="str">
        <f t="shared" si="9"/>
        <v/>
      </c>
      <c r="H304" s="9"/>
      <c r="I304" s="9"/>
      <c r="J304" s="14" t="str">
        <f>IF(E304="","",IFERROR(VLOOKUP(E304,TabProd,5,FALSE),0)+SUMIFS($H$5:H304,$E$5:E304,E304)-SUMIFS($I$5:I304,$E$5:E304,E304))</f>
        <v/>
      </c>
      <c r="K304" s="7"/>
      <c r="L304" s="7"/>
      <c r="M304" s="1" t="str">
        <f>IF(E304="","",E304&amp;"|"&amp;COUNTIF($E$5:E304,E304))</f>
        <v/>
      </c>
    </row>
    <row r="305" spans="2:13" x14ac:dyDescent="0.2">
      <c r="B305" s="10"/>
      <c r="C305" s="7"/>
      <c r="D305" s="11"/>
      <c r="E305" s="6"/>
      <c r="F305" s="12" t="str">
        <f t="shared" si="8"/>
        <v/>
      </c>
      <c r="G305" s="13" t="str">
        <f t="shared" si="9"/>
        <v/>
      </c>
      <c r="H305" s="9"/>
      <c r="I305" s="9"/>
      <c r="J305" s="14" t="str">
        <f>IF(E305="","",IFERROR(VLOOKUP(E305,TabProd,5,FALSE),0)+SUMIFS($H$5:H305,$E$5:E305,E305)-SUMIFS($I$5:I305,$E$5:E305,E305))</f>
        <v/>
      </c>
      <c r="K305" s="7"/>
      <c r="L305" s="7"/>
      <c r="M305" s="1" t="str">
        <f>IF(E305="","",E305&amp;"|"&amp;COUNTIF($E$5:E305,E305))</f>
        <v/>
      </c>
    </row>
    <row r="306" spans="2:13" x14ac:dyDescent="0.2">
      <c r="B306" s="10"/>
      <c r="C306" s="7"/>
      <c r="D306" s="11"/>
      <c r="E306" s="6"/>
      <c r="F306" s="12" t="str">
        <f t="shared" si="8"/>
        <v/>
      </c>
      <c r="G306" s="13" t="str">
        <f t="shared" si="9"/>
        <v/>
      </c>
      <c r="H306" s="9"/>
      <c r="I306" s="9"/>
      <c r="J306" s="14" t="str">
        <f>IF(E306="","",IFERROR(VLOOKUP(E306,TabProd,5,FALSE),0)+SUMIFS($H$5:H306,$E$5:E306,E306)-SUMIFS($I$5:I306,$E$5:E306,E306))</f>
        <v/>
      </c>
      <c r="K306" s="7"/>
      <c r="L306" s="7"/>
      <c r="M306" s="1" t="str">
        <f>IF(E306="","",E306&amp;"|"&amp;COUNTIF($E$5:E306,E306))</f>
        <v/>
      </c>
    </row>
    <row r="307" spans="2:13" x14ac:dyDescent="0.2">
      <c r="B307" s="10"/>
      <c r="C307" s="7"/>
      <c r="D307" s="11"/>
      <c r="E307" s="6"/>
      <c r="F307" s="12" t="str">
        <f t="shared" si="8"/>
        <v/>
      </c>
      <c r="G307" s="13" t="str">
        <f t="shared" si="9"/>
        <v/>
      </c>
      <c r="H307" s="9"/>
      <c r="I307" s="9"/>
      <c r="J307" s="14" t="str">
        <f>IF(E307="","",IFERROR(VLOOKUP(E307,TabProd,5,FALSE),0)+SUMIFS($H$5:H307,$E$5:E307,E307)-SUMIFS($I$5:I307,$E$5:E307,E307))</f>
        <v/>
      </c>
      <c r="K307" s="7"/>
      <c r="L307" s="7"/>
      <c r="M307" s="1" t="str">
        <f>IF(E307="","",E307&amp;"|"&amp;COUNTIF($E$5:E307,E307))</f>
        <v/>
      </c>
    </row>
    <row r="308" spans="2:13" x14ac:dyDescent="0.2">
      <c r="B308" s="10"/>
      <c r="C308" s="7"/>
      <c r="D308" s="11"/>
      <c r="E308" s="6"/>
      <c r="F308" s="12" t="str">
        <f t="shared" si="8"/>
        <v/>
      </c>
      <c r="G308" s="13" t="str">
        <f t="shared" si="9"/>
        <v/>
      </c>
      <c r="H308" s="9"/>
      <c r="I308" s="9"/>
      <c r="J308" s="14" t="str">
        <f>IF(E308="","",IFERROR(VLOOKUP(E308,TabProd,5,FALSE),0)+SUMIFS($H$5:H308,$E$5:E308,E308)-SUMIFS($I$5:I308,$E$5:E308,E308))</f>
        <v/>
      </c>
      <c r="K308" s="7"/>
      <c r="L308" s="7"/>
      <c r="M308" s="1" t="str">
        <f>IF(E308="","",E308&amp;"|"&amp;COUNTIF($E$5:E308,E308))</f>
        <v/>
      </c>
    </row>
    <row r="309" spans="2:13" x14ac:dyDescent="0.2">
      <c r="B309" s="10"/>
      <c r="C309" s="7"/>
      <c r="D309" s="11"/>
      <c r="E309" s="6"/>
      <c r="F309" s="12" t="str">
        <f t="shared" si="8"/>
        <v/>
      </c>
      <c r="G309" s="13" t="str">
        <f t="shared" si="9"/>
        <v/>
      </c>
      <c r="H309" s="9"/>
      <c r="I309" s="9"/>
      <c r="J309" s="14" t="str">
        <f>IF(E309="","",IFERROR(VLOOKUP(E309,TabProd,5,FALSE),0)+SUMIFS($H$5:H309,$E$5:E309,E309)-SUMIFS($I$5:I309,$E$5:E309,E309))</f>
        <v/>
      </c>
      <c r="K309" s="7"/>
      <c r="L309" s="7"/>
      <c r="M309" s="1" t="str">
        <f>IF(E309="","",E309&amp;"|"&amp;COUNTIF($E$5:E309,E309))</f>
        <v/>
      </c>
    </row>
    <row r="310" spans="2:13" x14ac:dyDescent="0.2">
      <c r="B310" s="10"/>
      <c r="C310" s="7"/>
      <c r="D310" s="11"/>
      <c r="E310" s="6"/>
      <c r="F310" s="12" t="str">
        <f t="shared" si="8"/>
        <v/>
      </c>
      <c r="G310" s="13" t="str">
        <f t="shared" si="9"/>
        <v/>
      </c>
      <c r="H310" s="9"/>
      <c r="I310" s="9"/>
      <c r="J310" s="14" t="str">
        <f>IF(E310="","",IFERROR(VLOOKUP(E310,TabProd,5,FALSE),0)+SUMIFS($H$5:H310,$E$5:E310,E310)-SUMIFS($I$5:I310,$E$5:E310,E310))</f>
        <v/>
      </c>
      <c r="K310" s="7"/>
      <c r="L310" s="7"/>
      <c r="M310" s="1" t="str">
        <f>IF(E310="","",E310&amp;"|"&amp;COUNTIF($E$5:E310,E310))</f>
        <v/>
      </c>
    </row>
    <row r="311" spans="2:13" x14ac:dyDescent="0.2">
      <c r="B311" s="10"/>
      <c r="C311" s="7"/>
      <c r="D311" s="11"/>
      <c r="E311" s="6"/>
      <c r="F311" s="12" t="str">
        <f t="shared" si="8"/>
        <v/>
      </c>
      <c r="G311" s="13" t="str">
        <f t="shared" si="9"/>
        <v/>
      </c>
      <c r="H311" s="9"/>
      <c r="I311" s="9"/>
      <c r="J311" s="14" t="str">
        <f>IF(E311="","",IFERROR(VLOOKUP(E311,TabProd,5,FALSE),0)+SUMIFS($H$5:H311,$E$5:E311,E311)-SUMIFS($I$5:I311,$E$5:E311,E311))</f>
        <v/>
      </c>
      <c r="K311" s="7"/>
      <c r="L311" s="7"/>
      <c r="M311" s="1" t="str">
        <f>IF(E311="","",E311&amp;"|"&amp;COUNTIF($E$5:E311,E311))</f>
        <v/>
      </c>
    </row>
    <row r="312" spans="2:13" x14ac:dyDescent="0.2">
      <c r="B312" s="10"/>
      <c r="C312" s="7"/>
      <c r="D312" s="11"/>
      <c r="E312" s="6"/>
      <c r="F312" s="12" t="str">
        <f t="shared" si="8"/>
        <v/>
      </c>
      <c r="G312" s="13" t="str">
        <f t="shared" si="9"/>
        <v/>
      </c>
      <c r="H312" s="9"/>
      <c r="I312" s="9"/>
      <c r="J312" s="14" t="str">
        <f>IF(E312="","",IFERROR(VLOOKUP(E312,TabProd,5,FALSE),0)+SUMIFS($H$5:H312,$E$5:E312,E312)-SUMIFS($I$5:I312,$E$5:E312,E312))</f>
        <v/>
      </c>
      <c r="K312" s="7"/>
      <c r="L312" s="7"/>
      <c r="M312" s="1" t="str">
        <f>IF(E312="","",E312&amp;"|"&amp;COUNTIF($E$5:E312,E312))</f>
        <v/>
      </c>
    </row>
    <row r="313" spans="2:13" x14ac:dyDescent="0.2">
      <c r="B313" s="10"/>
      <c r="C313" s="7"/>
      <c r="D313" s="11"/>
      <c r="E313" s="6"/>
      <c r="F313" s="12" t="str">
        <f t="shared" si="8"/>
        <v/>
      </c>
      <c r="G313" s="13" t="str">
        <f t="shared" si="9"/>
        <v/>
      </c>
      <c r="H313" s="9"/>
      <c r="I313" s="9"/>
      <c r="J313" s="14" t="str">
        <f>IF(E313="","",IFERROR(VLOOKUP(E313,TabProd,5,FALSE),0)+SUMIFS($H$5:H313,$E$5:E313,E313)-SUMIFS($I$5:I313,$E$5:E313,E313))</f>
        <v/>
      </c>
      <c r="K313" s="7"/>
      <c r="L313" s="7"/>
      <c r="M313" s="1" t="str">
        <f>IF(E313="","",E313&amp;"|"&amp;COUNTIF($E$5:E313,E313))</f>
        <v/>
      </c>
    </row>
    <row r="314" spans="2:13" x14ac:dyDescent="0.2">
      <c r="B314" s="10"/>
      <c r="C314" s="7"/>
      <c r="D314" s="11"/>
      <c r="E314" s="6"/>
      <c r="F314" s="12" t="str">
        <f t="shared" si="8"/>
        <v/>
      </c>
      <c r="G314" s="13" t="str">
        <f t="shared" si="9"/>
        <v/>
      </c>
      <c r="H314" s="9"/>
      <c r="I314" s="9"/>
      <c r="J314" s="14" t="str">
        <f>IF(E314="","",IFERROR(VLOOKUP(E314,TabProd,5,FALSE),0)+SUMIFS($H$5:H314,$E$5:E314,E314)-SUMIFS($I$5:I314,$E$5:E314,E314))</f>
        <v/>
      </c>
      <c r="K314" s="7"/>
      <c r="L314" s="7"/>
      <c r="M314" s="1" t="str">
        <f>IF(E314="","",E314&amp;"|"&amp;COUNTIF($E$5:E314,E314))</f>
        <v/>
      </c>
    </row>
    <row r="315" spans="2:13" x14ac:dyDescent="0.2">
      <c r="B315" s="10"/>
      <c r="C315" s="7"/>
      <c r="D315" s="11"/>
      <c r="E315" s="6"/>
      <c r="F315" s="12" t="str">
        <f t="shared" si="8"/>
        <v/>
      </c>
      <c r="G315" s="13" t="str">
        <f t="shared" si="9"/>
        <v/>
      </c>
      <c r="H315" s="9"/>
      <c r="I315" s="9"/>
      <c r="J315" s="14" t="str">
        <f>IF(E315="","",IFERROR(VLOOKUP(E315,TabProd,5,FALSE),0)+SUMIFS($H$5:H315,$E$5:E315,E315)-SUMIFS($I$5:I315,$E$5:E315,E315))</f>
        <v/>
      </c>
      <c r="K315" s="7"/>
      <c r="L315" s="7"/>
      <c r="M315" s="1" t="str">
        <f>IF(E315="","",E315&amp;"|"&amp;COUNTIF($E$5:E315,E315))</f>
        <v/>
      </c>
    </row>
    <row r="316" spans="2:13" x14ac:dyDescent="0.2">
      <c r="B316" s="10"/>
      <c r="C316" s="7"/>
      <c r="D316" s="11"/>
      <c r="E316" s="6"/>
      <c r="F316" s="12" t="str">
        <f t="shared" si="8"/>
        <v/>
      </c>
      <c r="G316" s="13" t="str">
        <f t="shared" si="9"/>
        <v/>
      </c>
      <c r="H316" s="9"/>
      <c r="I316" s="9"/>
      <c r="J316" s="14" t="str">
        <f>IF(E316="","",IFERROR(VLOOKUP(E316,TabProd,5,FALSE),0)+SUMIFS($H$5:H316,$E$5:E316,E316)-SUMIFS($I$5:I316,$E$5:E316,E316))</f>
        <v/>
      </c>
      <c r="K316" s="7"/>
      <c r="L316" s="7"/>
      <c r="M316" s="1" t="str">
        <f>IF(E316="","",E316&amp;"|"&amp;COUNTIF($E$5:E316,E316))</f>
        <v/>
      </c>
    </row>
    <row r="317" spans="2:13" x14ac:dyDescent="0.2">
      <c r="B317" s="10"/>
      <c r="C317" s="7"/>
      <c r="D317" s="11"/>
      <c r="E317" s="6"/>
      <c r="F317" s="12" t="str">
        <f t="shared" si="8"/>
        <v/>
      </c>
      <c r="G317" s="13" t="str">
        <f t="shared" si="9"/>
        <v/>
      </c>
      <c r="H317" s="9"/>
      <c r="I317" s="9"/>
      <c r="J317" s="14" t="str">
        <f>IF(E317="","",IFERROR(VLOOKUP(E317,TabProd,5,FALSE),0)+SUMIFS($H$5:H317,$E$5:E317,E317)-SUMIFS($I$5:I317,$E$5:E317,E317))</f>
        <v/>
      </c>
      <c r="K317" s="7"/>
      <c r="L317" s="7"/>
      <c r="M317" s="1" t="str">
        <f>IF(E317="","",E317&amp;"|"&amp;COUNTIF($E$5:E317,E317))</f>
        <v/>
      </c>
    </row>
    <row r="318" spans="2:13" x14ac:dyDescent="0.2">
      <c r="B318" s="10"/>
      <c r="C318" s="7"/>
      <c r="D318" s="11"/>
      <c r="E318" s="6"/>
      <c r="F318" s="12" t="str">
        <f t="shared" si="8"/>
        <v/>
      </c>
      <c r="G318" s="13" t="str">
        <f t="shared" si="9"/>
        <v/>
      </c>
      <c r="H318" s="9"/>
      <c r="I318" s="9"/>
      <c r="J318" s="14" t="str">
        <f>IF(E318="","",IFERROR(VLOOKUP(E318,TabProd,5,FALSE),0)+SUMIFS($H$5:H318,$E$5:E318,E318)-SUMIFS($I$5:I318,$E$5:E318,E318))</f>
        <v/>
      </c>
      <c r="K318" s="7"/>
      <c r="L318" s="7"/>
      <c r="M318" s="1" t="str">
        <f>IF(E318="","",E318&amp;"|"&amp;COUNTIF($E$5:E318,E318))</f>
        <v/>
      </c>
    </row>
    <row r="319" spans="2:13" x14ac:dyDescent="0.2">
      <c r="B319" s="10"/>
      <c r="C319" s="7"/>
      <c r="D319" s="11"/>
      <c r="E319" s="6"/>
      <c r="F319" s="12" t="str">
        <f t="shared" si="8"/>
        <v/>
      </c>
      <c r="G319" s="13" t="str">
        <f t="shared" si="9"/>
        <v/>
      </c>
      <c r="H319" s="9"/>
      <c r="I319" s="9"/>
      <c r="J319" s="14" t="str">
        <f>IF(E319="","",IFERROR(VLOOKUP(E319,TabProd,5,FALSE),0)+SUMIFS($H$5:H319,$E$5:E319,E319)-SUMIFS($I$5:I319,$E$5:E319,E319))</f>
        <v/>
      </c>
      <c r="K319" s="7"/>
      <c r="L319" s="7"/>
      <c r="M319" s="1" t="str">
        <f>IF(E319="","",E319&amp;"|"&amp;COUNTIF($E$5:E319,E319))</f>
        <v/>
      </c>
    </row>
    <row r="320" spans="2:13" x14ac:dyDescent="0.2">
      <c r="B320" s="10"/>
      <c r="C320" s="7"/>
      <c r="D320" s="11"/>
      <c r="E320" s="6"/>
      <c r="F320" s="12" t="str">
        <f t="shared" si="8"/>
        <v/>
      </c>
      <c r="G320" s="13" t="str">
        <f t="shared" si="9"/>
        <v/>
      </c>
      <c r="H320" s="9"/>
      <c r="I320" s="9"/>
      <c r="J320" s="14" t="str">
        <f>IF(E320="","",IFERROR(VLOOKUP(E320,TabProd,5,FALSE),0)+SUMIFS($H$5:H320,$E$5:E320,E320)-SUMIFS($I$5:I320,$E$5:E320,E320))</f>
        <v/>
      </c>
      <c r="K320" s="7"/>
      <c r="L320" s="7"/>
      <c r="M320" s="1" t="str">
        <f>IF(E320="","",E320&amp;"|"&amp;COUNTIF($E$5:E320,E320))</f>
        <v/>
      </c>
    </row>
    <row r="321" spans="2:13" x14ac:dyDescent="0.2">
      <c r="B321" s="10"/>
      <c r="C321" s="7"/>
      <c r="D321" s="11"/>
      <c r="E321" s="6"/>
      <c r="F321" s="12" t="str">
        <f t="shared" si="8"/>
        <v/>
      </c>
      <c r="G321" s="13" t="str">
        <f t="shared" si="9"/>
        <v/>
      </c>
      <c r="H321" s="9"/>
      <c r="I321" s="9"/>
      <c r="J321" s="14" t="str">
        <f>IF(E321="","",IFERROR(VLOOKUP(E321,TabProd,5,FALSE),0)+SUMIFS($H$5:H321,$E$5:E321,E321)-SUMIFS($I$5:I321,$E$5:E321,E321))</f>
        <v/>
      </c>
      <c r="K321" s="7"/>
      <c r="L321" s="7"/>
      <c r="M321" s="1" t="str">
        <f>IF(E321="","",E321&amp;"|"&amp;COUNTIF($E$5:E321,E321))</f>
        <v/>
      </c>
    </row>
    <row r="322" spans="2:13" x14ac:dyDescent="0.2">
      <c r="B322" s="10"/>
      <c r="C322" s="7"/>
      <c r="D322" s="11"/>
      <c r="E322" s="6"/>
      <c r="F322" s="12" t="str">
        <f t="shared" si="8"/>
        <v/>
      </c>
      <c r="G322" s="13" t="str">
        <f t="shared" si="9"/>
        <v/>
      </c>
      <c r="H322" s="9"/>
      <c r="I322" s="9"/>
      <c r="J322" s="14" t="str">
        <f>IF(E322="","",IFERROR(VLOOKUP(E322,TabProd,5,FALSE),0)+SUMIFS($H$5:H322,$E$5:E322,E322)-SUMIFS($I$5:I322,$E$5:E322,E322))</f>
        <v/>
      </c>
      <c r="K322" s="7"/>
      <c r="L322" s="7"/>
      <c r="M322" s="1" t="str">
        <f>IF(E322="","",E322&amp;"|"&amp;COUNTIF($E$5:E322,E322))</f>
        <v/>
      </c>
    </row>
    <row r="323" spans="2:13" x14ac:dyDescent="0.2">
      <c r="B323" s="10"/>
      <c r="C323" s="7"/>
      <c r="D323" s="11"/>
      <c r="E323" s="6"/>
      <c r="F323" s="12" t="str">
        <f t="shared" si="8"/>
        <v/>
      </c>
      <c r="G323" s="13" t="str">
        <f t="shared" si="9"/>
        <v/>
      </c>
      <c r="H323" s="9"/>
      <c r="I323" s="9"/>
      <c r="J323" s="14" t="str">
        <f>IF(E323="","",IFERROR(VLOOKUP(E323,TabProd,5,FALSE),0)+SUMIFS($H$5:H323,$E$5:E323,E323)-SUMIFS($I$5:I323,$E$5:E323,E323))</f>
        <v/>
      </c>
      <c r="K323" s="7"/>
      <c r="L323" s="7"/>
      <c r="M323" s="1" t="str">
        <f>IF(E323="","",E323&amp;"|"&amp;COUNTIF($E$5:E323,E323))</f>
        <v/>
      </c>
    </row>
    <row r="324" spans="2:13" x14ac:dyDescent="0.2">
      <c r="B324" s="10"/>
      <c r="C324" s="7"/>
      <c r="D324" s="11"/>
      <c r="E324" s="6"/>
      <c r="F324" s="12" t="str">
        <f t="shared" si="8"/>
        <v/>
      </c>
      <c r="G324" s="13" t="str">
        <f t="shared" si="9"/>
        <v/>
      </c>
      <c r="H324" s="9"/>
      <c r="I324" s="9"/>
      <c r="J324" s="14" t="str">
        <f>IF(E324="","",IFERROR(VLOOKUP(E324,TabProd,5,FALSE),0)+SUMIFS($H$5:H324,$E$5:E324,E324)-SUMIFS($I$5:I324,$E$5:E324,E324))</f>
        <v/>
      </c>
      <c r="K324" s="7"/>
      <c r="L324" s="7"/>
      <c r="M324" s="1" t="str">
        <f>IF(E324="","",E324&amp;"|"&amp;COUNTIF($E$5:E324,E324))</f>
        <v/>
      </c>
    </row>
    <row r="325" spans="2:13" x14ac:dyDescent="0.2">
      <c r="B325" s="10"/>
      <c r="C325" s="7"/>
      <c r="D325" s="11"/>
      <c r="E325" s="6"/>
      <c r="F325" s="12" t="str">
        <f t="shared" ref="F325:F388" si="10">IF(E325="","",IFERROR(VLOOKUP(E325,TabProd,2,FALSE),"Cod inexistent"))</f>
        <v/>
      </c>
      <c r="G325" s="13" t="str">
        <f t="shared" ref="G325:G388" si="11">IF(E325="","",IFERROR(VLOOKUP(E325,TabProd,3,FALSE),""))</f>
        <v/>
      </c>
      <c r="H325" s="9"/>
      <c r="I325" s="9"/>
      <c r="J325" s="14" t="str">
        <f>IF(E325="","",IFERROR(VLOOKUP(E325,TabProd,5,FALSE),0)+SUMIFS($H$5:H325,$E$5:E325,E325)-SUMIFS($I$5:I325,$E$5:E325,E325))</f>
        <v/>
      </c>
      <c r="K325" s="7"/>
      <c r="L325" s="7"/>
      <c r="M325" s="1" t="str">
        <f>IF(E325="","",E325&amp;"|"&amp;COUNTIF($E$5:E325,E325))</f>
        <v/>
      </c>
    </row>
    <row r="326" spans="2:13" x14ac:dyDescent="0.2">
      <c r="B326" s="10"/>
      <c r="C326" s="7"/>
      <c r="D326" s="11"/>
      <c r="E326" s="6"/>
      <c r="F326" s="12" t="str">
        <f t="shared" si="10"/>
        <v/>
      </c>
      <c r="G326" s="13" t="str">
        <f t="shared" si="11"/>
        <v/>
      </c>
      <c r="H326" s="9"/>
      <c r="I326" s="9"/>
      <c r="J326" s="14" t="str">
        <f>IF(E326="","",IFERROR(VLOOKUP(E326,TabProd,5,FALSE),0)+SUMIFS($H$5:H326,$E$5:E326,E326)-SUMIFS($I$5:I326,$E$5:E326,E326))</f>
        <v/>
      </c>
      <c r="K326" s="7"/>
      <c r="L326" s="7"/>
      <c r="M326" s="1" t="str">
        <f>IF(E326="","",E326&amp;"|"&amp;COUNTIF($E$5:E326,E326))</f>
        <v/>
      </c>
    </row>
    <row r="327" spans="2:13" x14ac:dyDescent="0.2">
      <c r="B327" s="10"/>
      <c r="C327" s="7"/>
      <c r="D327" s="11"/>
      <c r="E327" s="6"/>
      <c r="F327" s="12" t="str">
        <f t="shared" si="10"/>
        <v/>
      </c>
      <c r="G327" s="13" t="str">
        <f t="shared" si="11"/>
        <v/>
      </c>
      <c r="H327" s="9"/>
      <c r="I327" s="9"/>
      <c r="J327" s="14" t="str">
        <f>IF(E327="","",IFERROR(VLOOKUP(E327,TabProd,5,FALSE),0)+SUMIFS($H$5:H327,$E$5:E327,E327)-SUMIFS($I$5:I327,$E$5:E327,E327))</f>
        <v/>
      </c>
      <c r="K327" s="7"/>
      <c r="L327" s="7"/>
      <c r="M327" s="1" t="str">
        <f>IF(E327="","",E327&amp;"|"&amp;COUNTIF($E$5:E327,E327))</f>
        <v/>
      </c>
    </row>
    <row r="328" spans="2:13" x14ac:dyDescent="0.2">
      <c r="B328" s="10"/>
      <c r="C328" s="7"/>
      <c r="D328" s="11"/>
      <c r="E328" s="6"/>
      <c r="F328" s="12" t="str">
        <f t="shared" si="10"/>
        <v/>
      </c>
      <c r="G328" s="13" t="str">
        <f t="shared" si="11"/>
        <v/>
      </c>
      <c r="H328" s="9"/>
      <c r="I328" s="9"/>
      <c r="J328" s="14" t="str">
        <f>IF(E328="","",IFERROR(VLOOKUP(E328,TabProd,5,FALSE),0)+SUMIFS($H$5:H328,$E$5:E328,E328)-SUMIFS($I$5:I328,$E$5:E328,E328))</f>
        <v/>
      </c>
      <c r="K328" s="7"/>
      <c r="L328" s="7"/>
      <c r="M328" s="1" t="str">
        <f>IF(E328="","",E328&amp;"|"&amp;COUNTIF($E$5:E328,E328))</f>
        <v/>
      </c>
    </row>
    <row r="329" spans="2:13" x14ac:dyDescent="0.2">
      <c r="B329" s="10"/>
      <c r="C329" s="7"/>
      <c r="D329" s="11"/>
      <c r="E329" s="6"/>
      <c r="F329" s="12" t="str">
        <f t="shared" si="10"/>
        <v/>
      </c>
      <c r="G329" s="13" t="str">
        <f t="shared" si="11"/>
        <v/>
      </c>
      <c r="H329" s="9"/>
      <c r="I329" s="9"/>
      <c r="J329" s="14" t="str">
        <f>IF(E329="","",IFERROR(VLOOKUP(E329,TabProd,5,FALSE),0)+SUMIFS($H$5:H329,$E$5:E329,E329)-SUMIFS($I$5:I329,$E$5:E329,E329))</f>
        <v/>
      </c>
      <c r="K329" s="7"/>
      <c r="L329" s="7"/>
      <c r="M329" s="1" t="str">
        <f>IF(E329="","",E329&amp;"|"&amp;COUNTIF($E$5:E329,E329))</f>
        <v/>
      </c>
    </row>
    <row r="330" spans="2:13" x14ac:dyDescent="0.2">
      <c r="B330" s="10"/>
      <c r="C330" s="7"/>
      <c r="D330" s="11"/>
      <c r="E330" s="6"/>
      <c r="F330" s="12" t="str">
        <f t="shared" si="10"/>
        <v/>
      </c>
      <c r="G330" s="13" t="str">
        <f t="shared" si="11"/>
        <v/>
      </c>
      <c r="H330" s="9"/>
      <c r="I330" s="9"/>
      <c r="J330" s="14" t="str">
        <f>IF(E330="","",IFERROR(VLOOKUP(E330,TabProd,5,FALSE),0)+SUMIFS($H$5:H330,$E$5:E330,E330)-SUMIFS($I$5:I330,$E$5:E330,E330))</f>
        <v/>
      </c>
      <c r="K330" s="7"/>
      <c r="L330" s="7"/>
      <c r="M330" s="1" t="str">
        <f>IF(E330="","",E330&amp;"|"&amp;COUNTIF($E$5:E330,E330))</f>
        <v/>
      </c>
    </row>
    <row r="331" spans="2:13" x14ac:dyDescent="0.2">
      <c r="B331" s="10"/>
      <c r="C331" s="7"/>
      <c r="D331" s="11"/>
      <c r="E331" s="6"/>
      <c r="F331" s="12" t="str">
        <f t="shared" si="10"/>
        <v/>
      </c>
      <c r="G331" s="13" t="str">
        <f t="shared" si="11"/>
        <v/>
      </c>
      <c r="H331" s="9"/>
      <c r="I331" s="9"/>
      <c r="J331" s="14" t="str">
        <f>IF(E331="","",IFERROR(VLOOKUP(E331,TabProd,5,FALSE),0)+SUMIFS($H$5:H331,$E$5:E331,E331)-SUMIFS($I$5:I331,$E$5:E331,E331))</f>
        <v/>
      </c>
      <c r="K331" s="7"/>
      <c r="L331" s="7"/>
      <c r="M331" s="1" t="str">
        <f>IF(E331="","",E331&amp;"|"&amp;COUNTIF($E$5:E331,E331))</f>
        <v/>
      </c>
    </row>
    <row r="332" spans="2:13" x14ac:dyDescent="0.2">
      <c r="B332" s="10"/>
      <c r="C332" s="7"/>
      <c r="D332" s="11"/>
      <c r="E332" s="6"/>
      <c r="F332" s="12" t="str">
        <f t="shared" si="10"/>
        <v/>
      </c>
      <c r="G332" s="13" t="str">
        <f t="shared" si="11"/>
        <v/>
      </c>
      <c r="H332" s="9"/>
      <c r="I332" s="9"/>
      <c r="J332" s="14" t="str">
        <f>IF(E332="","",IFERROR(VLOOKUP(E332,TabProd,5,FALSE),0)+SUMIFS($H$5:H332,$E$5:E332,E332)-SUMIFS($I$5:I332,$E$5:E332,E332))</f>
        <v/>
      </c>
      <c r="K332" s="7"/>
      <c r="L332" s="7"/>
      <c r="M332" s="1" t="str">
        <f>IF(E332="","",E332&amp;"|"&amp;COUNTIF($E$5:E332,E332))</f>
        <v/>
      </c>
    </row>
    <row r="333" spans="2:13" x14ac:dyDescent="0.2">
      <c r="B333" s="10"/>
      <c r="C333" s="7"/>
      <c r="D333" s="11"/>
      <c r="E333" s="6"/>
      <c r="F333" s="12" t="str">
        <f t="shared" si="10"/>
        <v/>
      </c>
      <c r="G333" s="13" t="str">
        <f t="shared" si="11"/>
        <v/>
      </c>
      <c r="H333" s="9"/>
      <c r="I333" s="9"/>
      <c r="J333" s="14" t="str">
        <f>IF(E333="","",IFERROR(VLOOKUP(E333,TabProd,5,FALSE),0)+SUMIFS($H$5:H333,$E$5:E333,E333)-SUMIFS($I$5:I333,$E$5:E333,E333))</f>
        <v/>
      </c>
      <c r="K333" s="7"/>
      <c r="L333" s="7"/>
      <c r="M333" s="1" t="str">
        <f>IF(E333="","",E333&amp;"|"&amp;COUNTIF($E$5:E333,E333))</f>
        <v/>
      </c>
    </row>
    <row r="334" spans="2:13" x14ac:dyDescent="0.2">
      <c r="B334" s="10"/>
      <c r="C334" s="7"/>
      <c r="D334" s="11"/>
      <c r="E334" s="6"/>
      <c r="F334" s="12" t="str">
        <f t="shared" si="10"/>
        <v/>
      </c>
      <c r="G334" s="13" t="str">
        <f t="shared" si="11"/>
        <v/>
      </c>
      <c r="H334" s="9"/>
      <c r="I334" s="9"/>
      <c r="J334" s="14" t="str">
        <f>IF(E334="","",IFERROR(VLOOKUP(E334,TabProd,5,FALSE),0)+SUMIFS($H$5:H334,$E$5:E334,E334)-SUMIFS($I$5:I334,$E$5:E334,E334))</f>
        <v/>
      </c>
      <c r="K334" s="7"/>
      <c r="L334" s="7"/>
      <c r="M334" s="1" t="str">
        <f>IF(E334="","",E334&amp;"|"&amp;COUNTIF($E$5:E334,E334))</f>
        <v/>
      </c>
    </row>
    <row r="335" spans="2:13" x14ac:dyDescent="0.2">
      <c r="B335" s="10"/>
      <c r="C335" s="7"/>
      <c r="D335" s="11"/>
      <c r="E335" s="6"/>
      <c r="F335" s="12" t="str">
        <f t="shared" si="10"/>
        <v/>
      </c>
      <c r="G335" s="13" t="str">
        <f t="shared" si="11"/>
        <v/>
      </c>
      <c r="H335" s="9"/>
      <c r="I335" s="9"/>
      <c r="J335" s="14" t="str">
        <f>IF(E335="","",IFERROR(VLOOKUP(E335,TabProd,5,FALSE),0)+SUMIFS($H$5:H335,$E$5:E335,E335)-SUMIFS($I$5:I335,$E$5:E335,E335))</f>
        <v/>
      </c>
      <c r="K335" s="7"/>
      <c r="L335" s="7"/>
      <c r="M335" s="1" t="str">
        <f>IF(E335="","",E335&amp;"|"&amp;COUNTIF($E$5:E335,E335))</f>
        <v/>
      </c>
    </row>
    <row r="336" spans="2:13" x14ac:dyDescent="0.2">
      <c r="B336" s="10"/>
      <c r="C336" s="7"/>
      <c r="D336" s="11"/>
      <c r="E336" s="6"/>
      <c r="F336" s="12" t="str">
        <f t="shared" si="10"/>
        <v/>
      </c>
      <c r="G336" s="13" t="str">
        <f t="shared" si="11"/>
        <v/>
      </c>
      <c r="H336" s="9"/>
      <c r="I336" s="9"/>
      <c r="J336" s="14" t="str">
        <f>IF(E336="","",IFERROR(VLOOKUP(E336,TabProd,5,FALSE),0)+SUMIFS($H$5:H336,$E$5:E336,E336)-SUMIFS($I$5:I336,$E$5:E336,E336))</f>
        <v/>
      </c>
      <c r="K336" s="7"/>
      <c r="L336" s="7"/>
      <c r="M336" s="1" t="str">
        <f>IF(E336="","",E336&amp;"|"&amp;COUNTIF($E$5:E336,E336))</f>
        <v/>
      </c>
    </row>
    <row r="337" spans="2:13" x14ac:dyDescent="0.2">
      <c r="B337" s="10"/>
      <c r="C337" s="7"/>
      <c r="D337" s="11"/>
      <c r="E337" s="6"/>
      <c r="F337" s="12" t="str">
        <f t="shared" si="10"/>
        <v/>
      </c>
      <c r="G337" s="13" t="str">
        <f t="shared" si="11"/>
        <v/>
      </c>
      <c r="H337" s="9"/>
      <c r="I337" s="9"/>
      <c r="J337" s="14" t="str">
        <f>IF(E337="","",IFERROR(VLOOKUP(E337,TabProd,5,FALSE),0)+SUMIFS($H$5:H337,$E$5:E337,E337)-SUMIFS($I$5:I337,$E$5:E337,E337))</f>
        <v/>
      </c>
      <c r="K337" s="7"/>
      <c r="L337" s="7"/>
      <c r="M337" s="1" t="str">
        <f>IF(E337="","",E337&amp;"|"&amp;COUNTIF($E$5:E337,E337))</f>
        <v/>
      </c>
    </row>
    <row r="338" spans="2:13" x14ac:dyDescent="0.2">
      <c r="B338" s="10"/>
      <c r="C338" s="7"/>
      <c r="D338" s="11"/>
      <c r="E338" s="6"/>
      <c r="F338" s="12" t="str">
        <f t="shared" si="10"/>
        <v/>
      </c>
      <c r="G338" s="13" t="str">
        <f t="shared" si="11"/>
        <v/>
      </c>
      <c r="H338" s="9"/>
      <c r="I338" s="9"/>
      <c r="J338" s="14" t="str">
        <f>IF(E338="","",IFERROR(VLOOKUP(E338,TabProd,5,FALSE),0)+SUMIFS($H$5:H338,$E$5:E338,E338)-SUMIFS($I$5:I338,$E$5:E338,E338))</f>
        <v/>
      </c>
      <c r="K338" s="7"/>
      <c r="L338" s="7"/>
      <c r="M338" s="1" t="str">
        <f>IF(E338="","",E338&amp;"|"&amp;COUNTIF($E$5:E338,E338))</f>
        <v/>
      </c>
    </row>
    <row r="339" spans="2:13" x14ac:dyDescent="0.2">
      <c r="B339" s="10"/>
      <c r="C339" s="7"/>
      <c r="D339" s="11"/>
      <c r="E339" s="6"/>
      <c r="F339" s="12" t="str">
        <f t="shared" si="10"/>
        <v/>
      </c>
      <c r="G339" s="13" t="str">
        <f t="shared" si="11"/>
        <v/>
      </c>
      <c r="H339" s="9"/>
      <c r="I339" s="9"/>
      <c r="J339" s="14" t="str">
        <f>IF(E339="","",IFERROR(VLOOKUP(E339,TabProd,5,FALSE),0)+SUMIFS($H$5:H339,$E$5:E339,E339)-SUMIFS($I$5:I339,$E$5:E339,E339))</f>
        <v/>
      </c>
      <c r="K339" s="7"/>
      <c r="L339" s="7"/>
      <c r="M339" s="1" t="str">
        <f>IF(E339="","",E339&amp;"|"&amp;COUNTIF($E$5:E339,E339))</f>
        <v/>
      </c>
    </row>
    <row r="340" spans="2:13" x14ac:dyDescent="0.2">
      <c r="B340" s="10"/>
      <c r="C340" s="7"/>
      <c r="D340" s="11"/>
      <c r="E340" s="6"/>
      <c r="F340" s="12" t="str">
        <f t="shared" si="10"/>
        <v/>
      </c>
      <c r="G340" s="13" t="str">
        <f t="shared" si="11"/>
        <v/>
      </c>
      <c r="H340" s="9"/>
      <c r="I340" s="9"/>
      <c r="J340" s="14" t="str">
        <f>IF(E340="","",IFERROR(VLOOKUP(E340,TabProd,5,FALSE),0)+SUMIFS($H$5:H340,$E$5:E340,E340)-SUMIFS($I$5:I340,$E$5:E340,E340))</f>
        <v/>
      </c>
      <c r="K340" s="7"/>
      <c r="L340" s="7"/>
      <c r="M340" s="1" t="str">
        <f>IF(E340="","",E340&amp;"|"&amp;COUNTIF($E$5:E340,E340))</f>
        <v/>
      </c>
    </row>
    <row r="341" spans="2:13" x14ac:dyDescent="0.2">
      <c r="B341" s="10"/>
      <c r="C341" s="7"/>
      <c r="D341" s="11"/>
      <c r="E341" s="6"/>
      <c r="F341" s="12" t="str">
        <f t="shared" si="10"/>
        <v/>
      </c>
      <c r="G341" s="13" t="str">
        <f t="shared" si="11"/>
        <v/>
      </c>
      <c r="H341" s="9"/>
      <c r="I341" s="9"/>
      <c r="J341" s="14" t="str">
        <f>IF(E341="","",IFERROR(VLOOKUP(E341,TabProd,5,FALSE),0)+SUMIFS($H$5:H341,$E$5:E341,E341)-SUMIFS($I$5:I341,$E$5:E341,E341))</f>
        <v/>
      </c>
      <c r="K341" s="7"/>
      <c r="L341" s="7"/>
      <c r="M341" s="1" t="str">
        <f>IF(E341="","",E341&amp;"|"&amp;COUNTIF($E$5:E341,E341))</f>
        <v/>
      </c>
    </row>
    <row r="342" spans="2:13" x14ac:dyDescent="0.2">
      <c r="B342" s="10"/>
      <c r="C342" s="7"/>
      <c r="D342" s="11"/>
      <c r="E342" s="6"/>
      <c r="F342" s="12" t="str">
        <f t="shared" si="10"/>
        <v/>
      </c>
      <c r="G342" s="13" t="str">
        <f t="shared" si="11"/>
        <v/>
      </c>
      <c r="H342" s="9"/>
      <c r="I342" s="9"/>
      <c r="J342" s="14" t="str">
        <f>IF(E342="","",IFERROR(VLOOKUP(E342,TabProd,5,FALSE),0)+SUMIFS($H$5:H342,$E$5:E342,E342)-SUMIFS($I$5:I342,$E$5:E342,E342))</f>
        <v/>
      </c>
      <c r="K342" s="7"/>
      <c r="L342" s="7"/>
      <c r="M342" s="1" t="str">
        <f>IF(E342="","",E342&amp;"|"&amp;COUNTIF($E$5:E342,E342))</f>
        <v/>
      </c>
    </row>
    <row r="343" spans="2:13" x14ac:dyDescent="0.2">
      <c r="B343" s="10"/>
      <c r="C343" s="7"/>
      <c r="D343" s="11"/>
      <c r="E343" s="6"/>
      <c r="F343" s="12" t="str">
        <f t="shared" si="10"/>
        <v/>
      </c>
      <c r="G343" s="13" t="str">
        <f t="shared" si="11"/>
        <v/>
      </c>
      <c r="H343" s="9"/>
      <c r="I343" s="9"/>
      <c r="J343" s="14" t="str">
        <f>IF(E343="","",IFERROR(VLOOKUP(E343,TabProd,5,FALSE),0)+SUMIFS($H$5:H343,$E$5:E343,E343)-SUMIFS($I$5:I343,$E$5:E343,E343))</f>
        <v/>
      </c>
      <c r="K343" s="7"/>
      <c r="L343" s="7"/>
      <c r="M343" s="1" t="str">
        <f>IF(E343="","",E343&amp;"|"&amp;COUNTIF($E$5:E343,E343))</f>
        <v/>
      </c>
    </row>
    <row r="344" spans="2:13" x14ac:dyDescent="0.2">
      <c r="B344" s="10"/>
      <c r="C344" s="7"/>
      <c r="D344" s="11"/>
      <c r="E344" s="6"/>
      <c r="F344" s="12" t="str">
        <f t="shared" si="10"/>
        <v/>
      </c>
      <c r="G344" s="13" t="str">
        <f t="shared" si="11"/>
        <v/>
      </c>
      <c r="H344" s="9"/>
      <c r="I344" s="9"/>
      <c r="J344" s="14" t="str">
        <f>IF(E344="","",IFERROR(VLOOKUP(E344,TabProd,5,FALSE),0)+SUMIFS($H$5:H344,$E$5:E344,E344)-SUMIFS($I$5:I344,$E$5:E344,E344))</f>
        <v/>
      </c>
      <c r="K344" s="7"/>
      <c r="L344" s="7"/>
      <c r="M344" s="1" t="str">
        <f>IF(E344="","",E344&amp;"|"&amp;COUNTIF($E$5:E344,E344))</f>
        <v/>
      </c>
    </row>
    <row r="345" spans="2:13" x14ac:dyDescent="0.2">
      <c r="B345" s="10"/>
      <c r="C345" s="7"/>
      <c r="D345" s="11"/>
      <c r="E345" s="6"/>
      <c r="F345" s="12" t="str">
        <f t="shared" si="10"/>
        <v/>
      </c>
      <c r="G345" s="13" t="str">
        <f t="shared" si="11"/>
        <v/>
      </c>
      <c r="H345" s="9"/>
      <c r="I345" s="9"/>
      <c r="J345" s="14" t="str">
        <f>IF(E345="","",IFERROR(VLOOKUP(E345,TabProd,5,FALSE),0)+SUMIFS($H$5:H345,$E$5:E345,E345)-SUMIFS($I$5:I345,$E$5:E345,E345))</f>
        <v/>
      </c>
      <c r="K345" s="7"/>
      <c r="L345" s="7"/>
      <c r="M345" s="1" t="str">
        <f>IF(E345="","",E345&amp;"|"&amp;COUNTIF($E$5:E345,E345))</f>
        <v/>
      </c>
    </row>
    <row r="346" spans="2:13" x14ac:dyDescent="0.2">
      <c r="B346" s="10"/>
      <c r="C346" s="7"/>
      <c r="D346" s="11"/>
      <c r="E346" s="6"/>
      <c r="F346" s="12" t="str">
        <f t="shared" si="10"/>
        <v/>
      </c>
      <c r="G346" s="13" t="str">
        <f t="shared" si="11"/>
        <v/>
      </c>
      <c r="H346" s="9"/>
      <c r="I346" s="9"/>
      <c r="J346" s="14" t="str">
        <f>IF(E346="","",IFERROR(VLOOKUP(E346,TabProd,5,FALSE),0)+SUMIFS($H$5:H346,$E$5:E346,E346)-SUMIFS($I$5:I346,$E$5:E346,E346))</f>
        <v/>
      </c>
      <c r="K346" s="7"/>
      <c r="L346" s="7"/>
      <c r="M346" s="1" t="str">
        <f>IF(E346="","",E346&amp;"|"&amp;COUNTIF($E$5:E346,E346))</f>
        <v/>
      </c>
    </row>
    <row r="347" spans="2:13" x14ac:dyDescent="0.2">
      <c r="B347" s="10"/>
      <c r="C347" s="7"/>
      <c r="D347" s="11"/>
      <c r="E347" s="6"/>
      <c r="F347" s="12" t="str">
        <f t="shared" si="10"/>
        <v/>
      </c>
      <c r="G347" s="13" t="str">
        <f t="shared" si="11"/>
        <v/>
      </c>
      <c r="H347" s="9"/>
      <c r="I347" s="9"/>
      <c r="J347" s="14" t="str">
        <f>IF(E347="","",IFERROR(VLOOKUP(E347,TabProd,5,FALSE),0)+SUMIFS($H$5:H347,$E$5:E347,E347)-SUMIFS($I$5:I347,$E$5:E347,E347))</f>
        <v/>
      </c>
      <c r="K347" s="7"/>
      <c r="L347" s="7"/>
      <c r="M347" s="1" t="str">
        <f>IF(E347="","",E347&amp;"|"&amp;COUNTIF($E$5:E347,E347))</f>
        <v/>
      </c>
    </row>
    <row r="348" spans="2:13" x14ac:dyDescent="0.2">
      <c r="B348" s="10"/>
      <c r="C348" s="7"/>
      <c r="D348" s="11"/>
      <c r="E348" s="6"/>
      <c r="F348" s="12" t="str">
        <f t="shared" si="10"/>
        <v/>
      </c>
      <c r="G348" s="13" t="str">
        <f t="shared" si="11"/>
        <v/>
      </c>
      <c r="H348" s="9"/>
      <c r="I348" s="9"/>
      <c r="J348" s="14" t="str">
        <f>IF(E348="","",IFERROR(VLOOKUP(E348,TabProd,5,FALSE),0)+SUMIFS($H$5:H348,$E$5:E348,E348)-SUMIFS($I$5:I348,$E$5:E348,E348))</f>
        <v/>
      </c>
      <c r="K348" s="7"/>
      <c r="L348" s="7"/>
      <c r="M348" s="1" t="str">
        <f>IF(E348="","",E348&amp;"|"&amp;COUNTIF($E$5:E348,E348))</f>
        <v/>
      </c>
    </row>
    <row r="349" spans="2:13" x14ac:dyDescent="0.2">
      <c r="B349" s="10"/>
      <c r="C349" s="7"/>
      <c r="D349" s="11"/>
      <c r="E349" s="6"/>
      <c r="F349" s="12" t="str">
        <f t="shared" si="10"/>
        <v/>
      </c>
      <c r="G349" s="13" t="str">
        <f t="shared" si="11"/>
        <v/>
      </c>
      <c r="H349" s="9"/>
      <c r="I349" s="9"/>
      <c r="J349" s="14" t="str">
        <f>IF(E349="","",IFERROR(VLOOKUP(E349,TabProd,5,FALSE),0)+SUMIFS($H$5:H349,$E$5:E349,E349)-SUMIFS($I$5:I349,$E$5:E349,E349))</f>
        <v/>
      </c>
      <c r="K349" s="7"/>
      <c r="L349" s="7"/>
      <c r="M349" s="1" t="str">
        <f>IF(E349="","",E349&amp;"|"&amp;COUNTIF($E$5:E349,E349))</f>
        <v/>
      </c>
    </row>
    <row r="350" spans="2:13" x14ac:dyDescent="0.2">
      <c r="B350" s="10"/>
      <c r="C350" s="7"/>
      <c r="D350" s="11"/>
      <c r="E350" s="6"/>
      <c r="F350" s="12" t="str">
        <f t="shared" si="10"/>
        <v/>
      </c>
      <c r="G350" s="13" t="str">
        <f t="shared" si="11"/>
        <v/>
      </c>
      <c r="H350" s="9"/>
      <c r="I350" s="9"/>
      <c r="J350" s="14" t="str">
        <f>IF(E350="","",IFERROR(VLOOKUP(E350,TabProd,5,FALSE),0)+SUMIFS($H$5:H350,$E$5:E350,E350)-SUMIFS($I$5:I350,$E$5:E350,E350))</f>
        <v/>
      </c>
      <c r="K350" s="7"/>
      <c r="L350" s="7"/>
      <c r="M350" s="1" t="str">
        <f>IF(E350="","",E350&amp;"|"&amp;COUNTIF($E$5:E350,E350))</f>
        <v/>
      </c>
    </row>
    <row r="351" spans="2:13" x14ac:dyDescent="0.2">
      <c r="B351" s="10"/>
      <c r="C351" s="7"/>
      <c r="D351" s="11"/>
      <c r="E351" s="6"/>
      <c r="F351" s="12" t="str">
        <f t="shared" si="10"/>
        <v/>
      </c>
      <c r="G351" s="13" t="str">
        <f t="shared" si="11"/>
        <v/>
      </c>
      <c r="H351" s="9"/>
      <c r="I351" s="9"/>
      <c r="J351" s="14" t="str">
        <f>IF(E351="","",IFERROR(VLOOKUP(E351,TabProd,5,FALSE),0)+SUMIFS($H$5:H351,$E$5:E351,E351)-SUMIFS($I$5:I351,$E$5:E351,E351))</f>
        <v/>
      </c>
      <c r="K351" s="7"/>
      <c r="L351" s="7"/>
      <c r="M351" s="1" t="str">
        <f>IF(E351="","",E351&amp;"|"&amp;COUNTIF($E$5:E351,E351))</f>
        <v/>
      </c>
    </row>
    <row r="352" spans="2:13" x14ac:dyDescent="0.2">
      <c r="B352" s="10"/>
      <c r="C352" s="7"/>
      <c r="D352" s="11"/>
      <c r="E352" s="6"/>
      <c r="F352" s="12" t="str">
        <f t="shared" si="10"/>
        <v/>
      </c>
      <c r="G352" s="13" t="str">
        <f t="shared" si="11"/>
        <v/>
      </c>
      <c r="H352" s="9"/>
      <c r="I352" s="9"/>
      <c r="J352" s="14" t="str">
        <f>IF(E352="","",IFERROR(VLOOKUP(E352,TabProd,5,FALSE),0)+SUMIFS($H$5:H352,$E$5:E352,E352)-SUMIFS($I$5:I352,$E$5:E352,E352))</f>
        <v/>
      </c>
      <c r="K352" s="7"/>
      <c r="L352" s="7"/>
      <c r="M352" s="1" t="str">
        <f>IF(E352="","",E352&amp;"|"&amp;COUNTIF($E$5:E352,E352))</f>
        <v/>
      </c>
    </row>
    <row r="353" spans="2:13" x14ac:dyDescent="0.2">
      <c r="B353" s="10"/>
      <c r="C353" s="7"/>
      <c r="D353" s="11"/>
      <c r="E353" s="6"/>
      <c r="F353" s="12" t="str">
        <f t="shared" si="10"/>
        <v/>
      </c>
      <c r="G353" s="13" t="str">
        <f t="shared" si="11"/>
        <v/>
      </c>
      <c r="H353" s="9"/>
      <c r="I353" s="9"/>
      <c r="J353" s="14" t="str">
        <f>IF(E353="","",IFERROR(VLOOKUP(E353,TabProd,5,FALSE),0)+SUMIFS($H$5:H353,$E$5:E353,E353)-SUMIFS($I$5:I353,$E$5:E353,E353))</f>
        <v/>
      </c>
      <c r="K353" s="7"/>
      <c r="L353" s="7"/>
      <c r="M353" s="1" t="str">
        <f>IF(E353="","",E353&amp;"|"&amp;COUNTIF($E$5:E353,E353))</f>
        <v/>
      </c>
    </row>
    <row r="354" spans="2:13" x14ac:dyDescent="0.2">
      <c r="B354" s="10"/>
      <c r="C354" s="7"/>
      <c r="D354" s="11"/>
      <c r="E354" s="6"/>
      <c r="F354" s="12" t="str">
        <f t="shared" si="10"/>
        <v/>
      </c>
      <c r="G354" s="13" t="str">
        <f t="shared" si="11"/>
        <v/>
      </c>
      <c r="H354" s="9"/>
      <c r="I354" s="9"/>
      <c r="J354" s="14" t="str">
        <f>IF(E354="","",IFERROR(VLOOKUP(E354,TabProd,5,FALSE),0)+SUMIFS($H$5:H354,$E$5:E354,E354)-SUMIFS($I$5:I354,$E$5:E354,E354))</f>
        <v/>
      </c>
      <c r="K354" s="7"/>
      <c r="L354" s="7"/>
      <c r="M354" s="1" t="str">
        <f>IF(E354="","",E354&amp;"|"&amp;COUNTIF($E$5:E354,E354))</f>
        <v/>
      </c>
    </row>
    <row r="355" spans="2:13" x14ac:dyDescent="0.2">
      <c r="B355" s="10"/>
      <c r="C355" s="7"/>
      <c r="D355" s="11"/>
      <c r="E355" s="6"/>
      <c r="F355" s="12" t="str">
        <f t="shared" si="10"/>
        <v/>
      </c>
      <c r="G355" s="13" t="str">
        <f t="shared" si="11"/>
        <v/>
      </c>
      <c r="H355" s="9"/>
      <c r="I355" s="9"/>
      <c r="J355" s="14" t="str">
        <f>IF(E355="","",IFERROR(VLOOKUP(E355,TabProd,5,FALSE),0)+SUMIFS($H$5:H355,$E$5:E355,E355)-SUMIFS($I$5:I355,$E$5:E355,E355))</f>
        <v/>
      </c>
      <c r="K355" s="7"/>
      <c r="L355" s="7"/>
      <c r="M355" s="1" t="str">
        <f>IF(E355="","",E355&amp;"|"&amp;COUNTIF($E$5:E355,E355))</f>
        <v/>
      </c>
    </row>
    <row r="356" spans="2:13" x14ac:dyDescent="0.2">
      <c r="B356" s="10"/>
      <c r="C356" s="7"/>
      <c r="D356" s="11"/>
      <c r="E356" s="6"/>
      <c r="F356" s="12" t="str">
        <f t="shared" si="10"/>
        <v/>
      </c>
      <c r="G356" s="13" t="str">
        <f t="shared" si="11"/>
        <v/>
      </c>
      <c r="H356" s="9"/>
      <c r="I356" s="9"/>
      <c r="J356" s="14" t="str">
        <f>IF(E356="","",IFERROR(VLOOKUP(E356,TabProd,5,FALSE),0)+SUMIFS($H$5:H356,$E$5:E356,E356)-SUMIFS($I$5:I356,$E$5:E356,E356))</f>
        <v/>
      </c>
      <c r="K356" s="7"/>
      <c r="L356" s="7"/>
      <c r="M356" s="1" t="str">
        <f>IF(E356="","",E356&amp;"|"&amp;COUNTIF($E$5:E356,E356))</f>
        <v/>
      </c>
    </row>
    <row r="357" spans="2:13" x14ac:dyDescent="0.2">
      <c r="B357" s="10"/>
      <c r="C357" s="7"/>
      <c r="D357" s="11"/>
      <c r="E357" s="6"/>
      <c r="F357" s="12" t="str">
        <f t="shared" si="10"/>
        <v/>
      </c>
      <c r="G357" s="13" t="str">
        <f t="shared" si="11"/>
        <v/>
      </c>
      <c r="H357" s="9"/>
      <c r="I357" s="9"/>
      <c r="J357" s="14" t="str">
        <f>IF(E357="","",IFERROR(VLOOKUP(E357,TabProd,5,FALSE),0)+SUMIFS($H$5:H357,$E$5:E357,E357)-SUMIFS($I$5:I357,$E$5:E357,E357))</f>
        <v/>
      </c>
      <c r="K357" s="7"/>
      <c r="L357" s="7"/>
      <c r="M357" s="1" t="str">
        <f>IF(E357="","",E357&amp;"|"&amp;COUNTIF($E$5:E357,E357))</f>
        <v/>
      </c>
    </row>
    <row r="358" spans="2:13" x14ac:dyDescent="0.2">
      <c r="B358" s="10"/>
      <c r="C358" s="7"/>
      <c r="D358" s="11"/>
      <c r="E358" s="6"/>
      <c r="F358" s="12" t="str">
        <f t="shared" si="10"/>
        <v/>
      </c>
      <c r="G358" s="13" t="str">
        <f t="shared" si="11"/>
        <v/>
      </c>
      <c r="H358" s="9"/>
      <c r="I358" s="9"/>
      <c r="J358" s="14" t="str">
        <f>IF(E358="","",IFERROR(VLOOKUP(E358,TabProd,5,FALSE),0)+SUMIFS($H$5:H358,$E$5:E358,E358)-SUMIFS($I$5:I358,$E$5:E358,E358))</f>
        <v/>
      </c>
      <c r="K358" s="7"/>
      <c r="L358" s="7"/>
      <c r="M358" s="1" t="str">
        <f>IF(E358="","",E358&amp;"|"&amp;COUNTIF($E$5:E358,E358))</f>
        <v/>
      </c>
    </row>
    <row r="359" spans="2:13" x14ac:dyDescent="0.2">
      <c r="B359" s="10"/>
      <c r="C359" s="7"/>
      <c r="D359" s="11"/>
      <c r="E359" s="6"/>
      <c r="F359" s="12" t="str">
        <f t="shared" si="10"/>
        <v/>
      </c>
      <c r="G359" s="13" t="str">
        <f t="shared" si="11"/>
        <v/>
      </c>
      <c r="H359" s="9"/>
      <c r="I359" s="9"/>
      <c r="J359" s="14" t="str">
        <f>IF(E359="","",IFERROR(VLOOKUP(E359,TabProd,5,FALSE),0)+SUMIFS($H$5:H359,$E$5:E359,E359)-SUMIFS($I$5:I359,$E$5:E359,E359))</f>
        <v/>
      </c>
      <c r="K359" s="7"/>
      <c r="L359" s="7"/>
      <c r="M359" s="1" t="str">
        <f>IF(E359="","",E359&amp;"|"&amp;COUNTIF($E$5:E359,E359))</f>
        <v/>
      </c>
    </row>
    <row r="360" spans="2:13" x14ac:dyDescent="0.2">
      <c r="B360" s="10"/>
      <c r="C360" s="7"/>
      <c r="D360" s="11"/>
      <c r="E360" s="6"/>
      <c r="F360" s="12" t="str">
        <f t="shared" si="10"/>
        <v/>
      </c>
      <c r="G360" s="13" t="str">
        <f t="shared" si="11"/>
        <v/>
      </c>
      <c r="H360" s="9"/>
      <c r="I360" s="9"/>
      <c r="J360" s="14" t="str">
        <f>IF(E360="","",IFERROR(VLOOKUP(E360,TabProd,5,FALSE),0)+SUMIFS($H$5:H360,$E$5:E360,E360)-SUMIFS($I$5:I360,$E$5:E360,E360))</f>
        <v/>
      </c>
      <c r="K360" s="7"/>
      <c r="L360" s="7"/>
      <c r="M360" s="1" t="str">
        <f>IF(E360="","",E360&amp;"|"&amp;COUNTIF($E$5:E360,E360))</f>
        <v/>
      </c>
    </row>
    <row r="361" spans="2:13" x14ac:dyDescent="0.2">
      <c r="B361" s="10"/>
      <c r="C361" s="7"/>
      <c r="D361" s="11"/>
      <c r="E361" s="6"/>
      <c r="F361" s="12" t="str">
        <f t="shared" si="10"/>
        <v/>
      </c>
      <c r="G361" s="13" t="str">
        <f t="shared" si="11"/>
        <v/>
      </c>
      <c r="H361" s="9"/>
      <c r="I361" s="9"/>
      <c r="J361" s="14" t="str">
        <f>IF(E361="","",IFERROR(VLOOKUP(E361,TabProd,5,FALSE),0)+SUMIFS($H$5:H361,$E$5:E361,E361)-SUMIFS($I$5:I361,$E$5:E361,E361))</f>
        <v/>
      </c>
      <c r="K361" s="7"/>
      <c r="L361" s="7"/>
      <c r="M361" s="1" t="str">
        <f>IF(E361="","",E361&amp;"|"&amp;COUNTIF($E$5:E361,E361))</f>
        <v/>
      </c>
    </row>
    <row r="362" spans="2:13" x14ac:dyDescent="0.2">
      <c r="B362" s="10"/>
      <c r="C362" s="7"/>
      <c r="D362" s="11"/>
      <c r="E362" s="6"/>
      <c r="F362" s="12" t="str">
        <f t="shared" si="10"/>
        <v/>
      </c>
      <c r="G362" s="13" t="str">
        <f t="shared" si="11"/>
        <v/>
      </c>
      <c r="H362" s="9"/>
      <c r="I362" s="9"/>
      <c r="J362" s="14" t="str">
        <f>IF(E362="","",IFERROR(VLOOKUP(E362,TabProd,5,FALSE),0)+SUMIFS($H$5:H362,$E$5:E362,E362)-SUMIFS($I$5:I362,$E$5:E362,E362))</f>
        <v/>
      </c>
      <c r="K362" s="7"/>
      <c r="L362" s="7"/>
      <c r="M362" s="1" t="str">
        <f>IF(E362="","",E362&amp;"|"&amp;COUNTIF($E$5:E362,E362))</f>
        <v/>
      </c>
    </row>
    <row r="363" spans="2:13" x14ac:dyDescent="0.2">
      <c r="B363" s="10"/>
      <c r="C363" s="7"/>
      <c r="D363" s="11"/>
      <c r="E363" s="6"/>
      <c r="F363" s="12" t="str">
        <f t="shared" si="10"/>
        <v/>
      </c>
      <c r="G363" s="13" t="str">
        <f t="shared" si="11"/>
        <v/>
      </c>
      <c r="H363" s="9"/>
      <c r="I363" s="9"/>
      <c r="J363" s="14" t="str">
        <f>IF(E363="","",IFERROR(VLOOKUP(E363,TabProd,5,FALSE),0)+SUMIFS($H$5:H363,$E$5:E363,E363)-SUMIFS($I$5:I363,$E$5:E363,E363))</f>
        <v/>
      </c>
      <c r="K363" s="7"/>
      <c r="L363" s="7"/>
      <c r="M363" s="1" t="str">
        <f>IF(E363="","",E363&amp;"|"&amp;COUNTIF($E$5:E363,E363))</f>
        <v/>
      </c>
    </row>
    <row r="364" spans="2:13" x14ac:dyDescent="0.2">
      <c r="B364" s="10"/>
      <c r="C364" s="7"/>
      <c r="D364" s="11"/>
      <c r="E364" s="6"/>
      <c r="F364" s="12" t="str">
        <f t="shared" si="10"/>
        <v/>
      </c>
      <c r="G364" s="13" t="str">
        <f t="shared" si="11"/>
        <v/>
      </c>
      <c r="H364" s="9"/>
      <c r="I364" s="9"/>
      <c r="J364" s="14" t="str">
        <f>IF(E364="","",IFERROR(VLOOKUP(E364,TabProd,5,FALSE),0)+SUMIFS($H$5:H364,$E$5:E364,E364)-SUMIFS($I$5:I364,$E$5:E364,E364))</f>
        <v/>
      </c>
      <c r="K364" s="7"/>
      <c r="L364" s="7"/>
      <c r="M364" s="1" t="str">
        <f>IF(E364="","",E364&amp;"|"&amp;COUNTIF($E$5:E364,E364))</f>
        <v/>
      </c>
    </row>
    <row r="365" spans="2:13" x14ac:dyDescent="0.2">
      <c r="B365" s="10"/>
      <c r="C365" s="7"/>
      <c r="D365" s="11"/>
      <c r="E365" s="6"/>
      <c r="F365" s="12" t="str">
        <f t="shared" si="10"/>
        <v/>
      </c>
      <c r="G365" s="13" t="str">
        <f t="shared" si="11"/>
        <v/>
      </c>
      <c r="H365" s="9"/>
      <c r="I365" s="9"/>
      <c r="J365" s="14" t="str">
        <f>IF(E365="","",IFERROR(VLOOKUP(E365,TabProd,5,FALSE),0)+SUMIFS($H$5:H365,$E$5:E365,E365)-SUMIFS($I$5:I365,$E$5:E365,E365))</f>
        <v/>
      </c>
      <c r="K365" s="7"/>
      <c r="L365" s="7"/>
      <c r="M365" s="1" t="str">
        <f>IF(E365="","",E365&amp;"|"&amp;COUNTIF($E$5:E365,E365))</f>
        <v/>
      </c>
    </row>
    <row r="366" spans="2:13" x14ac:dyDescent="0.2">
      <c r="B366" s="10"/>
      <c r="C366" s="7"/>
      <c r="D366" s="11"/>
      <c r="E366" s="6"/>
      <c r="F366" s="12" t="str">
        <f t="shared" si="10"/>
        <v/>
      </c>
      <c r="G366" s="13" t="str">
        <f t="shared" si="11"/>
        <v/>
      </c>
      <c r="H366" s="9"/>
      <c r="I366" s="9"/>
      <c r="J366" s="14" t="str">
        <f>IF(E366="","",IFERROR(VLOOKUP(E366,TabProd,5,FALSE),0)+SUMIFS($H$5:H366,$E$5:E366,E366)-SUMIFS($I$5:I366,$E$5:E366,E366))</f>
        <v/>
      </c>
      <c r="K366" s="7"/>
      <c r="L366" s="7"/>
      <c r="M366" s="1" t="str">
        <f>IF(E366="","",E366&amp;"|"&amp;COUNTIF($E$5:E366,E366))</f>
        <v/>
      </c>
    </row>
    <row r="367" spans="2:13" x14ac:dyDescent="0.2">
      <c r="B367" s="10"/>
      <c r="C367" s="7"/>
      <c r="D367" s="11"/>
      <c r="E367" s="6"/>
      <c r="F367" s="12" t="str">
        <f t="shared" si="10"/>
        <v/>
      </c>
      <c r="G367" s="13" t="str">
        <f t="shared" si="11"/>
        <v/>
      </c>
      <c r="H367" s="9"/>
      <c r="I367" s="9"/>
      <c r="J367" s="14" t="str">
        <f>IF(E367="","",IFERROR(VLOOKUP(E367,TabProd,5,FALSE),0)+SUMIFS($H$5:H367,$E$5:E367,E367)-SUMIFS($I$5:I367,$E$5:E367,E367))</f>
        <v/>
      </c>
      <c r="K367" s="7"/>
      <c r="L367" s="7"/>
      <c r="M367" s="1" t="str">
        <f>IF(E367="","",E367&amp;"|"&amp;COUNTIF($E$5:E367,E367))</f>
        <v/>
      </c>
    </row>
    <row r="368" spans="2:13" x14ac:dyDescent="0.2">
      <c r="B368" s="10"/>
      <c r="C368" s="7"/>
      <c r="D368" s="11"/>
      <c r="E368" s="6"/>
      <c r="F368" s="12" t="str">
        <f t="shared" si="10"/>
        <v/>
      </c>
      <c r="G368" s="13" t="str">
        <f t="shared" si="11"/>
        <v/>
      </c>
      <c r="H368" s="9"/>
      <c r="I368" s="9"/>
      <c r="J368" s="14" t="str">
        <f>IF(E368="","",IFERROR(VLOOKUP(E368,TabProd,5,FALSE),0)+SUMIFS($H$5:H368,$E$5:E368,E368)-SUMIFS($I$5:I368,$E$5:E368,E368))</f>
        <v/>
      </c>
      <c r="K368" s="7"/>
      <c r="L368" s="7"/>
      <c r="M368" s="1" t="str">
        <f>IF(E368="","",E368&amp;"|"&amp;COUNTIF($E$5:E368,E368))</f>
        <v/>
      </c>
    </row>
    <row r="369" spans="2:13" x14ac:dyDescent="0.2">
      <c r="B369" s="10"/>
      <c r="C369" s="7"/>
      <c r="D369" s="11"/>
      <c r="E369" s="6"/>
      <c r="F369" s="12" t="str">
        <f t="shared" si="10"/>
        <v/>
      </c>
      <c r="G369" s="13" t="str">
        <f t="shared" si="11"/>
        <v/>
      </c>
      <c r="H369" s="9"/>
      <c r="I369" s="9"/>
      <c r="J369" s="14" t="str">
        <f>IF(E369="","",IFERROR(VLOOKUP(E369,TabProd,5,FALSE),0)+SUMIFS($H$5:H369,$E$5:E369,E369)-SUMIFS($I$5:I369,$E$5:E369,E369))</f>
        <v/>
      </c>
      <c r="K369" s="7"/>
      <c r="L369" s="7"/>
      <c r="M369" s="1" t="str">
        <f>IF(E369="","",E369&amp;"|"&amp;COUNTIF($E$5:E369,E369))</f>
        <v/>
      </c>
    </row>
    <row r="370" spans="2:13" x14ac:dyDescent="0.2">
      <c r="B370" s="10"/>
      <c r="C370" s="7"/>
      <c r="D370" s="11"/>
      <c r="E370" s="6"/>
      <c r="F370" s="12" t="str">
        <f t="shared" si="10"/>
        <v/>
      </c>
      <c r="G370" s="13" t="str">
        <f t="shared" si="11"/>
        <v/>
      </c>
      <c r="H370" s="9"/>
      <c r="I370" s="9"/>
      <c r="J370" s="14" t="str">
        <f>IF(E370="","",IFERROR(VLOOKUP(E370,TabProd,5,FALSE),0)+SUMIFS($H$5:H370,$E$5:E370,E370)-SUMIFS($I$5:I370,$E$5:E370,E370))</f>
        <v/>
      </c>
      <c r="K370" s="7"/>
      <c r="L370" s="7"/>
      <c r="M370" s="1" t="str">
        <f>IF(E370="","",E370&amp;"|"&amp;COUNTIF($E$5:E370,E370))</f>
        <v/>
      </c>
    </row>
    <row r="371" spans="2:13" x14ac:dyDescent="0.2">
      <c r="B371" s="10"/>
      <c r="C371" s="7"/>
      <c r="D371" s="11"/>
      <c r="E371" s="6"/>
      <c r="F371" s="12" t="str">
        <f t="shared" si="10"/>
        <v/>
      </c>
      <c r="G371" s="13" t="str">
        <f t="shared" si="11"/>
        <v/>
      </c>
      <c r="H371" s="9"/>
      <c r="I371" s="9"/>
      <c r="J371" s="14" t="str">
        <f>IF(E371="","",IFERROR(VLOOKUP(E371,TabProd,5,FALSE),0)+SUMIFS($H$5:H371,$E$5:E371,E371)-SUMIFS($I$5:I371,$E$5:E371,E371))</f>
        <v/>
      </c>
      <c r="K371" s="7"/>
      <c r="L371" s="7"/>
      <c r="M371" s="1" t="str">
        <f>IF(E371="","",E371&amp;"|"&amp;COUNTIF($E$5:E371,E371))</f>
        <v/>
      </c>
    </row>
    <row r="372" spans="2:13" x14ac:dyDescent="0.2">
      <c r="B372" s="10"/>
      <c r="C372" s="7"/>
      <c r="D372" s="11"/>
      <c r="E372" s="6"/>
      <c r="F372" s="12" t="str">
        <f t="shared" si="10"/>
        <v/>
      </c>
      <c r="G372" s="13" t="str">
        <f t="shared" si="11"/>
        <v/>
      </c>
      <c r="H372" s="9"/>
      <c r="I372" s="9"/>
      <c r="J372" s="14" t="str">
        <f>IF(E372="","",IFERROR(VLOOKUP(E372,TabProd,5,FALSE),0)+SUMIFS($H$5:H372,$E$5:E372,E372)-SUMIFS($I$5:I372,$E$5:E372,E372))</f>
        <v/>
      </c>
      <c r="K372" s="7"/>
      <c r="L372" s="7"/>
      <c r="M372" s="1" t="str">
        <f>IF(E372="","",E372&amp;"|"&amp;COUNTIF($E$5:E372,E372))</f>
        <v/>
      </c>
    </row>
    <row r="373" spans="2:13" x14ac:dyDescent="0.2">
      <c r="B373" s="10"/>
      <c r="C373" s="7"/>
      <c r="D373" s="11"/>
      <c r="E373" s="6"/>
      <c r="F373" s="12" t="str">
        <f t="shared" si="10"/>
        <v/>
      </c>
      <c r="G373" s="13" t="str">
        <f t="shared" si="11"/>
        <v/>
      </c>
      <c r="H373" s="9"/>
      <c r="I373" s="9"/>
      <c r="J373" s="14" t="str">
        <f>IF(E373="","",IFERROR(VLOOKUP(E373,TabProd,5,FALSE),0)+SUMIFS($H$5:H373,$E$5:E373,E373)-SUMIFS($I$5:I373,$E$5:E373,E373))</f>
        <v/>
      </c>
      <c r="K373" s="7"/>
      <c r="L373" s="7"/>
      <c r="M373" s="1" t="str">
        <f>IF(E373="","",E373&amp;"|"&amp;COUNTIF($E$5:E373,E373))</f>
        <v/>
      </c>
    </row>
    <row r="374" spans="2:13" x14ac:dyDescent="0.2">
      <c r="B374" s="10"/>
      <c r="C374" s="7"/>
      <c r="D374" s="11"/>
      <c r="E374" s="6"/>
      <c r="F374" s="12" t="str">
        <f t="shared" si="10"/>
        <v/>
      </c>
      <c r="G374" s="13" t="str">
        <f t="shared" si="11"/>
        <v/>
      </c>
      <c r="H374" s="9"/>
      <c r="I374" s="9"/>
      <c r="J374" s="14" t="str">
        <f>IF(E374="","",IFERROR(VLOOKUP(E374,TabProd,5,FALSE),0)+SUMIFS($H$5:H374,$E$5:E374,E374)-SUMIFS($I$5:I374,$E$5:E374,E374))</f>
        <v/>
      </c>
      <c r="K374" s="7"/>
      <c r="L374" s="7"/>
      <c r="M374" s="1" t="str">
        <f>IF(E374="","",E374&amp;"|"&amp;COUNTIF($E$5:E374,E374))</f>
        <v/>
      </c>
    </row>
    <row r="375" spans="2:13" x14ac:dyDescent="0.2">
      <c r="B375" s="10"/>
      <c r="C375" s="7"/>
      <c r="D375" s="11"/>
      <c r="E375" s="6"/>
      <c r="F375" s="12" t="str">
        <f t="shared" si="10"/>
        <v/>
      </c>
      <c r="G375" s="13" t="str">
        <f t="shared" si="11"/>
        <v/>
      </c>
      <c r="H375" s="9"/>
      <c r="I375" s="9"/>
      <c r="J375" s="14" t="str">
        <f>IF(E375="","",IFERROR(VLOOKUP(E375,TabProd,5,FALSE),0)+SUMIFS($H$5:H375,$E$5:E375,E375)-SUMIFS($I$5:I375,$E$5:E375,E375))</f>
        <v/>
      </c>
      <c r="K375" s="7"/>
      <c r="L375" s="7"/>
      <c r="M375" s="1" t="str">
        <f>IF(E375="","",E375&amp;"|"&amp;COUNTIF($E$5:E375,E375))</f>
        <v/>
      </c>
    </row>
    <row r="376" spans="2:13" x14ac:dyDescent="0.2">
      <c r="B376" s="10"/>
      <c r="C376" s="7"/>
      <c r="D376" s="11"/>
      <c r="E376" s="6"/>
      <c r="F376" s="12" t="str">
        <f t="shared" si="10"/>
        <v/>
      </c>
      <c r="G376" s="13" t="str">
        <f t="shared" si="11"/>
        <v/>
      </c>
      <c r="H376" s="9"/>
      <c r="I376" s="9"/>
      <c r="J376" s="14" t="str">
        <f>IF(E376="","",IFERROR(VLOOKUP(E376,TabProd,5,FALSE),0)+SUMIFS($H$5:H376,$E$5:E376,E376)-SUMIFS($I$5:I376,$E$5:E376,E376))</f>
        <v/>
      </c>
      <c r="K376" s="7"/>
      <c r="L376" s="7"/>
      <c r="M376" s="1" t="str">
        <f>IF(E376="","",E376&amp;"|"&amp;COUNTIF($E$5:E376,E376))</f>
        <v/>
      </c>
    </row>
    <row r="377" spans="2:13" x14ac:dyDescent="0.2">
      <c r="B377" s="10"/>
      <c r="C377" s="7"/>
      <c r="D377" s="11"/>
      <c r="E377" s="6"/>
      <c r="F377" s="12" t="str">
        <f t="shared" si="10"/>
        <v/>
      </c>
      <c r="G377" s="13" t="str">
        <f t="shared" si="11"/>
        <v/>
      </c>
      <c r="H377" s="9"/>
      <c r="I377" s="9"/>
      <c r="J377" s="14" t="str">
        <f>IF(E377="","",IFERROR(VLOOKUP(E377,TabProd,5,FALSE),0)+SUMIFS($H$5:H377,$E$5:E377,E377)-SUMIFS($I$5:I377,$E$5:E377,E377))</f>
        <v/>
      </c>
      <c r="K377" s="7"/>
      <c r="L377" s="7"/>
      <c r="M377" s="1" t="str">
        <f>IF(E377="","",E377&amp;"|"&amp;COUNTIF($E$5:E377,E377))</f>
        <v/>
      </c>
    </row>
    <row r="378" spans="2:13" x14ac:dyDescent="0.2">
      <c r="B378" s="10"/>
      <c r="C378" s="7"/>
      <c r="D378" s="11"/>
      <c r="E378" s="6"/>
      <c r="F378" s="12" t="str">
        <f t="shared" si="10"/>
        <v/>
      </c>
      <c r="G378" s="13" t="str">
        <f t="shared" si="11"/>
        <v/>
      </c>
      <c r="H378" s="9"/>
      <c r="I378" s="9"/>
      <c r="J378" s="14" t="str">
        <f>IF(E378="","",IFERROR(VLOOKUP(E378,TabProd,5,FALSE),0)+SUMIFS($H$5:H378,$E$5:E378,E378)-SUMIFS($I$5:I378,$E$5:E378,E378))</f>
        <v/>
      </c>
      <c r="K378" s="7"/>
      <c r="L378" s="7"/>
      <c r="M378" s="1" t="str">
        <f>IF(E378="","",E378&amp;"|"&amp;COUNTIF($E$5:E378,E378))</f>
        <v/>
      </c>
    </row>
    <row r="379" spans="2:13" x14ac:dyDescent="0.2">
      <c r="B379" s="10"/>
      <c r="C379" s="7"/>
      <c r="D379" s="11"/>
      <c r="E379" s="6"/>
      <c r="F379" s="12" t="str">
        <f t="shared" si="10"/>
        <v/>
      </c>
      <c r="G379" s="13" t="str">
        <f t="shared" si="11"/>
        <v/>
      </c>
      <c r="H379" s="9"/>
      <c r="I379" s="9"/>
      <c r="J379" s="14" t="str">
        <f>IF(E379="","",IFERROR(VLOOKUP(E379,TabProd,5,FALSE),0)+SUMIFS($H$5:H379,$E$5:E379,E379)-SUMIFS($I$5:I379,$E$5:E379,E379))</f>
        <v/>
      </c>
      <c r="K379" s="7"/>
      <c r="L379" s="7"/>
      <c r="M379" s="1" t="str">
        <f>IF(E379="","",E379&amp;"|"&amp;COUNTIF($E$5:E379,E379))</f>
        <v/>
      </c>
    </row>
    <row r="380" spans="2:13" x14ac:dyDescent="0.2">
      <c r="B380" s="10"/>
      <c r="C380" s="7"/>
      <c r="D380" s="11"/>
      <c r="E380" s="6"/>
      <c r="F380" s="12" t="str">
        <f t="shared" si="10"/>
        <v/>
      </c>
      <c r="G380" s="13" t="str">
        <f t="shared" si="11"/>
        <v/>
      </c>
      <c r="H380" s="9"/>
      <c r="I380" s="9"/>
      <c r="J380" s="14" t="str">
        <f>IF(E380="","",IFERROR(VLOOKUP(E380,TabProd,5,FALSE),0)+SUMIFS($H$5:H380,$E$5:E380,E380)-SUMIFS($I$5:I380,$E$5:E380,E380))</f>
        <v/>
      </c>
      <c r="K380" s="7"/>
      <c r="L380" s="7"/>
      <c r="M380" s="1" t="str">
        <f>IF(E380="","",E380&amp;"|"&amp;COUNTIF($E$5:E380,E380))</f>
        <v/>
      </c>
    </row>
    <row r="381" spans="2:13" x14ac:dyDescent="0.2">
      <c r="B381" s="10"/>
      <c r="C381" s="7"/>
      <c r="D381" s="11"/>
      <c r="E381" s="6"/>
      <c r="F381" s="12" t="str">
        <f t="shared" si="10"/>
        <v/>
      </c>
      <c r="G381" s="13" t="str">
        <f t="shared" si="11"/>
        <v/>
      </c>
      <c r="H381" s="9"/>
      <c r="I381" s="9"/>
      <c r="J381" s="14" t="str">
        <f>IF(E381="","",IFERROR(VLOOKUP(E381,TabProd,5,FALSE),0)+SUMIFS($H$5:H381,$E$5:E381,E381)-SUMIFS($I$5:I381,$E$5:E381,E381))</f>
        <v/>
      </c>
      <c r="K381" s="7"/>
      <c r="L381" s="7"/>
      <c r="M381" s="1" t="str">
        <f>IF(E381="","",E381&amp;"|"&amp;COUNTIF($E$5:E381,E381))</f>
        <v/>
      </c>
    </row>
    <row r="382" spans="2:13" x14ac:dyDescent="0.2">
      <c r="B382" s="10"/>
      <c r="C382" s="7"/>
      <c r="D382" s="11"/>
      <c r="E382" s="6"/>
      <c r="F382" s="12" t="str">
        <f t="shared" si="10"/>
        <v/>
      </c>
      <c r="G382" s="13" t="str">
        <f t="shared" si="11"/>
        <v/>
      </c>
      <c r="H382" s="9"/>
      <c r="I382" s="9"/>
      <c r="J382" s="14" t="str">
        <f>IF(E382="","",IFERROR(VLOOKUP(E382,TabProd,5,FALSE),0)+SUMIFS($H$5:H382,$E$5:E382,E382)-SUMIFS($I$5:I382,$E$5:E382,E382))</f>
        <v/>
      </c>
      <c r="K382" s="7"/>
      <c r="L382" s="7"/>
      <c r="M382" s="1" t="str">
        <f>IF(E382="","",E382&amp;"|"&amp;COUNTIF($E$5:E382,E382))</f>
        <v/>
      </c>
    </row>
    <row r="383" spans="2:13" x14ac:dyDescent="0.2">
      <c r="B383" s="10"/>
      <c r="C383" s="7"/>
      <c r="D383" s="11"/>
      <c r="E383" s="6"/>
      <c r="F383" s="12" t="str">
        <f t="shared" si="10"/>
        <v/>
      </c>
      <c r="G383" s="13" t="str">
        <f t="shared" si="11"/>
        <v/>
      </c>
      <c r="H383" s="9"/>
      <c r="I383" s="9"/>
      <c r="J383" s="14" t="str">
        <f>IF(E383="","",IFERROR(VLOOKUP(E383,TabProd,5,FALSE),0)+SUMIFS($H$5:H383,$E$5:E383,E383)-SUMIFS($I$5:I383,$E$5:E383,E383))</f>
        <v/>
      </c>
      <c r="K383" s="7"/>
      <c r="L383" s="7"/>
      <c r="M383" s="1" t="str">
        <f>IF(E383="","",E383&amp;"|"&amp;COUNTIF($E$5:E383,E383))</f>
        <v/>
      </c>
    </row>
    <row r="384" spans="2:13" x14ac:dyDescent="0.2">
      <c r="B384" s="10"/>
      <c r="C384" s="7"/>
      <c r="D384" s="11"/>
      <c r="E384" s="6"/>
      <c r="F384" s="12" t="str">
        <f t="shared" si="10"/>
        <v/>
      </c>
      <c r="G384" s="13" t="str">
        <f t="shared" si="11"/>
        <v/>
      </c>
      <c r="H384" s="9"/>
      <c r="I384" s="9"/>
      <c r="J384" s="14" t="str">
        <f>IF(E384="","",IFERROR(VLOOKUP(E384,TabProd,5,FALSE),0)+SUMIFS($H$5:H384,$E$5:E384,E384)-SUMIFS($I$5:I384,$E$5:E384,E384))</f>
        <v/>
      </c>
      <c r="K384" s="7"/>
      <c r="L384" s="7"/>
      <c r="M384" s="1" t="str">
        <f>IF(E384="","",E384&amp;"|"&amp;COUNTIF($E$5:E384,E384))</f>
        <v/>
      </c>
    </row>
    <row r="385" spans="2:13" x14ac:dyDescent="0.2">
      <c r="B385" s="10"/>
      <c r="C385" s="7"/>
      <c r="D385" s="11"/>
      <c r="E385" s="6"/>
      <c r="F385" s="12" t="str">
        <f t="shared" si="10"/>
        <v/>
      </c>
      <c r="G385" s="13" t="str">
        <f t="shared" si="11"/>
        <v/>
      </c>
      <c r="H385" s="9"/>
      <c r="I385" s="9"/>
      <c r="J385" s="14" t="str">
        <f>IF(E385="","",IFERROR(VLOOKUP(E385,TabProd,5,FALSE),0)+SUMIFS($H$5:H385,$E$5:E385,E385)-SUMIFS($I$5:I385,$E$5:E385,E385))</f>
        <v/>
      </c>
      <c r="K385" s="7"/>
      <c r="L385" s="7"/>
      <c r="M385" s="1" t="str">
        <f>IF(E385="","",E385&amp;"|"&amp;COUNTIF($E$5:E385,E385))</f>
        <v/>
      </c>
    </row>
    <row r="386" spans="2:13" x14ac:dyDescent="0.2">
      <c r="B386" s="10"/>
      <c r="C386" s="7"/>
      <c r="D386" s="11"/>
      <c r="E386" s="6"/>
      <c r="F386" s="12" t="str">
        <f t="shared" si="10"/>
        <v/>
      </c>
      <c r="G386" s="13" t="str">
        <f t="shared" si="11"/>
        <v/>
      </c>
      <c r="H386" s="9"/>
      <c r="I386" s="9"/>
      <c r="J386" s="14" t="str">
        <f>IF(E386="","",IFERROR(VLOOKUP(E386,TabProd,5,FALSE),0)+SUMIFS($H$5:H386,$E$5:E386,E386)-SUMIFS($I$5:I386,$E$5:E386,E386))</f>
        <v/>
      </c>
      <c r="K386" s="7"/>
      <c r="L386" s="7"/>
      <c r="M386" s="1" t="str">
        <f>IF(E386="","",E386&amp;"|"&amp;COUNTIF($E$5:E386,E386))</f>
        <v/>
      </c>
    </row>
    <row r="387" spans="2:13" x14ac:dyDescent="0.2">
      <c r="B387" s="10"/>
      <c r="C387" s="7"/>
      <c r="D387" s="11"/>
      <c r="E387" s="6"/>
      <c r="F387" s="12" t="str">
        <f t="shared" si="10"/>
        <v/>
      </c>
      <c r="G387" s="13" t="str">
        <f t="shared" si="11"/>
        <v/>
      </c>
      <c r="H387" s="9"/>
      <c r="I387" s="9"/>
      <c r="J387" s="14" t="str">
        <f>IF(E387="","",IFERROR(VLOOKUP(E387,TabProd,5,FALSE),0)+SUMIFS($H$5:H387,$E$5:E387,E387)-SUMIFS($I$5:I387,$E$5:E387,E387))</f>
        <v/>
      </c>
      <c r="K387" s="7"/>
      <c r="L387" s="7"/>
      <c r="M387" s="1" t="str">
        <f>IF(E387="","",E387&amp;"|"&amp;COUNTIF($E$5:E387,E387))</f>
        <v/>
      </c>
    </row>
    <row r="388" spans="2:13" x14ac:dyDescent="0.2">
      <c r="B388" s="10"/>
      <c r="C388" s="7"/>
      <c r="D388" s="11"/>
      <c r="E388" s="6"/>
      <c r="F388" s="12" t="str">
        <f t="shared" si="10"/>
        <v/>
      </c>
      <c r="G388" s="13" t="str">
        <f t="shared" si="11"/>
        <v/>
      </c>
      <c r="H388" s="9"/>
      <c r="I388" s="9"/>
      <c r="J388" s="14" t="str">
        <f>IF(E388="","",IFERROR(VLOOKUP(E388,TabProd,5,FALSE),0)+SUMIFS($H$5:H388,$E$5:E388,E388)-SUMIFS($I$5:I388,$E$5:E388,E388))</f>
        <v/>
      </c>
      <c r="K388" s="7"/>
      <c r="L388" s="7"/>
      <c r="M388" s="1" t="str">
        <f>IF(E388="","",E388&amp;"|"&amp;COUNTIF($E$5:E388,E388))</f>
        <v/>
      </c>
    </row>
    <row r="389" spans="2:13" x14ac:dyDescent="0.2">
      <c r="B389" s="10"/>
      <c r="C389" s="7"/>
      <c r="D389" s="11"/>
      <c r="E389" s="6"/>
      <c r="F389" s="12" t="str">
        <f t="shared" ref="F389:F452" si="12">IF(E389="","",IFERROR(VLOOKUP(E389,TabProd,2,FALSE),"Cod inexistent"))</f>
        <v/>
      </c>
      <c r="G389" s="13" t="str">
        <f t="shared" ref="G389:G452" si="13">IF(E389="","",IFERROR(VLOOKUP(E389,TabProd,3,FALSE),""))</f>
        <v/>
      </c>
      <c r="H389" s="9"/>
      <c r="I389" s="9"/>
      <c r="J389" s="14" t="str">
        <f>IF(E389="","",IFERROR(VLOOKUP(E389,TabProd,5,FALSE),0)+SUMIFS($H$5:H389,$E$5:E389,E389)-SUMIFS($I$5:I389,$E$5:E389,E389))</f>
        <v/>
      </c>
      <c r="K389" s="7"/>
      <c r="L389" s="7"/>
      <c r="M389" s="1" t="str">
        <f>IF(E389="","",E389&amp;"|"&amp;COUNTIF($E$5:E389,E389))</f>
        <v/>
      </c>
    </row>
    <row r="390" spans="2:13" x14ac:dyDescent="0.2">
      <c r="B390" s="10"/>
      <c r="C390" s="7"/>
      <c r="D390" s="11"/>
      <c r="E390" s="6"/>
      <c r="F390" s="12" t="str">
        <f t="shared" si="12"/>
        <v/>
      </c>
      <c r="G390" s="13" t="str">
        <f t="shared" si="13"/>
        <v/>
      </c>
      <c r="H390" s="9"/>
      <c r="I390" s="9"/>
      <c r="J390" s="14" t="str">
        <f>IF(E390="","",IFERROR(VLOOKUP(E390,TabProd,5,FALSE),0)+SUMIFS($H$5:H390,$E$5:E390,E390)-SUMIFS($I$5:I390,$E$5:E390,E390))</f>
        <v/>
      </c>
      <c r="K390" s="7"/>
      <c r="L390" s="7"/>
      <c r="M390" s="1" t="str">
        <f>IF(E390="","",E390&amp;"|"&amp;COUNTIF($E$5:E390,E390))</f>
        <v/>
      </c>
    </row>
    <row r="391" spans="2:13" x14ac:dyDescent="0.2">
      <c r="B391" s="10"/>
      <c r="C391" s="7"/>
      <c r="D391" s="11"/>
      <c r="E391" s="6"/>
      <c r="F391" s="12" t="str">
        <f t="shared" si="12"/>
        <v/>
      </c>
      <c r="G391" s="13" t="str">
        <f t="shared" si="13"/>
        <v/>
      </c>
      <c r="H391" s="9"/>
      <c r="I391" s="9"/>
      <c r="J391" s="14" t="str">
        <f>IF(E391="","",IFERROR(VLOOKUP(E391,TabProd,5,FALSE),0)+SUMIFS($H$5:H391,$E$5:E391,E391)-SUMIFS($I$5:I391,$E$5:E391,E391))</f>
        <v/>
      </c>
      <c r="K391" s="7"/>
      <c r="L391" s="7"/>
      <c r="M391" s="1" t="str">
        <f>IF(E391="","",E391&amp;"|"&amp;COUNTIF($E$5:E391,E391))</f>
        <v/>
      </c>
    </row>
    <row r="392" spans="2:13" x14ac:dyDescent="0.2">
      <c r="B392" s="10"/>
      <c r="C392" s="7"/>
      <c r="D392" s="11"/>
      <c r="E392" s="6"/>
      <c r="F392" s="12" t="str">
        <f t="shared" si="12"/>
        <v/>
      </c>
      <c r="G392" s="13" t="str">
        <f t="shared" si="13"/>
        <v/>
      </c>
      <c r="H392" s="9"/>
      <c r="I392" s="9"/>
      <c r="J392" s="14" t="str">
        <f>IF(E392="","",IFERROR(VLOOKUP(E392,TabProd,5,FALSE),0)+SUMIFS($H$5:H392,$E$5:E392,E392)-SUMIFS($I$5:I392,$E$5:E392,E392))</f>
        <v/>
      </c>
      <c r="K392" s="7"/>
      <c r="L392" s="7"/>
      <c r="M392" s="1" t="str">
        <f>IF(E392="","",E392&amp;"|"&amp;COUNTIF($E$5:E392,E392))</f>
        <v/>
      </c>
    </row>
    <row r="393" spans="2:13" x14ac:dyDescent="0.2">
      <c r="B393" s="10"/>
      <c r="C393" s="7"/>
      <c r="D393" s="11"/>
      <c r="E393" s="6"/>
      <c r="F393" s="12" t="str">
        <f t="shared" si="12"/>
        <v/>
      </c>
      <c r="G393" s="13" t="str">
        <f t="shared" si="13"/>
        <v/>
      </c>
      <c r="H393" s="9"/>
      <c r="I393" s="9"/>
      <c r="J393" s="14" t="str">
        <f>IF(E393="","",IFERROR(VLOOKUP(E393,TabProd,5,FALSE),0)+SUMIFS($H$5:H393,$E$5:E393,E393)-SUMIFS($I$5:I393,$E$5:E393,E393))</f>
        <v/>
      </c>
      <c r="K393" s="7"/>
      <c r="L393" s="7"/>
      <c r="M393" s="1" t="str">
        <f>IF(E393="","",E393&amp;"|"&amp;COUNTIF($E$5:E393,E393))</f>
        <v/>
      </c>
    </row>
    <row r="394" spans="2:13" x14ac:dyDescent="0.2">
      <c r="B394" s="10"/>
      <c r="C394" s="7"/>
      <c r="D394" s="11"/>
      <c r="E394" s="6"/>
      <c r="F394" s="12" t="str">
        <f t="shared" si="12"/>
        <v/>
      </c>
      <c r="G394" s="13" t="str">
        <f t="shared" si="13"/>
        <v/>
      </c>
      <c r="H394" s="9"/>
      <c r="I394" s="9"/>
      <c r="J394" s="14" t="str">
        <f>IF(E394="","",IFERROR(VLOOKUP(E394,TabProd,5,FALSE),0)+SUMIFS($H$5:H394,$E$5:E394,E394)-SUMIFS($I$5:I394,$E$5:E394,E394))</f>
        <v/>
      </c>
      <c r="K394" s="7"/>
      <c r="L394" s="7"/>
      <c r="M394" s="1" t="str">
        <f>IF(E394="","",E394&amp;"|"&amp;COUNTIF($E$5:E394,E394))</f>
        <v/>
      </c>
    </row>
    <row r="395" spans="2:13" x14ac:dyDescent="0.2">
      <c r="B395" s="10"/>
      <c r="C395" s="7"/>
      <c r="D395" s="11"/>
      <c r="E395" s="6"/>
      <c r="F395" s="12" t="str">
        <f t="shared" si="12"/>
        <v/>
      </c>
      <c r="G395" s="13" t="str">
        <f t="shared" si="13"/>
        <v/>
      </c>
      <c r="H395" s="9"/>
      <c r="I395" s="9"/>
      <c r="J395" s="14" t="str">
        <f>IF(E395="","",IFERROR(VLOOKUP(E395,TabProd,5,FALSE),0)+SUMIFS($H$5:H395,$E$5:E395,E395)-SUMIFS($I$5:I395,$E$5:E395,E395))</f>
        <v/>
      </c>
      <c r="K395" s="7"/>
      <c r="L395" s="7"/>
      <c r="M395" s="1" t="str">
        <f>IF(E395="","",E395&amp;"|"&amp;COUNTIF($E$5:E395,E395))</f>
        <v/>
      </c>
    </row>
    <row r="396" spans="2:13" x14ac:dyDescent="0.2">
      <c r="B396" s="10"/>
      <c r="C396" s="7"/>
      <c r="D396" s="11"/>
      <c r="E396" s="6"/>
      <c r="F396" s="12" t="str">
        <f t="shared" si="12"/>
        <v/>
      </c>
      <c r="G396" s="13" t="str">
        <f t="shared" si="13"/>
        <v/>
      </c>
      <c r="H396" s="9"/>
      <c r="I396" s="9"/>
      <c r="J396" s="14" t="str">
        <f>IF(E396="","",IFERROR(VLOOKUP(E396,TabProd,5,FALSE),0)+SUMIFS($H$5:H396,$E$5:E396,E396)-SUMIFS($I$5:I396,$E$5:E396,E396))</f>
        <v/>
      </c>
      <c r="K396" s="7"/>
      <c r="L396" s="7"/>
      <c r="M396" s="1" t="str">
        <f>IF(E396="","",E396&amp;"|"&amp;COUNTIF($E$5:E396,E396))</f>
        <v/>
      </c>
    </row>
    <row r="397" spans="2:13" x14ac:dyDescent="0.2">
      <c r="B397" s="10"/>
      <c r="C397" s="7"/>
      <c r="D397" s="11"/>
      <c r="E397" s="6"/>
      <c r="F397" s="12" t="str">
        <f t="shared" si="12"/>
        <v/>
      </c>
      <c r="G397" s="13" t="str">
        <f t="shared" si="13"/>
        <v/>
      </c>
      <c r="H397" s="9"/>
      <c r="I397" s="9"/>
      <c r="J397" s="14" t="str">
        <f>IF(E397="","",IFERROR(VLOOKUP(E397,TabProd,5,FALSE),0)+SUMIFS($H$5:H397,$E$5:E397,E397)-SUMIFS($I$5:I397,$E$5:E397,E397))</f>
        <v/>
      </c>
      <c r="K397" s="7"/>
      <c r="L397" s="7"/>
      <c r="M397" s="1" t="str">
        <f>IF(E397="","",E397&amp;"|"&amp;COUNTIF($E$5:E397,E397))</f>
        <v/>
      </c>
    </row>
    <row r="398" spans="2:13" x14ac:dyDescent="0.2">
      <c r="B398" s="10"/>
      <c r="C398" s="7"/>
      <c r="D398" s="11"/>
      <c r="E398" s="6"/>
      <c r="F398" s="12" t="str">
        <f t="shared" si="12"/>
        <v/>
      </c>
      <c r="G398" s="13" t="str">
        <f t="shared" si="13"/>
        <v/>
      </c>
      <c r="H398" s="9"/>
      <c r="I398" s="9"/>
      <c r="J398" s="14" t="str">
        <f>IF(E398="","",IFERROR(VLOOKUP(E398,TabProd,5,FALSE),0)+SUMIFS($H$5:H398,$E$5:E398,E398)-SUMIFS($I$5:I398,$E$5:E398,E398))</f>
        <v/>
      </c>
      <c r="K398" s="7"/>
      <c r="L398" s="7"/>
      <c r="M398" s="1" t="str">
        <f>IF(E398="","",E398&amp;"|"&amp;COUNTIF($E$5:E398,E398))</f>
        <v/>
      </c>
    </row>
    <row r="399" spans="2:13" x14ac:dyDescent="0.2">
      <c r="B399" s="10"/>
      <c r="C399" s="7"/>
      <c r="D399" s="11"/>
      <c r="E399" s="6"/>
      <c r="F399" s="12" t="str">
        <f t="shared" si="12"/>
        <v/>
      </c>
      <c r="G399" s="13" t="str">
        <f t="shared" si="13"/>
        <v/>
      </c>
      <c r="H399" s="9"/>
      <c r="I399" s="9"/>
      <c r="J399" s="14" t="str">
        <f>IF(E399="","",IFERROR(VLOOKUP(E399,TabProd,5,FALSE),0)+SUMIFS($H$5:H399,$E$5:E399,E399)-SUMIFS($I$5:I399,$E$5:E399,E399))</f>
        <v/>
      </c>
      <c r="K399" s="7"/>
      <c r="L399" s="7"/>
      <c r="M399" s="1" t="str">
        <f>IF(E399="","",E399&amp;"|"&amp;COUNTIF($E$5:E399,E399))</f>
        <v/>
      </c>
    </row>
    <row r="400" spans="2:13" x14ac:dyDescent="0.2">
      <c r="B400" s="10"/>
      <c r="C400" s="7"/>
      <c r="D400" s="11"/>
      <c r="E400" s="6"/>
      <c r="F400" s="12" t="str">
        <f t="shared" si="12"/>
        <v/>
      </c>
      <c r="G400" s="13" t="str">
        <f t="shared" si="13"/>
        <v/>
      </c>
      <c r="H400" s="9"/>
      <c r="I400" s="9"/>
      <c r="J400" s="14" t="str">
        <f>IF(E400="","",IFERROR(VLOOKUP(E400,TabProd,5,FALSE),0)+SUMIFS($H$5:H400,$E$5:E400,E400)-SUMIFS($I$5:I400,$E$5:E400,E400))</f>
        <v/>
      </c>
      <c r="K400" s="7"/>
      <c r="L400" s="7"/>
      <c r="M400" s="1" t="str">
        <f>IF(E400="","",E400&amp;"|"&amp;COUNTIF($E$5:E400,E400))</f>
        <v/>
      </c>
    </row>
    <row r="401" spans="2:13" x14ac:dyDescent="0.2">
      <c r="B401" s="10"/>
      <c r="C401" s="7"/>
      <c r="D401" s="11"/>
      <c r="E401" s="6"/>
      <c r="F401" s="12" t="str">
        <f t="shared" si="12"/>
        <v/>
      </c>
      <c r="G401" s="13" t="str">
        <f t="shared" si="13"/>
        <v/>
      </c>
      <c r="H401" s="9"/>
      <c r="I401" s="9"/>
      <c r="J401" s="14" t="str">
        <f>IF(E401="","",IFERROR(VLOOKUP(E401,TabProd,5,FALSE),0)+SUMIFS($H$5:H401,$E$5:E401,E401)-SUMIFS($I$5:I401,$E$5:E401,E401))</f>
        <v/>
      </c>
      <c r="K401" s="7"/>
      <c r="L401" s="7"/>
      <c r="M401" s="1" t="str">
        <f>IF(E401="","",E401&amp;"|"&amp;COUNTIF($E$5:E401,E401))</f>
        <v/>
      </c>
    </row>
    <row r="402" spans="2:13" x14ac:dyDescent="0.2">
      <c r="B402" s="10"/>
      <c r="C402" s="7"/>
      <c r="D402" s="11"/>
      <c r="E402" s="6"/>
      <c r="F402" s="12" t="str">
        <f t="shared" si="12"/>
        <v/>
      </c>
      <c r="G402" s="13" t="str">
        <f t="shared" si="13"/>
        <v/>
      </c>
      <c r="H402" s="9"/>
      <c r="I402" s="9"/>
      <c r="J402" s="14" t="str">
        <f>IF(E402="","",IFERROR(VLOOKUP(E402,TabProd,5,FALSE),0)+SUMIFS($H$5:H402,$E$5:E402,E402)-SUMIFS($I$5:I402,$E$5:E402,E402))</f>
        <v/>
      </c>
      <c r="K402" s="7"/>
      <c r="L402" s="7"/>
      <c r="M402" s="1" t="str">
        <f>IF(E402="","",E402&amp;"|"&amp;COUNTIF($E$5:E402,E402))</f>
        <v/>
      </c>
    </row>
    <row r="403" spans="2:13" x14ac:dyDescent="0.2">
      <c r="B403" s="10"/>
      <c r="C403" s="7"/>
      <c r="D403" s="11"/>
      <c r="E403" s="6"/>
      <c r="F403" s="12" t="str">
        <f t="shared" si="12"/>
        <v/>
      </c>
      <c r="G403" s="13" t="str">
        <f t="shared" si="13"/>
        <v/>
      </c>
      <c r="H403" s="9"/>
      <c r="I403" s="9"/>
      <c r="J403" s="14" t="str">
        <f>IF(E403="","",IFERROR(VLOOKUP(E403,TabProd,5,FALSE),0)+SUMIFS($H$5:H403,$E$5:E403,E403)-SUMIFS($I$5:I403,$E$5:E403,E403))</f>
        <v/>
      </c>
      <c r="K403" s="7"/>
      <c r="L403" s="7"/>
      <c r="M403" s="1" t="str">
        <f>IF(E403="","",E403&amp;"|"&amp;COUNTIF($E$5:E403,E403))</f>
        <v/>
      </c>
    </row>
    <row r="404" spans="2:13" x14ac:dyDescent="0.2">
      <c r="B404" s="10"/>
      <c r="C404" s="7"/>
      <c r="D404" s="11"/>
      <c r="E404" s="6"/>
      <c r="F404" s="12" t="str">
        <f t="shared" si="12"/>
        <v/>
      </c>
      <c r="G404" s="13" t="str">
        <f t="shared" si="13"/>
        <v/>
      </c>
      <c r="H404" s="9"/>
      <c r="I404" s="9"/>
      <c r="J404" s="14" t="str">
        <f>IF(E404="","",IFERROR(VLOOKUP(E404,TabProd,5,FALSE),0)+SUMIFS($H$5:H404,$E$5:E404,E404)-SUMIFS($I$5:I404,$E$5:E404,E404))</f>
        <v/>
      </c>
      <c r="K404" s="7"/>
      <c r="L404" s="7"/>
      <c r="M404" s="1" t="str">
        <f>IF(E404="","",E404&amp;"|"&amp;COUNTIF($E$5:E404,E404))</f>
        <v/>
      </c>
    </row>
    <row r="405" spans="2:13" x14ac:dyDescent="0.2">
      <c r="B405" s="10"/>
      <c r="C405" s="7"/>
      <c r="D405" s="11"/>
      <c r="E405" s="6"/>
      <c r="F405" s="12" t="str">
        <f t="shared" si="12"/>
        <v/>
      </c>
      <c r="G405" s="13" t="str">
        <f t="shared" si="13"/>
        <v/>
      </c>
      <c r="H405" s="9"/>
      <c r="I405" s="9"/>
      <c r="J405" s="14" t="str">
        <f>IF(E405="","",IFERROR(VLOOKUP(E405,TabProd,5,FALSE),0)+SUMIFS($H$5:H405,$E$5:E405,E405)-SUMIFS($I$5:I405,$E$5:E405,E405))</f>
        <v/>
      </c>
      <c r="K405" s="7"/>
      <c r="L405" s="7"/>
      <c r="M405" s="1" t="str">
        <f>IF(E405="","",E405&amp;"|"&amp;COUNTIF($E$5:E405,E405))</f>
        <v/>
      </c>
    </row>
    <row r="406" spans="2:13" x14ac:dyDescent="0.2">
      <c r="B406" s="10"/>
      <c r="C406" s="7"/>
      <c r="D406" s="11"/>
      <c r="E406" s="6"/>
      <c r="F406" s="12" t="str">
        <f t="shared" si="12"/>
        <v/>
      </c>
      <c r="G406" s="13" t="str">
        <f t="shared" si="13"/>
        <v/>
      </c>
      <c r="H406" s="9"/>
      <c r="I406" s="9"/>
      <c r="J406" s="14" t="str">
        <f>IF(E406="","",IFERROR(VLOOKUP(E406,TabProd,5,FALSE),0)+SUMIFS($H$5:H406,$E$5:E406,E406)-SUMIFS($I$5:I406,$E$5:E406,E406))</f>
        <v/>
      </c>
      <c r="K406" s="7"/>
      <c r="L406" s="7"/>
      <c r="M406" s="1" t="str">
        <f>IF(E406="","",E406&amp;"|"&amp;COUNTIF($E$5:E406,E406))</f>
        <v/>
      </c>
    </row>
    <row r="407" spans="2:13" x14ac:dyDescent="0.2">
      <c r="B407" s="10"/>
      <c r="C407" s="7"/>
      <c r="D407" s="11"/>
      <c r="E407" s="6"/>
      <c r="F407" s="12" t="str">
        <f t="shared" si="12"/>
        <v/>
      </c>
      <c r="G407" s="13" t="str">
        <f t="shared" si="13"/>
        <v/>
      </c>
      <c r="H407" s="9"/>
      <c r="I407" s="9"/>
      <c r="J407" s="14" t="str">
        <f>IF(E407="","",IFERROR(VLOOKUP(E407,TabProd,5,FALSE),0)+SUMIFS($H$5:H407,$E$5:E407,E407)-SUMIFS($I$5:I407,$E$5:E407,E407))</f>
        <v/>
      </c>
      <c r="K407" s="7"/>
      <c r="L407" s="7"/>
      <c r="M407" s="1" t="str">
        <f>IF(E407="","",E407&amp;"|"&amp;COUNTIF($E$5:E407,E407))</f>
        <v/>
      </c>
    </row>
    <row r="408" spans="2:13" x14ac:dyDescent="0.2">
      <c r="B408" s="10"/>
      <c r="C408" s="7"/>
      <c r="D408" s="11"/>
      <c r="E408" s="6"/>
      <c r="F408" s="12" t="str">
        <f t="shared" si="12"/>
        <v/>
      </c>
      <c r="G408" s="13" t="str">
        <f t="shared" si="13"/>
        <v/>
      </c>
      <c r="H408" s="9"/>
      <c r="I408" s="9"/>
      <c r="J408" s="14" t="str">
        <f>IF(E408="","",IFERROR(VLOOKUP(E408,TabProd,5,FALSE),0)+SUMIFS($H$5:H408,$E$5:E408,E408)-SUMIFS($I$5:I408,$E$5:E408,E408))</f>
        <v/>
      </c>
      <c r="K408" s="7"/>
      <c r="L408" s="7"/>
      <c r="M408" s="1" t="str">
        <f>IF(E408="","",E408&amp;"|"&amp;COUNTIF($E$5:E408,E408))</f>
        <v/>
      </c>
    </row>
    <row r="409" spans="2:13" x14ac:dyDescent="0.2">
      <c r="B409" s="10"/>
      <c r="C409" s="7"/>
      <c r="D409" s="11"/>
      <c r="E409" s="6"/>
      <c r="F409" s="12" t="str">
        <f t="shared" si="12"/>
        <v/>
      </c>
      <c r="G409" s="13" t="str">
        <f t="shared" si="13"/>
        <v/>
      </c>
      <c r="H409" s="9"/>
      <c r="I409" s="9"/>
      <c r="J409" s="14" t="str">
        <f>IF(E409="","",IFERROR(VLOOKUP(E409,TabProd,5,FALSE),0)+SUMIFS($H$5:H409,$E$5:E409,E409)-SUMIFS($I$5:I409,$E$5:E409,E409))</f>
        <v/>
      </c>
      <c r="K409" s="7"/>
      <c r="L409" s="7"/>
      <c r="M409" s="1" t="str">
        <f>IF(E409="","",E409&amp;"|"&amp;COUNTIF($E$5:E409,E409))</f>
        <v/>
      </c>
    </row>
    <row r="410" spans="2:13" x14ac:dyDescent="0.2">
      <c r="B410" s="10"/>
      <c r="C410" s="7"/>
      <c r="D410" s="11"/>
      <c r="E410" s="6"/>
      <c r="F410" s="12" t="str">
        <f t="shared" si="12"/>
        <v/>
      </c>
      <c r="G410" s="13" t="str">
        <f t="shared" si="13"/>
        <v/>
      </c>
      <c r="H410" s="9"/>
      <c r="I410" s="9"/>
      <c r="J410" s="14" t="str">
        <f>IF(E410="","",IFERROR(VLOOKUP(E410,TabProd,5,FALSE),0)+SUMIFS($H$5:H410,$E$5:E410,E410)-SUMIFS($I$5:I410,$E$5:E410,E410))</f>
        <v/>
      </c>
      <c r="K410" s="7"/>
      <c r="L410" s="7"/>
      <c r="M410" s="1" t="str">
        <f>IF(E410="","",E410&amp;"|"&amp;COUNTIF($E$5:E410,E410))</f>
        <v/>
      </c>
    </row>
    <row r="411" spans="2:13" x14ac:dyDescent="0.2">
      <c r="B411" s="10"/>
      <c r="C411" s="7"/>
      <c r="D411" s="11"/>
      <c r="E411" s="6"/>
      <c r="F411" s="12" t="str">
        <f t="shared" si="12"/>
        <v/>
      </c>
      <c r="G411" s="13" t="str">
        <f t="shared" si="13"/>
        <v/>
      </c>
      <c r="H411" s="9"/>
      <c r="I411" s="9"/>
      <c r="J411" s="14" t="str">
        <f>IF(E411="","",IFERROR(VLOOKUP(E411,TabProd,5,FALSE),0)+SUMIFS($H$5:H411,$E$5:E411,E411)-SUMIFS($I$5:I411,$E$5:E411,E411))</f>
        <v/>
      </c>
      <c r="K411" s="7"/>
      <c r="L411" s="7"/>
      <c r="M411" s="1" t="str">
        <f>IF(E411="","",E411&amp;"|"&amp;COUNTIF($E$5:E411,E411))</f>
        <v/>
      </c>
    </row>
    <row r="412" spans="2:13" x14ac:dyDescent="0.2">
      <c r="B412" s="10"/>
      <c r="C412" s="7"/>
      <c r="D412" s="11"/>
      <c r="E412" s="6"/>
      <c r="F412" s="12" t="str">
        <f t="shared" si="12"/>
        <v/>
      </c>
      <c r="G412" s="13" t="str">
        <f t="shared" si="13"/>
        <v/>
      </c>
      <c r="H412" s="9"/>
      <c r="I412" s="9"/>
      <c r="J412" s="14" t="str">
        <f>IF(E412="","",IFERROR(VLOOKUP(E412,TabProd,5,FALSE),0)+SUMIFS($H$5:H412,$E$5:E412,E412)-SUMIFS($I$5:I412,$E$5:E412,E412))</f>
        <v/>
      </c>
      <c r="K412" s="7"/>
      <c r="L412" s="7"/>
      <c r="M412" s="1" t="str">
        <f>IF(E412="","",E412&amp;"|"&amp;COUNTIF($E$5:E412,E412))</f>
        <v/>
      </c>
    </row>
    <row r="413" spans="2:13" x14ac:dyDescent="0.2">
      <c r="B413" s="10"/>
      <c r="C413" s="7"/>
      <c r="D413" s="11"/>
      <c r="E413" s="6"/>
      <c r="F413" s="12" t="str">
        <f t="shared" si="12"/>
        <v/>
      </c>
      <c r="G413" s="13" t="str">
        <f t="shared" si="13"/>
        <v/>
      </c>
      <c r="H413" s="9"/>
      <c r="I413" s="9"/>
      <c r="J413" s="14" t="str">
        <f>IF(E413="","",IFERROR(VLOOKUP(E413,TabProd,5,FALSE),0)+SUMIFS($H$5:H413,$E$5:E413,E413)-SUMIFS($I$5:I413,$E$5:E413,E413))</f>
        <v/>
      </c>
      <c r="K413" s="7"/>
      <c r="L413" s="7"/>
      <c r="M413" s="1" t="str">
        <f>IF(E413="","",E413&amp;"|"&amp;COUNTIF($E$5:E413,E413))</f>
        <v/>
      </c>
    </row>
    <row r="414" spans="2:13" x14ac:dyDescent="0.2">
      <c r="B414" s="10"/>
      <c r="C414" s="7"/>
      <c r="D414" s="11"/>
      <c r="E414" s="6"/>
      <c r="F414" s="12" t="str">
        <f t="shared" si="12"/>
        <v/>
      </c>
      <c r="G414" s="13" t="str">
        <f t="shared" si="13"/>
        <v/>
      </c>
      <c r="H414" s="9"/>
      <c r="I414" s="9"/>
      <c r="J414" s="14" t="str">
        <f>IF(E414="","",IFERROR(VLOOKUP(E414,TabProd,5,FALSE),0)+SUMIFS($H$5:H414,$E$5:E414,E414)-SUMIFS($I$5:I414,$E$5:E414,E414))</f>
        <v/>
      </c>
      <c r="K414" s="7"/>
      <c r="L414" s="7"/>
      <c r="M414" s="1" t="str">
        <f>IF(E414="","",E414&amp;"|"&amp;COUNTIF($E$5:E414,E414))</f>
        <v/>
      </c>
    </row>
    <row r="415" spans="2:13" x14ac:dyDescent="0.2">
      <c r="B415" s="10"/>
      <c r="C415" s="7"/>
      <c r="D415" s="11"/>
      <c r="E415" s="6"/>
      <c r="F415" s="12" t="str">
        <f t="shared" si="12"/>
        <v/>
      </c>
      <c r="G415" s="13" t="str">
        <f t="shared" si="13"/>
        <v/>
      </c>
      <c r="H415" s="9"/>
      <c r="I415" s="9"/>
      <c r="J415" s="14" t="str">
        <f>IF(E415="","",IFERROR(VLOOKUP(E415,TabProd,5,FALSE),0)+SUMIFS($H$5:H415,$E$5:E415,E415)-SUMIFS($I$5:I415,$E$5:E415,E415))</f>
        <v/>
      </c>
      <c r="K415" s="7"/>
      <c r="L415" s="7"/>
      <c r="M415" s="1" t="str">
        <f>IF(E415="","",E415&amp;"|"&amp;COUNTIF($E$5:E415,E415))</f>
        <v/>
      </c>
    </row>
    <row r="416" spans="2:13" x14ac:dyDescent="0.2">
      <c r="B416" s="10"/>
      <c r="C416" s="7"/>
      <c r="D416" s="11"/>
      <c r="E416" s="6"/>
      <c r="F416" s="12" t="str">
        <f t="shared" si="12"/>
        <v/>
      </c>
      <c r="G416" s="13" t="str">
        <f t="shared" si="13"/>
        <v/>
      </c>
      <c r="H416" s="9"/>
      <c r="I416" s="9"/>
      <c r="J416" s="14" t="str">
        <f>IF(E416="","",IFERROR(VLOOKUP(E416,TabProd,5,FALSE),0)+SUMIFS($H$5:H416,$E$5:E416,E416)-SUMIFS($I$5:I416,$E$5:E416,E416))</f>
        <v/>
      </c>
      <c r="K416" s="7"/>
      <c r="L416" s="7"/>
      <c r="M416" s="1" t="str">
        <f>IF(E416="","",E416&amp;"|"&amp;COUNTIF($E$5:E416,E416))</f>
        <v/>
      </c>
    </row>
    <row r="417" spans="2:13" x14ac:dyDescent="0.2">
      <c r="B417" s="10"/>
      <c r="C417" s="7"/>
      <c r="D417" s="11"/>
      <c r="E417" s="6"/>
      <c r="F417" s="12" t="str">
        <f t="shared" si="12"/>
        <v/>
      </c>
      <c r="G417" s="13" t="str">
        <f t="shared" si="13"/>
        <v/>
      </c>
      <c r="H417" s="9"/>
      <c r="I417" s="9"/>
      <c r="J417" s="14" t="str">
        <f>IF(E417="","",IFERROR(VLOOKUP(E417,TabProd,5,FALSE),0)+SUMIFS($H$5:H417,$E$5:E417,E417)-SUMIFS($I$5:I417,$E$5:E417,E417))</f>
        <v/>
      </c>
      <c r="K417" s="7"/>
      <c r="L417" s="7"/>
      <c r="M417" s="1" t="str">
        <f>IF(E417="","",E417&amp;"|"&amp;COUNTIF($E$5:E417,E417))</f>
        <v/>
      </c>
    </row>
    <row r="418" spans="2:13" x14ac:dyDescent="0.2">
      <c r="B418" s="10"/>
      <c r="C418" s="7"/>
      <c r="D418" s="11"/>
      <c r="E418" s="6"/>
      <c r="F418" s="12" t="str">
        <f t="shared" si="12"/>
        <v/>
      </c>
      <c r="G418" s="13" t="str">
        <f t="shared" si="13"/>
        <v/>
      </c>
      <c r="H418" s="9"/>
      <c r="I418" s="9"/>
      <c r="J418" s="14" t="str">
        <f>IF(E418="","",IFERROR(VLOOKUP(E418,TabProd,5,FALSE),0)+SUMIFS($H$5:H418,$E$5:E418,E418)-SUMIFS($I$5:I418,$E$5:E418,E418))</f>
        <v/>
      </c>
      <c r="K418" s="7"/>
      <c r="L418" s="7"/>
      <c r="M418" s="1" t="str">
        <f>IF(E418="","",E418&amp;"|"&amp;COUNTIF($E$5:E418,E418))</f>
        <v/>
      </c>
    </row>
    <row r="419" spans="2:13" x14ac:dyDescent="0.2">
      <c r="B419" s="10"/>
      <c r="C419" s="7"/>
      <c r="D419" s="11"/>
      <c r="E419" s="6"/>
      <c r="F419" s="12" t="str">
        <f t="shared" si="12"/>
        <v/>
      </c>
      <c r="G419" s="13" t="str">
        <f t="shared" si="13"/>
        <v/>
      </c>
      <c r="H419" s="9"/>
      <c r="I419" s="9"/>
      <c r="J419" s="14" t="str">
        <f>IF(E419="","",IFERROR(VLOOKUP(E419,TabProd,5,FALSE),0)+SUMIFS($H$5:H419,$E$5:E419,E419)-SUMIFS($I$5:I419,$E$5:E419,E419))</f>
        <v/>
      </c>
      <c r="K419" s="7"/>
      <c r="L419" s="7"/>
      <c r="M419" s="1" t="str">
        <f>IF(E419="","",E419&amp;"|"&amp;COUNTIF($E$5:E419,E419))</f>
        <v/>
      </c>
    </row>
    <row r="420" spans="2:13" x14ac:dyDescent="0.2">
      <c r="B420" s="10"/>
      <c r="C420" s="7"/>
      <c r="D420" s="11"/>
      <c r="E420" s="6"/>
      <c r="F420" s="12" t="str">
        <f t="shared" si="12"/>
        <v/>
      </c>
      <c r="G420" s="13" t="str">
        <f t="shared" si="13"/>
        <v/>
      </c>
      <c r="H420" s="9"/>
      <c r="I420" s="9"/>
      <c r="J420" s="14" t="str">
        <f>IF(E420="","",IFERROR(VLOOKUP(E420,TabProd,5,FALSE),0)+SUMIFS($H$5:H420,$E$5:E420,E420)-SUMIFS($I$5:I420,$E$5:E420,E420))</f>
        <v/>
      </c>
      <c r="K420" s="7"/>
      <c r="L420" s="7"/>
      <c r="M420" s="1" t="str">
        <f>IF(E420="","",E420&amp;"|"&amp;COUNTIF($E$5:E420,E420))</f>
        <v/>
      </c>
    </row>
    <row r="421" spans="2:13" x14ac:dyDescent="0.2">
      <c r="B421" s="10"/>
      <c r="C421" s="7"/>
      <c r="D421" s="11"/>
      <c r="E421" s="6"/>
      <c r="F421" s="12" t="str">
        <f t="shared" si="12"/>
        <v/>
      </c>
      <c r="G421" s="13" t="str">
        <f t="shared" si="13"/>
        <v/>
      </c>
      <c r="H421" s="9"/>
      <c r="I421" s="9"/>
      <c r="J421" s="14" t="str">
        <f>IF(E421="","",IFERROR(VLOOKUP(E421,TabProd,5,FALSE),0)+SUMIFS($H$5:H421,$E$5:E421,E421)-SUMIFS($I$5:I421,$E$5:E421,E421))</f>
        <v/>
      </c>
      <c r="K421" s="7"/>
      <c r="L421" s="7"/>
      <c r="M421" s="1" t="str">
        <f>IF(E421="","",E421&amp;"|"&amp;COUNTIF($E$5:E421,E421))</f>
        <v/>
      </c>
    </row>
    <row r="422" spans="2:13" x14ac:dyDescent="0.2">
      <c r="B422" s="10"/>
      <c r="C422" s="7"/>
      <c r="D422" s="11"/>
      <c r="E422" s="6"/>
      <c r="F422" s="12" t="str">
        <f t="shared" si="12"/>
        <v/>
      </c>
      <c r="G422" s="13" t="str">
        <f t="shared" si="13"/>
        <v/>
      </c>
      <c r="H422" s="9"/>
      <c r="I422" s="9"/>
      <c r="J422" s="14" t="str">
        <f>IF(E422="","",IFERROR(VLOOKUP(E422,TabProd,5,FALSE),0)+SUMIFS($H$5:H422,$E$5:E422,E422)-SUMIFS($I$5:I422,$E$5:E422,E422))</f>
        <v/>
      </c>
      <c r="K422" s="7"/>
      <c r="L422" s="7"/>
      <c r="M422" s="1" t="str">
        <f>IF(E422="","",E422&amp;"|"&amp;COUNTIF($E$5:E422,E422))</f>
        <v/>
      </c>
    </row>
    <row r="423" spans="2:13" x14ac:dyDescent="0.2">
      <c r="B423" s="10"/>
      <c r="C423" s="7"/>
      <c r="D423" s="11"/>
      <c r="E423" s="6"/>
      <c r="F423" s="12" t="str">
        <f t="shared" si="12"/>
        <v/>
      </c>
      <c r="G423" s="13" t="str">
        <f t="shared" si="13"/>
        <v/>
      </c>
      <c r="H423" s="9"/>
      <c r="I423" s="9"/>
      <c r="J423" s="14" t="str">
        <f>IF(E423="","",IFERROR(VLOOKUP(E423,TabProd,5,FALSE),0)+SUMIFS($H$5:H423,$E$5:E423,E423)-SUMIFS($I$5:I423,$E$5:E423,E423))</f>
        <v/>
      </c>
      <c r="K423" s="7"/>
      <c r="L423" s="7"/>
      <c r="M423" s="1" t="str">
        <f>IF(E423="","",E423&amp;"|"&amp;COUNTIF($E$5:E423,E423))</f>
        <v/>
      </c>
    </row>
    <row r="424" spans="2:13" x14ac:dyDescent="0.2">
      <c r="B424" s="10"/>
      <c r="C424" s="7"/>
      <c r="D424" s="11"/>
      <c r="E424" s="6"/>
      <c r="F424" s="12" t="str">
        <f t="shared" si="12"/>
        <v/>
      </c>
      <c r="G424" s="13" t="str">
        <f t="shared" si="13"/>
        <v/>
      </c>
      <c r="H424" s="9"/>
      <c r="I424" s="9"/>
      <c r="J424" s="14" t="str">
        <f>IF(E424="","",IFERROR(VLOOKUP(E424,TabProd,5,FALSE),0)+SUMIFS($H$5:H424,$E$5:E424,E424)-SUMIFS($I$5:I424,$E$5:E424,E424))</f>
        <v/>
      </c>
      <c r="K424" s="7"/>
      <c r="L424" s="7"/>
      <c r="M424" s="1" t="str">
        <f>IF(E424="","",E424&amp;"|"&amp;COUNTIF($E$5:E424,E424))</f>
        <v/>
      </c>
    </row>
    <row r="425" spans="2:13" x14ac:dyDescent="0.2">
      <c r="B425" s="10"/>
      <c r="C425" s="7"/>
      <c r="D425" s="11"/>
      <c r="E425" s="6"/>
      <c r="F425" s="12" t="str">
        <f t="shared" si="12"/>
        <v/>
      </c>
      <c r="G425" s="13" t="str">
        <f t="shared" si="13"/>
        <v/>
      </c>
      <c r="H425" s="9"/>
      <c r="I425" s="9"/>
      <c r="J425" s="14" t="str">
        <f>IF(E425="","",IFERROR(VLOOKUP(E425,TabProd,5,FALSE),0)+SUMIFS($H$5:H425,$E$5:E425,E425)-SUMIFS($I$5:I425,$E$5:E425,E425))</f>
        <v/>
      </c>
      <c r="K425" s="7"/>
      <c r="L425" s="7"/>
      <c r="M425" s="1" t="str">
        <f>IF(E425="","",E425&amp;"|"&amp;COUNTIF($E$5:E425,E425))</f>
        <v/>
      </c>
    </row>
    <row r="426" spans="2:13" x14ac:dyDescent="0.2">
      <c r="B426" s="10"/>
      <c r="C426" s="7"/>
      <c r="D426" s="11"/>
      <c r="E426" s="6"/>
      <c r="F426" s="12" t="str">
        <f t="shared" si="12"/>
        <v/>
      </c>
      <c r="G426" s="13" t="str">
        <f t="shared" si="13"/>
        <v/>
      </c>
      <c r="H426" s="9"/>
      <c r="I426" s="9"/>
      <c r="J426" s="14" t="str">
        <f>IF(E426="","",IFERROR(VLOOKUP(E426,TabProd,5,FALSE),0)+SUMIFS($H$5:H426,$E$5:E426,E426)-SUMIFS($I$5:I426,$E$5:E426,E426))</f>
        <v/>
      </c>
      <c r="K426" s="7"/>
      <c r="L426" s="7"/>
      <c r="M426" s="1" t="str">
        <f>IF(E426="","",E426&amp;"|"&amp;COUNTIF($E$5:E426,E426))</f>
        <v/>
      </c>
    </row>
    <row r="427" spans="2:13" x14ac:dyDescent="0.2">
      <c r="B427" s="10"/>
      <c r="C427" s="7"/>
      <c r="D427" s="11"/>
      <c r="E427" s="6"/>
      <c r="F427" s="12" t="str">
        <f t="shared" si="12"/>
        <v/>
      </c>
      <c r="G427" s="13" t="str">
        <f t="shared" si="13"/>
        <v/>
      </c>
      <c r="H427" s="9"/>
      <c r="I427" s="9"/>
      <c r="J427" s="14" t="str">
        <f>IF(E427="","",IFERROR(VLOOKUP(E427,TabProd,5,FALSE),0)+SUMIFS($H$5:H427,$E$5:E427,E427)-SUMIFS($I$5:I427,$E$5:E427,E427))</f>
        <v/>
      </c>
      <c r="K427" s="7"/>
      <c r="L427" s="7"/>
      <c r="M427" s="1" t="str">
        <f>IF(E427="","",E427&amp;"|"&amp;COUNTIF($E$5:E427,E427))</f>
        <v/>
      </c>
    </row>
    <row r="428" spans="2:13" x14ac:dyDescent="0.2">
      <c r="B428" s="10"/>
      <c r="C428" s="7"/>
      <c r="D428" s="11"/>
      <c r="E428" s="6"/>
      <c r="F428" s="12" t="str">
        <f t="shared" si="12"/>
        <v/>
      </c>
      <c r="G428" s="13" t="str">
        <f t="shared" si="13"/>
        <v/>
      </c>
      <c r="H428" s="9"/>
      <c r="I428" s="9"/>
      <c r="J428" s="14" t="str">
        <f>IF(E428="","",IFERROR(VLOOKUP(E428,TabProd,5,FALSE),0)+SUMIFS($H$5:H428,$E$5:E428,E428)-SUMIFS($I$5:I428,$E$5:E428,E428))</f>
        <v/>
      </c>
      <c r="K428" s="7"/>
      <c r="L428" s="7"/>
      <c r="M428" s="1" t="str">
        <f>IF(E428="","",E428&amp;"|"&amp;COUNTIF($E$5:E428,E428))</f>
        <v/>
      </c>
    </row>
    <row r="429" spans="2:13" x14ac:dyDescent="0.2">
      <c r="B429" s="10"/>
      <c r="C429" s="7"/>
      <c r="D429" s="11"/>
      <c r="E429" s="6"/>
      <c r="F429" s="12" t="str">
        <f t="shared" si="12"/>
        <v/>
      </c>
      <c r="G429" s="13" t="str">
        <f t="shared" si="13"/>
        <v/>
      </c>
      <c r="H429" s="9"/>
      <c r="I429" s="9"/>
      <c r="J429" s="14" t="str">
        <f>IF(E429="","",IFERROR(VLOOKUP(E429,TabProd,5,FALSE),0)+SUMIFS($H$5:H429,$E$5:E429,E429)-SUMIFS($I$5:I429,$E$5:E429,E429))</f>
        <v/>
      </c>
      <c r="K429" s="7"/>
      <c r="L429" s="7"/>
      <c r="M429" s="1" t="str">
        <f>IF(E429="","",E429&amp;"|"&amp;COUNTIF($E$5:E429,E429))</f>
        <v/>
      </c>
    </row>
    <row r="430" spans="2:13" x14ac:dyDescent="0.2">
      <c r="B430" s="10"/>
      <c r="C430" s="7"/>
      <c r="D430" s="11"/>
      <c r="E430" s="6"/>
      <c r="F430" s="12" t="str">
        <f t="shared" si="12"/>
        <v/>
      </c>
      <c r="G430" s="13" t="str">
        <f t="shared" si="13"/>
        <v/>
      </c>
      <c r="H430" s="9"/>
      <c r="I430" s="9"/>
      <c r="J430" s="14" t="str">
        <f>IF(E430="","",IFERROR(VLOOKUP(E430,TabProd,5,FALSE),0)+SUMIFS($H$5:H430,$E$5:E430,E430)-SUMIFS($I$5:I430,$E$5:E430,E430))</f>
        <v/>
      </c>
      <c r="K430" s="7"/>
      <c r="L430" s="7"/>
      <c r="M430" s="1" t="str">
        <f>IF(E430="","",E430&amp;"|"&amp;COUNTIF($E$5:E430,E430))</f>
        <v/>
      </c>
    </row>
    <row r="431" spans="2:13" x14ac:dyDescent="0.2">
      <c r="B431" s="10"/>
      <c r="C431" s="7"/>
      <c r="D431" s="11"/>
      <c r="E431" s="6"/>
      <c r="F431" s="12" t="str">
        <f t="shared" si="12"/>
        <v/>
      </c>
      <c r="G431" s="13" t="str">
        <f t="shared" si="13"/>
        <v/>
      </c>
      <c r="H431" s="9"/>
      <c r="I431" s="9"/>
      <c r="J431" s="14" t="str">
        <f>IF(E431="","",IFERROR(VLOOKUP(E431,TabProd,5,FALSE),0)+SUMIFS($H$5:H431,$E$5:E431,E431)-SUMIFS($I$5:I431,$E$5:E431,E431))</f>
        <v/>
      </c>
      <c r="K431" s="7"/>
      <c r="L431" s="7"/>
      <c r="M431" s="1" t="str">
        <f>IF(E431="","",E431&amp;"|"&amp;COUNTIF($E$5:E431,E431))</f>
        <v/>
      </c>
    </row>
    <row r="432" spans="2:13" x14ac:dyDescent="0.2">
      <c r="B432" s="10"/>
      <c r="C432" s="7"/>
      <c r="D432" s="11"/>
      <c r="E432" s="6"/>
      <c r="F432" s="12" t="str">
        <f t="shared" si="12"/>
        <v/>
      </c>
      <c r="G432" s="13" t="str">
        <f t="shared" si="13"/>
        <v/>
      </c>
      <c r="H432" s="9"/>
      <c r="I432" s="9"/>
      <c r="J432" s="14" t="str">
        <f>IF(E432="","",IFERROR(VLOOKUP(E432,TabProd,5,FALSE),0)+SUMIFS($H$5:H432,$E$5:E432,E432)-SUMIFS($I$5:I432,$E$5:E432,E432))</f>
        <v/>
      </c>
      <c r="K432" s="7"/>
      <c r="L432" s="7"/>
      <c r="M432" s="1" t="str">
        <f>IF(E432="","",E432&amp;"|"&amp;COUNTIF($E$5:E432,E432))</f>
        <v/>
      </c>
    </row>
    <row r="433" spans="2:13" x14ac:dyDescent="0.2">
      <c r="B433" s="10"/>
      <c r="C433" s="7"/>
      <c r="D433" s="11"/>
      <c r="E433" s="6"/>
      <c r="F433" s="12" t="str">
        <f t="shared" si="12"/>
        <v/>
      </c>
      <c r="G433" s="13" t="str">
        <f t="shared" si="13"/>
        <v/>
      </c>
      <c r="H433" s="9"/>
      <c r="I433" s="9"/>
      <c r="J433" s="14" t="str">
        <f>IF(E433="","",IFERROR(VLOOKUP(E433,TabProd,5,FALSE),0)+SUMIFS($H$5:H433,$E$5:E433,E433)-SUMIFS($I$5:I433,$E$5:E433,E433))</f>
        <v/>
      </c>
      <c r="K433" s="7"/>
      <c r="L433" s="7"/>
      <c r="M433" s="1" t="str">
        <f>IF(E433="","",E433&amp;"|"&amp;COUNTIF($E$5:E433,E433))</f>
        <v/>
      </c>
    </row>
    <row r="434" spans="2:13" x14ac:dyDescent="0.2">
      <c r="B434" s="10"/>
      <c r="C434" s="7"/>
      <c r="D434" s="11"/>
      <c r="E434" s="6"/>
      <c r="F434" s="12" t="str">
        <f t="shared" si="12"/>
        <v/>
      </c>
      <c r="G434" s="13" t="str">
        <f t="shared" si="13"/>
        <v/>
      </c>
      <c r="H434" s="9"/>
      <c r="I434" s="9"/>
      <c r="J434" s="14" t="str">
        <f>IF(E434="","",IFERROR(VLOOKUP(E434,TabProd,5,FALSE),0)+SUMIFS($H$5:H434,$E$5:E434,E434)-SUMIFS($I$5:I434,$E$5:E434,E434))</f>
        <v/>
      </c>
      <c r="K434" s="7"/>
      <c r="L434" s="7"/>
      <c r="M434" s="1" t="str">
        <f>IF(E434="","",E434&amp;"|"&amp;COUNTIF($E$5:E434,E434))</f>
        <v/>
      </c>
    </row>
    <row r="435" spans="2:13" x14ac:dyDescent="0.2">
      <c r="B435" s="10"/>
      <c r="C435" s="7"/>
      <c r="D435" s="11"/>
      <c r="E435" s="6"/>
      <c r="F435" s="12" t="str">
        <f t="shared" si="12"/>
        <v/>
      </c>
      <c r="G435" s="13" t="str">
        <f t="shared" si="13"/>
        <v/>
      </c>
      <c r="H435" s="9"/>
      <c r="I435" s="9"/>
      <c r="J435" s="14" t="str">
        <f>IF(E435="","",IFERROR(VLOOKUP(E435,TabProd,5,FALSE),0)+SUMIFS($H$5:H435,$E$5:E435,E435)-SUMIFS($I$5:I435,$E$5:E435,E435))</f>
        <v/>
      </c>
      <c r="K435" s="7"/>
      <c r="L435" s="7"/>
      <c r="M435" s="1" t="str">
        <f>IF(E435="","",E435&amp;"|"&amp;COUNTIF($E$5:E435,E435))</f>
        <v/>
      </c>
    </row>
    <row r="436" spans="2:13" x14ac:dyDescent="0.2">
      <c r="B436" s="10"/>
      <c r="C436" s="7"/>
      <c r="D436" s="11"/>
      <c r="E436" s="6"/>
      <c r="F436" s="12" t="str">
        <f t="shared" si="12"/>
        <v/>
      </c>
      <c r="G436" s="13" t="str">
        <f t="shared" si="13"/>
        <v/>
      </c>
      <c r="H436" s="9"/>
      <c r="I436" s="9"/>
      <c r="J436" s="14" t="str">
        <f>IF(E436="","",IFERROR(VLOOKUP(E436,TabProd,5,FALSE),0)+SUMIFS($H$5:H436,$E$5:E436,E436)-SUMIFS($I$5:I436,$E$5:E436,E436))</f>
        <v/>
      </c>
      <c r="K436" s="7"/>
      <c r="L436" s="7"/>
      <c r="M436" s="1" t="str">
        <f>IF(E436="","",E436&amp;"|"&amp;COUNTIF($E$5:E436,E436))</f>
        <v/>
      </c>
    </row>
    <row r="437" spans="2:13" x14ac:dyDescent="0.2">
      <c r="B437" s="10"/>
      <c r="C437" s="7"/>
      <c r="D437" s="11"/>
      <c r="E437" s="6"/>
      <c r="F437" s="12" t="str">
        <f t="shared" si="12"/>
        <v/>
      </c>
      <c r="G437" s="13" t="str">
        <f t="shared" si="13"/>
        <v/>
      </c>
      <c r="H437" s="9"/>
      <c r="I437" s="9"/>
      <c r="J437" s="14" t="str">
        <f>IF(E437="","",IFERROR(VLOOKUP(E437,TabProd,5,FALSE),0)+SUMIFS($H$5:H437,$E$5:E437,E437)-SUMIFS($I$5:I437,$E$5:E437,E437))</f>
        <v/>
      </c>
      <c r="K437" s="7"/>
      <c r="L437" s="7"/>
      <c r="M437" s="1" t="str">
        <f>IF(E437="","",E437&amp;"|"&amp;COUNTIF($E$5:E437,E437))</f>
        <v/>
      </c>
    </row>
    <row r="438" spans="2:13" x14ac:dyDescent="0.2">
      <c r="B438" s="10"/>
      <c r="C438" s="7"/>
      <c r="D438" s="11"/>
      <c r="E438" s="6"/>
      <c r="F438" s="12" t="str">
        <f t="shared" si="12"/>
        <v/>
      </c>
      <c r="G438" s="13" t="str">
        <f t="shared" si="13"/>
        <v/>
      </c>
      <c r="H438" s="9"/>
      <c r="I438" s="9"/>
      <c r="J438" s="14" t="str">
        <f>IF(E438="","",IFERROR(VLOOKUP(E438,TabProd,5,FALSE),0)+SUMIFS($H$5:H438,$E$5:E438,E438)-SUMIFS($I$5:I438,$E$5:E438,E438))</f>
        <v/>
      </c>
      <c r="K438" s="7"/>
      <c r="L438" s="7"/>
      <c r="M438" s="1" t="str">
        <f>IF(E438="","",E438&amp;"|"&amp;COUNTIF($E$5:E438,E438))</f>
        <v/>
      </c>
    </row>
    <row r="439" spans="2:13" x14ac:dyDescent="0.2">
      <c r="B439" s="10"/>
      <c r="C439" s="7"/>
      <c r="D439" s="11"/>
      <c r="E439" s="6"/>
      <c r="F439" s="12" t="str">
        <f t="shared" si="12"/>
        <v/>
      </c>
      <c r="G439" s="13" t="str">
        <f t="shared" si="13"/>
        <v/>
      </c>
      <c r="H439" s="9"/>
      <c r="I439" s="9"/>
      <c r="J439" s="14" t="str">
        <f>IF(E439="","",IFERROR(VLOOKUP(E439,TabProd,5,FALSE),0)+SUMIFS($H$5:H439,$E$5:E439,E439)-SUMIFS($I$5:I439,$E$5:E439,E439))</f>
        <v/>
      </c>
      <c r="K439" s="7"/>
      <c r="L439" s="7"/>
      <c r="M439" s="1" t="str">
        <f>IF(E439="","",E439&amp;"|"&amp;COUNTIF($E$5:E439,E439))</f>
        <v/>
      </c>
    </row>
    <row r="440" spans="2:13" x14ac:dyDescent="0.2">
      <c r="B440" s="10"/>
      <c r="C440" s="7"/>
      <c r="D440" s="11"/>
      <c r="E440" s="6"/>
      <c r="F440" s="12" t="str">
        <f t="shared" si="12"/>
        <v/>
      </c>
      <c r="G440" s="13" t="str">
        <f t="shared" si="13"/>
        <v/>
      </c>
      <c r="H440" s="9"/>
      <c r="I440" s="9"/>
      <c r="J440" s="14" t="str">
        <f>IF(E440="","",IFERROR(VLOOKUP(E440,TabProd,5,FALSE),0)+SUMIFS($H$5:H440,$E$5:E440,E440)-SUMIFS($I$5:I440,$E$5:E440,E440))</f>
        <v/>
      </c>
      <c r="K440" s="7"/>
      <c r="L440" s="7"/>
      <c r="M440" s="1" t="str">
        <f>IF(E440="","",E440&amp;"|"&amp;COUNTIF($E$5:E440,E440))</f>
        <v/>
      </c>
    </row>
    <row r="441" spans="2:13" x14ac:dyDescent="0.2">
      <c r="B441" s="10"/>
      <c r="C441" s="7"/>
      <c r="D441" s="11"/>
      <c r="E441" s="6"/>
      <c r="F441" s="12" t="str">
        <f t="shared" si="12"/>
        <v/>
      </c>
      <c r="G441" s="13" t="str">
        <f t="shared" si="13"/>
        <v/>
      </c>
      <c r="H441" s="9"/>
      <c r="I441" s="9"/>
      <c r="J441" s="14" t="str">
        <f>IF(E441="","",IFERROR(VLOOKUP(E441,TabProd,5,FALSE),0)+SUMIFS($H$5:H441,$E$5:E441,E441)-SUMIFS($I$5:I441,$E$5:E441,E441))</f>
        <v/>
      </c>
      <c r="K441" s="7"/>
      <c r="L441" s="7"/>
      <c r="M441" s="1" t="str">
        <f>IF(E441="","",E441&amp;"|"&amp;COUNTIF($E$5:E441,E441))</f>
        <v/>
      </c>
    </row>
    <row r="442" spans="2:13" x14ac:dyDescent="0.2">
      <c r="B442" s="10"/>
      <c r="C442" s="7"/>
      <c r="D442" s="11"/>
      <c r="E442" s="6"/>
      <c r="F442" s="12" t="str">
        <f t="shared" si="12"/>
        <v/>
      </c>
      <c r="G442" s="13" t="str">
        <f t="shared" si="13"/>
        <v/>
      </c>
      <c r="H442" s="9"/>
      <c r="I442" s="9"/>
      <c r="J442" s="14" t="str">
        <f>IF(E442="","",IFERROR(VLOOKUP(E442,TabProd,5,FALSE),0)+SUMIFS($H$5:H442,$E$5:E442,E442)-SUMIFS($I$5:I442,$E$5:E442,E442))</f>
        <v/>
      </c>
      <c r="K442" s="7"/>
      <c r="L442" s="7"/>
      <c r="M442" s="1" t="str">
        <f>IF(E442="","",E442&amp;"|"&amp;COUNTIF($E$5:E442,E442))</f>
        <v/>
      </c>
    </row>
    <row r="443" spans="2:13" x14ac:dyDescent="0.2">
      <c r="B443" s="10"/>
      <c r="C443" s="7"/>
      <c r="D443" s="11"/>
      <c r="E443" s="6"/>
      <c r="F443" s="12" t="str">
        <f t="shared" si="12"/>
        <v/>
      </c>
      <c r="G443" s="13" t="str">
        <f t="shared" si="13"/>
        <v/>
      </c>
      <c r="H443" s="9"/>
      <c r="I443" s="9"/>
      <c r="J443" s="14" t="str">
        <f>IF(E443="","",IFERROR(VLOOKUP(E443,TabProd,5,FALSE),0)+SUMIFS($H$5:H443,$E$5:E443,E443)-SUMIFS($I$5:I443,$E$5:E443,E443))</f>
        <v/>
      </c>
      <c r="K443" s="7"/>
      <c r="L443" s="7"/>
      <c r="M443" s="1" t="str">
        <f>IF(E443="","",E443&amp;"|"&amp;COUNTIF($E$5:E443,E443))</f>
        <v/>
      </c>
    </row>
    <row r="444" spans="2:13" x14ac:dyDescent="0.2">
      <c r="B444" s="10"/>
      <c r="C444" s="7"/>
      <c r="D444" s="11"/>
      <c r="E444" s="6"/>
      <c r="F444" s="12" t="str">
        <f t="shared" si="12"/>
        <v/>
      </c>
      <c r="G444" s="13" t="str">
        <f t="shared" si="13"/>
        <v/>
      </c>
      <c r="H444" s="9"/>
      <c r="I444" s="9"/>
      <c r="J444" s="14" t="str">
        <f>IF(E444="","",IFERROR(VLOOKUP(E444,TabProd,5,FALSE),0)+SUMIFS($H$5:H444,$E$5:E444,E444)-SUMIFS($I$5:I444,$E$5:E444,E444))</f>
        <v/>
      </c>
      <c r="K444" s="7"/>
      <c r="L444" s="7"/>
      <c r="M444" s="1" t="str">
        <f>IF(E444="","",E444&amp;"|"&amp;COUNTIF($E$5:E444,E444))</f>
        <v/>
      </c>
    </row>
    <row r="445" spans="2:13" x14ac:dyDescent="0.2">
      <c r="B445" s="10"/>
      <c r="C445" s="7"/>
      <c r="D445" s="11"/>
      <c r="E445" s="6"/>
      <c r="F445" s="12" t="str">
        <f t="shared" si="12"/>
        <v/>
      </c>
      <c r="G445" s="13" t="str">
        <f t="shared" si="13"/>
        <v/>
      </c>
      <c r="H445" s="9"/>
      <c r="I445" s="9"/>
      <c r="J445" s="14" t="str">
        <f>IF(E445="","",IFERROR(VLOOKUP(E445,TabProd,5,FALSE),0)+SUMIFS($H$5:H445,$E$5:E445,E445)-SUMIFS($I$5:I445,$E$5:E445,E445))</f>
        <v/>
      </c>
      <c r="K445" s="7"/>
      <c r="L445" s="7"/>
      <c r="M445" s="1" t="str">
        <f>IF(E445="","",E445&amp;"|"&amp;COUNTIF($E$5:E445,E445))</f>
        <v/>
      </c>
    </row>
    <row r="446" spans="2:13" x14ac:dyDescent="0.2">
      <c r="B446" s="10"/>
      <c r="C446" s="7"/>
      <c r="D446" s="11"/>
      <c r="E446" s="6"/>
      <c r="F446" s="12" t="str">
        <f t="shared" si="12"/>
        <v/>
      </c>
      <c r="G446" s="13" t="str">
        <f t="shared" si="13"/>
        <v/>
      </c>
      <c r="H446" s="9"/>
      <c r="I446" s="9"/>
      <c r="J446" s="14" t="str">
        <f>IF(E446="","",IFERROR(VLOOKUP(E446,TabProd,5,FALSE),0)+SUMIFS($H$5:H446,$E$5:E446,E446)-SUMIFS($I$5:I446,$E$5:E446,E446))</f>
        <v/>
      </c>
      <c r="K446" s="7"/>
      <c r="L446" s="7"/>
      <c r="M446" s="1" t="str">
        <f>IF(E446="","",E446&amp;"|"&amp;COUNTIF($E$5:E446,E446))</f>
        <v/>
      </c>
    </row>
    <row r="447" spans="2:13" x14ac:dyDescent="0.2">
      <c r="B447" s="10"/>
      <c r="C447" s="7"/>
      <c r="D447" s="11"/>
      <c r="E447" s="6"/>
      <c r="F447" s="12" t="str">
        <f t="shared" si="12"/>
        <v/>
      </c>
      <c r="G447" s="13" t="str">
        <f t="shared" si="13"/>
        <v/>
      </c>
      <c r="H447" s="9"/>
      <c r="I447" s="9"/>
      <c r="J447" s="14" t="str">
        <f>IF(E447="","",IFERROR(VLOOKUP(E447,TabProd,5,FALSE),0)+SUMIFS($H$5:H447,$E$5:E447,E447)-SUMIFS($I$5:I447,$E$5:E447,E447))</f>
        <v/>
      </c>
      <c r="K447" s="7"/>
      <c r="L447" s="7"/>
      <c r="M447" s="1" t="str">
        <f>IF(E447="","",E447&amp;"|"&amp;COUNTIF($E$5:E447,E447))</f>
        <v/>
      </c>
    </row>
    <row r="448" spans="2:13" x14ac:dyDescent="0.2">
      <c r="B448" s="10"/>
      <c r="C448" s="7"/>
      <c r="D448" s="11"/>
      <c r="E448" s="6"/>
      <c r="F448" s="12" t="str">
        <f t="shared" si="12"/>
        <v/>
      </c>
      <c r="G448" s="13" t="str">
        <f t="shared" si="13"/>
        <v/>
      </c>
      <c r="H448" s="9"/>
      <c r="I448" s="9"/>
      <c r="J448" s="14" t="str">
        <f>IF(E448="","",IFERROR(VLOOKUP(E448,TabProd,5,FALSE),0)+SUMIFS($H$5:H448,$E$5:E448,E448)-SUMIFS($I$5:I448,$E$5:E448,E448))</f>
        <v/>
      </c>
      <c r="K448" s="7"/>
      <c r="L448" s="7"/>
      <c r="M448" s="1" t="str">
        <f>IF(E448="","",E448&amp;"|"&amp;COUNTIF($E$5:E448,E448))</f>
        <v/>
      </c>
    </row>
    <row r="449" spans="2:13" x14ac:dyDescent="0.2">
      <c r="B449" s="10"/>
      <c r="C449" s="7"/>
      <c r="D449" s="11"/>
      <c r="E449" s="6"/>
      <c r="F449" s="12" t="str">
        <f t="shared" si="12"/>
        <v/>
      </c>
      <c r="G449" s="13" t="str">
        <f t="shared" si="13"/>
        <v/>
      </c>
      <c r="H449" s="9"/>
      <c r="I449" s="9"/>
      <c r="J449" s="14" t="str">
        <f>IF(E449="","",IFERROR(VLOOKUP(E449,TabProd,5,FALSE),0)+SUMIFS($H$5:H449,$E$5:E449,E449)-SUMIFS($I$5:I449,$E$5:E449,E449))</f>
        <v/>
      </c>
      <c r="K449" s="7"/>
      <c r="L449" s="7"/>
      <c r="M449" s="1" t="str">
        <f>IF(E449="","",E449&amp;"|"&amp;COUNTIF($E$5:E449,E449))</f>
        <v/>
      </c>
    </row>
    <row r="450" spans="2:13" x14ac:dyDescent="0.2">
      <c r="B450" s="10"/>
      <c r="C450" s="7"/>
      <c r="D450" s="11"/>
      <c r="E450" s="6"/>
      <c r="F450" s="12" t="str">
        <f t="shared" si="12"/>
        <v/>
      </c>
      <c r="G450" s="13" t="str">
        <f t="shared" si="13"/>
        <v/>
      </c>
      <c r="H450" s="9"/>
      <c r="I450" s="9"/>
      <c r="J450" s="14" t="str">
        <f>IF(E450="","",IFERROR(VLOOKUP(E450,TabProd,5,FALSE),0)+SUMIFS($H$5:H450,$E$5:E450,E450)-SUMIFS($I$5:I450,$E$5:E450,E450))</f>
        <v/>
      </c>
      <c r="K450" s="7"/>
      <c r="L450" s="7"/>
      <c r="M450" s="1" t="str">
        <f>IF(E450="","",E450&amp;"|"&amp;COUNTIF($E$5:E450,E450))</f>
        <v/>
      </c>
    </row>
    <row r="451" spans="2:13" x14ac:dyDescent="0.2">
      <c r="B451" s="10"/>
      <c r="C451" s="7"/>
      <c r="D451" s="11"/>
      <c r="E451" s="6"/>
      <c r="F451" s="12" t="str">
        <f t="shared" si="12"/>
        <v/>
      </c>
      <c r="G451" s="13" t="str">
        <f t="shared" si="13"/>
        <v/>
      </c>
      <c r="H451" s="9"/>
      <c r="I451" s="9"/>
      <c r="J451" s="14" t="str">
        <f>IF(E451="","",IFERROR(VLOOKUP(E451,TabProd,5,FALSE),0)+SUMIFS($H$5:H451,$E$5:E451,E451)-SUMIFS($I$5:I451,$E$5:E451,E451))</f>
        <v/>
      </c>
      <c r="K451" s="7"/>
      <c r="L451" s="7"/>
      <c r="M451" s="1" t="str">
        <f>IF(E451="","",E451&amp;"|"&amp;COUNTIF($E$5:E451,E451))</f>
        <v/>
      </c>
    </row>
    <row r="452" spans="2:13" x14ac:dyDescent="0.2">
      <c r="B452" s="10"/>
      <c r="C452" s="7"/>
      <c r="D452" s="11"/>
      <c r="E452" s="6"/>
      <c r="F452" s="12" t="str">
        <f t="shared" si="12"/>
        <v/>
      </c>
      <c r="G452" s="13" t="str">
        <f t="shared" si="13"/>
        <v/>
      </c>
      <c r="H452" s="9"/>
      <c r="I452" s="9"/>
      <c r="J452" s="14" t="str">
        <f>IF(E452="","",IFERROR(VLOOKUP(E452,TabProd,5,FALSE),0)+SUMIFS($H$5:H452,$E$5:E452,E452)-SUMIFS($I$5:I452,$E$5:E452,E452))</f>
        <v/>
      </c>
      <c r="K452" s="7"/>
      <c r="L452" s="7"/>
      <c r="M452" s="1" t="str">
        <f>IF(E452="","",E452&amp;"|"&amp;COUNTIF($E$5:E452,E452))</f>
        <v/>
      </c>
    </row>
    <row r="453" spans="2:13" x14ac:dyDescent="0.2">
      <c r="B453" s="10"/>
      <c r="C453" s="7"/>
      <c r="D453" s="11"/>
      <c r="E453" s="6"/>
      <c r="F453" s="12" t="str">
        <f t="shared" ref="F453:F516" si="14">IF(E453="","",IFERROR(VLOOKUP(E453,TabProd,2,FALSE),"Cod inexistent"))</f>
        <v/>
      </c>
      <c r="G453" s="13" t="str">
        <f t="shared" ref="G453:G516" si="15">IF(E453="","",IFERROR(VLOOKUP(E453,TabProd,3,FALSE),""))</f>
        <v/>
      </c>
      <c r="H453" s="9"/>
      <c r="I453" s="9"/>
      <c r="J453" s="14" t="str">
        <f>IF(E453="","",IFERROR(VLOOKUP(E453,TabProd,5,FALSE),0)+SUMIFS($H$5:H453,$E$5:E453,E453)-SUMIFS($I$5:I453,$E$5:E453,E453))</f>
        <v/>
      </c>
      <c r="K453" s="7"/>
      <c r="L453" s="7"/>
      <c r="M453" s="1" t="str">
        <f>IF(E453="","",E453&amp;"|"&amp;COUNTIF($E$5:E453,E453))</f>
        <v/>
      </c>
    </row>
    <row r="454" spans="2:13" x14ac:dyDescent="0.2">
      <c r="B454" s="10"/>
      <c r="C454" s="7"/>
      <c r="D454" s="11"/>
      <c r="E454" s="6"/>
      <c r="F454" s="12" t="str">
        <f t="shared" si="14"/>
        <v/>
      </c>
      <c r="G454" s="13" t="str">
        <f t="shared" si="15"/>
        <v/>
      </c>
      <c r="H454" s="9"/>
      <c r="I454" s="9"/>
      <c r="J454" s="14" t="str">
        <f>IF(E454="","",IFERROR(VLOOKUP(E454,TabProd,5,FALSE),0)+SUMIFS($H$5:H454,$E$5:E454,E454)-SUMIFS($I$5:I454,$E$5:E454,E454))</f>
        <v/>
      </c>
      <c r="K454" s="7"/>
      <c r="L454" s="7"/>
      <c r="M454" s="1" t="str">
        <f>IF(E454="","",E454&amp;"|"&amp;COUNTIF($E$5:E454,E454))</f>
        <v/>
      </c>
    </row>
    <row r="455" spans="2:13" x14ac:dyDescent="0.2">
      <c r="B455" s="10"/>
      <c r="C455" s="7"/>
      <c r="D455" s="11"/>
      <c r="E455" s="6"/>
      <c r="F455" s="12" t="str">
        <f t="shared" si="14"/>
        <v/>
      </c>
      <c r="G455" s="13" t="str">
        <f t="shared" si="15"/>
        <v/>
      </c>
      <c r="H455" s="9"/>
      <c r="I455" s="9"/>
      <c r="J455" s="14" t="str">
        <f>IF(E455="","",IFERROR(VLOOKUP(E455,TabProd,5,FALSE),0)+SUMIFS($H$5:H455,$E$5:E455,E455)-SUMIFS($I$5:I455,$E$5:E455,E455))</f>
        <v/>
      </c>
      <c r="K455" s="7"/>
      <c r="L455" s="7"/>
      <c r="M455" s="1" t="str">
        <f>IF(E455="","",E455&amp;"|"&amp;COUNTIF($E$5:E455,E455))</f>
        <v/>
      </c>
    </row>
    <row r="456" spans="2:13" x14ac:dyDescent="0.2">
      <c r="B456" s="10"/>
      <c r="C456" s="7"/>
      <c r="D456" s="11"/>
      <c r="E456" s="6"/>
      <c r="F456" s="12" t="str">
        <f t="shared" si="14"/>
        <v/>
      </c>
      <c r="G456" s="13" t="str">
        <f t="shared" si="15"/>
        <v/>
      </c>
      <c r="H456" s="9"/>
      <c r="I456" s="9"/>
      <c r="J456" s="14" t="str">
        <f>IF(E456="","",IFERROR(VLOOKUP(E456,TabProd,5,FALSE),0)+SUMIFS($H$5:H456,$E$5:E456,E456)-SUMIFS($I$5:I456,$E$5:E456,E456))</f>
        <v/>
      </c>
      <c r="K456" s="7"/>
      <c r="L456" s="7"/>
      <c r="M456" s="1" t="str">
        <f>IF(E456="","",E456&amp;"|"&amp;COUNTIF($E$5:E456,E456))</f>
        <v/>
      </c>
    </row>
    <row r="457" spans="2:13" x14ac:dyDescent="0.2">
      <c r="B457" s="10"/>
      <c r="C457" s="7"/>
      <c r="D457" s="11"/>
      <c r="E457" s="6"/>
      <c r="F457" s="12" t="str">
        <f t="shared" si="14"/>
        <v/>
      </c>
      <c r="G457" s="13" t="str">
        <f t="shared" si="15"/>
        <v/>
      </c>
      <c r="H457" s="9"/>
      <c r="I457" s="9"/>
      <c r="J457" s="14" t="str">
        <f>IF(E457="","",IFERROR(VLOOKUP(E457,TabProd,5,FALSE),0)+SUMIFS($H$5:H457,$E$5:E457,E457)-SUMIFS($I$5:I457,$E$5:E457,E457))</f>
        <v/>
      </c>
      <c r="K457" s="7"/>
      <c r="L457" s="7"/>
      <c r="M457" s="1" t="str">
        <f>IF(E457="","",E457&amp;"|"&amp;COUNTIF($E$5:E457,E457))</f>
        <v/>
      </c>
    </row>
    <row r="458" spans="2:13" x14ac:dyDescent="0.2">
      <c r="B458" s="10"/>
      <c r="C458" s="7"/>
      <c r="D458" s="11"/>
      <c r="E458" s="6"/>
      <c r="F458" s="12" t="str">
        <f t="shared" si="14"/>
        <v/>
      </c>
      <c r="G458" s="13" t="str">
        <f t="shared" si="15"/>
        <v/>
      </c>
      <c r="H458" s="9"/>
      <c r="I458" s="9"/>
      <c r="J458" s="14" t="str">
        <f>IF(E458="","",IFERROR(VLOOKUP(E458,TabProd,5,FALSE),0)+SUMIFS($H$5:H458,$E$5:E458,E458)-SUMIFS($I$5:I458,$E$5:E458,E458))</f>
        <v/>
      </c>
      <c r="K458" s="7"/>
      <c r="L458" s="7"/>
      <c r="M458" s="1" t="str">
        <f>IF(E458="","",E458&amp;"|"&amp;COUNTIF($E$5:E458,E458))</f>
        <v/>
      </c>
    </row>
    <row r="459" spans="2:13" x14ac:dyDescent="0.2">
      <c r="B459" s="10"/>
      <c r="C459" s="7"/>
      <c r="D459" s="11"/>
      <c r="E459" s="6"/>
      <c r="F459" s="12" t="str">
        <f t="shared" si="14"/>
        <v/>
      </c>
      <c r="G459" s="13" t="str">
        <f t="shared" si="15"/>
        <v/>
      </c>
      <c r="H459" s="9"/>
      <c r="I459" s="9"/>
      <c r="J459" s="14" t="str">
        <f>IF(E459="","",IFERROR(VLOOKUP(E459,TabProd,5,FALSE),0)+SUMIFS($H$5:H459,$E$5:E459,E459)-SUMIFS($I$5:I459,$E$5:E459,E459))</f>
        <v/>
      </c>
      <c r="K459" s="7"/>
      <c r="L459" s="7"/>
      <c r="M459" s="1" t="str">
        <f>IF(E459="","",E459&amp;"|"&amp;COUNTIF($E$5:E459,E459))</f>
        <v/>
      </c>
    </row>
    <row r="460" spans="2:13" x14ac:dyDescent="0.2">
      <c r="B460" s="10"/>
      <c r="C460" s="7"/>
      <c r="D460" s="11"/>
      <c r="E460" s="6"/>
      <c r="F460" s="12" t="str">
        <f t="shared" si="14"/>
        <v/>
      </c>
      <c r="G460" s="13" t="str">
        <f t="shared" si="15"/>
        <v/>
      </c>
      <c r="H460" s="9"/>
      <c r="I460" s="9"/>
      <c r="J460" s="14" t="str">
        <f>IF(E460="","",IFERROR(VLOOKUP(E460,TabProd,5,FALSE),0)+SUMIFS($H$5:H460,$E$5:E460,E460)-SUMIFS($I$5:I460,$E$5:E460,E460))</f>
        <v/>
      </c>
      <c r="K460" s="7"/>
      <c r="L460" s="7"/>
      <c r="M460" s="1" t="str">
        <f>IF(E460="","",E460&amp;"|"&amp;COUNTIF($E$5:E460,E460))</f>
        <v/>
      </c>
    </row>
    <row r="461" spans="2:13" x14ac:dyDescent="0.2">
      <c r="B461" s="10"/>
      <c r="C461" s="7"/>
      <c r="D461" s="11"/>
      <c r="E461" s="6"/>
      <c r="F461" s="12" t="str">
        <f t="shared" si="14"/>
        <v/>
      </c>
      <c r="G461" s="13" t="str">
        <f t="shared" si="15"/>
        <v/>
      </c>
      <c r="H461" s="9"/>
      <c r="I461" s="9"/>
      <c r="J461" s="14" t="str">
        <f>IF(E461="","",IFERROR(VLOOKUP(E461,TabProd,5,FALSE),0)+SUMIFS($H$5:H461,$E$5:E461,E461)-SUMIFS($I$5:I461,$E$5:E461,E461))</f>
        <v/>
      </c>
      <c r="K461" s="7"/>
      <c r="L461" s="7"/>
      <c r="M461" s="1" t="str">
        <f>IF(E461="","",E461&amp;"|"&amp;COUNTIF($E$5:E461,E461))</f>
        <v/>
      </c>
    </row>
    <row r="462" spans="2:13" x14ac:dyDescent="0.2">
      <c r="B462" s="10"/>
      <c r="C462" s="7"/>
      <c r="D462" s="11"/>
      <c r="E462" s="6"/>
      <c r="F462" s="12" t="str">
        <f t="shared" si="14"/>
        <v/>
      </c>
      <c r="G462" s="13" t="str">
        <f t="shared" si="15"/>
        <v/>
      </c>
      <c r="H462" s="9"/>
      <c r="I462" s="9"/>
      <c r="J462" s="14" t="str">
        <f>IF(E462="","",IFERROR(VLOOKUP(E462,TabProd,5,FALSE),0)+SUMIFS($H$5:H462,$E$5:E462,E462)-SUMIFS($I$5:I462,$E$5:E462,E462))</f>
        <v/>
      </c>
      <c r="K462" s="7"/>
      <c r="L462" s="7"/>
      <c r="M462" s="1" t="str">
        <f>IF(E462="","",E462&amp;"|"&amp;COUNTIF($E$5:E462,E462))</f>
        <v/>
      </c>
    </row>
    <row r="463" spans="2:13" x14ac:dyDescent="0.2">
      <c r="B463" s="10"/>
      <c r="C463" s="7"/>
      <c r="D463" s="11"/>
      <c r="E463" s="6"/>
      <c r="F463" s="12" t="str">
        <f t="shared" si="14"/>
        <v/>
      </c>
      <c r="G463" s="13" t="str">
        <f t="shared" si="15"/>
        <v/>
      </c>
      <c r="H463" s="9"/>
      <c r="I463" s="9"/>
      <c r="J463" s="14" t="str">
        <f>IF(E463="","",IFERROR(VLOOKUP(E463,TabProd,5,FALSE),0)+SUMIFS($H$5:H463,$E$5:E463,E463)-SUMIFS($I$5:I463,$E$5:E463,E463))</f>
        <v/>
      </c>
      <c r="K463" s="7"/>
      <c r="L463" s="7"/>
      <c r="M463" s="1" t="str">
        <f>IF(E463="","",E463&amp;"|"&amp;COUNTIF($E$5:E463,E463))</f>
        <v/>
      </c>
    </row>
    <row r="464" spans="2:13" x14ac:dyDescent="0.2">
      <c r="B464" s="10"/>
      <c r="C464" s="7"/>
      <c r="D464" s="11"/>
      <c r="E464" s="6"/>
      <c r="F464" s="12" t="str">
        <f t="shared" si="14"/>
        <v/>
      </c>
      <c r="G464" s="13" t="str">
        <f t="shared" si="15"/>
        <v/>
      </c>
      <c r="H464" s="9"/>
      <c r="I464" s="9"/>
      <c r="J464" s="14" t="str">
        <f>IF(E464="","",IFERROR(VLOOKUP(E464,TabProd,5,FALSE),0)+SUMIFS($H$5:H464,$E$5:E464,E464)-SUMIFS($I$5:I464,$E$5:E464,E464))</f>
        <v/>
      </c>
      <c r="K464" s="7"/>
      <c r="L464" s="7"/>
      <c r="M464" s="1" t="str">
        <f>IF(E464="","",E464&amp;"|"&amp;COUNTIF($E$5:E464,E464))</f>
        <v/>
      </c>
    </row>
    <row r="465" spans="2:13" x14ac:dyDescent="0.2">
      <c r="B465" s="10"/>
      <c r="C465" s="7"/>
      <c r="D465" s="11"/>
      <c r="E465" s="6"/>
      <c r="F465" s="12" t="str">
        <f t="shared" si="14"/>
        <v/>
      </c>
      <c r="G465" s="13" t="str">
        <f t="shared" si="15"/>
        <v/>
      </c>
      <c r="H465" s="9"/>
      <c r="I465" s="9"/>
      <c r="J465" s="14" t="str">
        <f>IF(E465="","",IFERROR(VLOOKUP(E465,TabProd,5,FALSE),0)+SUMIFS($H$5:H465,$E$5:E465,E465)-SUMIFS($I$5:I465,$E$5:E465,E465))</f>
        <v/>
      </c>
      <c r="K465" s="7"/>
      <c r="L465" s="7"/>
      <c r="M465" s="1" t="str">
        <f>IF(E465="","",E465&amp;"|"&amp;COUNTIF($E$5:E465,E465))</f>
        <v/>
      </c>
    </row>
    <row r="466" spans="2:13" x14ac:dyDescent="0.2">
      <c r="B466" s="10"/>
      <c r="C466" s="7"/>
      <c r="D466" s="11"/>
      <c r="E466" s="6"/>
      <c r="F466" s="12" t="str">
        <f t="shared" si="14"/>
        <v/>
      </c>
      <c r="G466" s="13" t="str">
        <f t="shared" si="15"/>
        <v/>
      </c>
      <c r="H466" s="9"/>
      <c r="I466" s="9"/>
      <c r="J466" s="14" t="str">
        <f>IF(E466="","",IFERROR(VLOOKUP(E466,TabProd,5,FALSE),0)+SUMIFS($H$5:H466,$E$5:E466,E466)-SUMIFS($I$5:I466,$E$5:E466,E466))</f>
        <v/>
      </c>
      <c r="K466" s="7"/>
      <c r="L466" s="7"/>
      <c r="M466" s="1" t="str">
        <f>IF(E466="","",E466&amp;"|"&amp;COUNTIF($E$5:E466,E466))</f>
        <v/>
      </c>
    </row>
    <row r="467" spans="2:13" x14ac:dyDescent="0.2">
      <c r="B467" s="10"/>
      <c r="C467" s="7"/>
      <c r="D467" s="11"/>
      <c r="E467" s="6"/>
      <c r="F467" s="12" t="str">
        <f t="shared" si="14"/>
        <v/>
      </c>
      <c r="G467" s="13" t="str">
        <f t="shared" si="15"/>
        <v/>
      </c>
      <c r="H467" s="9"/>
      <c r="I467" s="9"/>
      <c r="J467" s="14" t="str">
        <f>IF(E467="","",IFERROR(VLOOKUP(E467,TabProd,5,FALSE),0)+SUMIFS($H$5:H467,$E$5:E467,E467)-SUMIFS($I$5:I467,$E$5:E467,E467))</f>
        <v/>
      </c>
      <c r="K467" s="7"/>
      <c r="L467" s="7"/>
      <c r="M467" s="1" t="str">
        <f>IF(E467="","",E467&amp;"|"&amp;COUNTIF($E$5:E467,E467))</f>
        <v/>
      </c>
    </row>
    <row r="468" spans="2:13" x14ac:dyDescent="0.2">
      <c r="B468" s="10"/>
      <c r="C468" s="7"/>
      <c r="D468" s="11"/>
      <c r="E468" s="6"/>
      <c r="F468" s="12" t="str">
        <f t="shared" si="14"/>
        <v/>
      </c>
      <c r="G468" s="13" t="str">
        <f t="shared" si="15"/>
        <v/>
      </c>
      <c r="H468" s="9"/>
      <c r="I468" s="9"/>
      <c r="J468" s="14" t="str">
        <f>IF(E468="","",IFERROR(VLOOKUP(E468,TabProd,5,FALSE),0)+SUMIFS($H$5:H468,$E$5:E468,E468)-SUMIFS($I$5:I468,$E$5:E468,E468))</f>
        <v/>
      </c>
      <c r="K468" s="7"/>
      <c r="L468" s="7"/>
      <c r="M468" s="1" t="str">
        <f>IF(E468="","",E468&amp;"|"&amp;COUNTIF($E$5:E468,E468))</f>
        <v/>
      </c>
    </row>
    <row r="469" spans="2:13" x14ac:dyDescent="0.2">
      <c r="B469" s="10"/>
      <c r="C469" s="7"/>
      <c r="D469" s="11"/>
      <c r="E469" s="6"/>
      <c r="F469" s="12" t="str">
        <f t="shared" si="14"/>
        <v/>
      </c>
      <c r="G469" s="13" t="str">
        <f t="shared" si="15"/>
        <v/>
      </c>
      <c r="H469" s="9"/>
      <c r="I469" s="9"/>
      <c r="J469" s="14" t="str">
        <f>IF(E469="","",IFERROR(VLOOKUP(E469,TabProd,5,FALSE),0)+SUMIFS($H$5:H469,$E$5:E469,E469)-SUMIFS($I$5:I469,$E$5:E469,E469))</f>
        <v/>
      </c>
      <c r="K469" s="7"/>
      <c r="L469" s="7"/>
      <c r="M469" s="1" t="str">
        <f>IF(E469="","",E469&amp;"|"&amp;COUNTIF($E$5:E469,E469))</f>
        <v/>
      </c>
    </row>
    <row r="470" spans="2:13" x14ac:dyDescent="0.2">
      <c r="B470" s="10"/>
      <c r="C470" s="7"/>
      <c r="D470" s="11"/>
      <c r="E470" s="6"/>
      <c r="F470" s="12" t="str">
        <f t="shared" si="14"/>
        <v/>
      </c>
      <c r="G470" s="13" t="str">
        <f t="shared" si="15"/>
        <v/>
      </c>
      <c r="H470" s="9"/>
      <c r="I470" s="9"/>
      <c r="J470" s="14" t="str">
        <f>IF(E470="","",IFERROR(VLOOKUP(E470,TabProd,5,FALSE),0)+SUMIFS($H$5:H470,$E$5:E470,E470)-SUMIFS($I$5:I470,$E$5:E470,E470))</f>
        <v/>
      </c>
      <c r="K470" s="7"/>
      <c r="L470" s="7"/>
      <c r="M470" s="1" t="str">
        <f>IF(E470="","",E470&amp;"|"&amp;COUNTIF($E$5:E470,E470))</f>
        <v/>
      </c>
    </row>
    <row r="471" spans="2:13" x14ac:dyDescent="0.2">
      <c r="B471" s="10"/>
      <c r="C471" s="7"/>
      <c r="D471" s="11"/>
      <c r="E471" s="6"/>
      <c r="F471" s="12" t="str">
        <f t="shared" si="14"/>
        <v/>
      </c>
      <c r="G471" s="13" t="str">
        <f t="shared" si="15"/>
        <v/>
      </c>
      <c r="H471" s="9"/>
      <c r="I471" s="9"/>
      <c r="J471" s="14" t="str">
        <f>IF(E471="","",IFERROR(VLOOKUP(E471,TabProd,5,FALSE),0)+SUMIFS($H$5:H471,$E$5:E471,E471)-SUMIFS($I$5:I471,$E$5:E471,E471))</f>
        <v/>
      </c>
      <c r="K471" s="7"/>
      <c r="L471" s="7"/>
      <c r="M471" s="1" t="str">
        <f>IF(E471="","",E471&amp;"|"&amp;COUNTIF($E$5:E471,E471))</f>
        <v/>
      </c>
    </row>
    <row r="472" spans="2:13" x14ac:dyDescent="0.2">
      <c r="B472" s="10"/>
      <c r="C472" s="7"/>
      <c r="D472" s="11"/>
      <c r="E472" s="6"/>
      <c r="F472" s="12" t="str">
        <f t="shared" si="14"/>
        <v/>
      </c>
      <c r="G472" s="13" t="str">
        <f t="shared" si="15"/>
        <v/>
      </c>
      <c r="H472" s="9"/>
      <c r="I472" s="9"/>
      <c r="J472" s="14" t="str">
        <f>IF(E472="","",IFERROR(VLOOKUP(E472,TabProd,5,FALSE),0)+SUMIFS($H$5:H472,$E$5:E472,E472)-SUMIFS($I$5:I472,$E$5:E472,E472))</f>
        <v/>
      </c>
      <c r="K472" s="7"/>
      <c r="L472" s="7"/>
      <c r="M472" s="1" t="str">
        <f>IF(E472="","",E472&amp;"|"&amp;COUNTIF($E$5:E472,E472))</f>
        <v/>
      </c>
    </row>
    <row r="473" spans="2:13" x14ac:dyDescent="0.2">
      <c r="B473" s="10"/>
      <c r="C473" s="7"/>
      <c r="D473" s="11"/>
      <c r="E473" s="6"/>
      <c r="F473" s="12" t="str">
        <f t="shared" si="14"/>
        <v/>
      </c>
      <c r="G473" s="13" t="str">
        <f t="shared" si="15"/>
        <v/>
      </c>
      <c r="H473" s="9"/>
      <c r="I473" s="9"/>
      <c r="J473" s="14" t="str">
        <f>IF(E473="","",IFERROR(VLOOKUP(E473,TabProd,5,FALSE),0)+SUMIFS($H$5:H473,$E$5:E473,E473)-SUMIFS($I$5:I473,$E$5:E473,E473))</f>
        <v/>
      </c>
      <c r="K473" s="7"/>
      <c r="L473" s="7"/>
      <c r="M473" s="1" t="str">
        <f>IF(E473="","",E473&amp;"|"&amp;COUNTIF($E$5:E473,E473))</f>
        <v/>
      </c>
    </row>
    <row r="474" spans="2:13" x14ac:dyDescent="0.2">
      <c r="B474" s="10"/>
      <c r="C474" s="7"/>
      <c r="D474" s="11"/>
      <c r="E474" s="6"/>
      <c r="F474" s="12" t="str">
        <f t="shared" si="14"/>
        <v/>
      </c>
      <c r="G474" s="13" t="str">
        <f t="shared" si="15"/>
        <v/>
      </c>
      <c r="H474" s="9"/>
      <c r="I474" s="9"/>
      <c r="J474" s="14" t="str">
        <f>IF(E474="","",IFERROR(VLOOKUP(E474,TabProd,5,FALSE),0)+SUMIFS($H$5:H474,$E$5:E474,E474)-SUMIFS($I$5:I474,$E$5:E474,E474))</f>
        <v/>
      </c>
      <c r="K474" s="7"/>
      <c r="L474" s="7"/>
      <c r="M474" s="1" t="str">
        <f>IF(E474="","",E474&amp;"|"&amp;COUNTIF($E$5:E474,E474))</f>
        <v/>
      </c>
    </row>
    <row r="475" spans="2:13" x14ac:dyDescent="0.2">
      <c r="B475" s="10"/>
      <c r="C475" s="7"/>
      <c r="D475" s="11"/>
      <c r="E475" s="6"/>
      <c r="F475" s="12" t="str">
        <f t="shared" si="14"/>
        <v/>
      </c>
      <c r="G475" s="13" t="str">
        <f t="shared" si="15"/>
        <v/>
      </c>
      <c r="H475" s="9"/>
      <c r="I475" s="9"/>
      <c r="J475" s="14" t="str">
        <f>IF(E475="","",IFERROR(VLOOKUP(E475,TabProd,5,FALSE),0)+SUMIFS($H$5:H475,$E$5:E475,E475)-SUMIFS($I$5:I475,$E$5:E475,E475))</f>
        <v/>
      </c>
      <c r="K475" s="7"/>
      <c r="L475" s="7"/>
      <c r="M475" s="1" t="str">
        <f>IF(E475="","",E475&amp;"|"&amp;COUNTIF($E$5:E475,E475))</f>
        <v/>
      </c>
    </row>
    <row r="476" spans="2:13" x14ac:dyDescent="0.2">
      <c r="B476" s="10"/>
      <c r="C476" s="7"/>
      <c r="D476" s="11"/>
      <c r="E476" s="6"/>
      <c r="F476" s="12" t="str">
        <f t="shared" si="14"/>
        <v/>
      </c>
      <c r="G476" s="13" t="str">
        <f t="shared" si="15"/>
        <v/>
      </c>
      <c r="H476" s="9"/>
      <c r="I476" s="9"/>
      <c r="J476" s="14" t="str">
        <f>IF(E476="","",IFERROR(VLOOKUP(E476,TabProd,5,FALSE),0)+SUMIFS($H$5:H476,$E$5:E476,E476)-SUMIFS($I$5:I476,$E$5:E476,E476))</f>
        <v/>
      </c>
      <c r="K476" s="7"/>
      <c r="L476" s="7"/>
      <c r="M476" s="1" t="str">
        <f>IF(E476="","",E476&amp;"|"&amp;COUNTIF($E$5:E476,E476))</f>
        <v/>
      </c>
    </row>
    <row r="477" spans="2:13" x14ac:dyDescent="0.2">
      <c r="B477" s="10"/>
      <c r="C477" s="7"/>
      <c r="D477" s="11"/>
      <c r="E477" s="6"/>
      <c r="F477" s="12" t="str">
        <f t="shared" si="14"/>
        <v/>
      </c>
      <c r="G477" s="13" t="str">
        <f t="shared" si="15"/>
        <v/>
      </c>
      <c r="H477" s="9"/>
      <c r="I477" s="9"/>
      <c r="J477" s="14" t="str">
        <f>IF(E477="","",IFERROR(VLOOKUP(E477,TabProd,5,FALSE),0)+SUMIFS($H$5:H477,$E$5:E477,E477)-SUMIFS($I$5:I477,$E$5:E477,E477))</f>
        <v/>
      </c>
      <c r="K477" s="7"/>
      <c r="L477" s="7"/>
      <c r="M477" s="1" t="str">
        <f>IF(E477="","",E477&amp;"|"&amp;COUNTIF($E$5:E477,E477))</f>
        <v/>
      </c>
    </row>
    <row r="478" spans="2:13" x14ac:dyDescent="0.2">
      <c r="B478" s="10"/>
      <c r="C478" s="7"/>
      <c r="D478" s="11"/>
      <c r="E478" s="6"/>
      <c r="F478" s="12" t="str">
        <f t="shared" si="14"/>
        <v/>
      </c>
      <c r="G478" s="13" t="str">
        <f t="shared" si="15"/>
        <v/>
      </c>
      <c r="H478" s="9"/>
      <c r="I478" s="9"/>
      <c r="J478" s="14" t="str">
        <f>IF(E478="","",IFERROR(VLOOKUP(E478,TabProd,5,FALSE),0)+SUMIFS($H$5:H478,$E$5:E478,E478)-SUMIFS($I$5:I478,$E$5:E478,E478))</f>
        <v/>
      </c>
      <c r="K478" s="7"/>
      <c r="L478" s="7"/>
      <c r="M478" s="1" t="str">
        <f>IF(E478="","",E478&amp;"|"&amp;COUNTIF($E$5:E478,E478))</f>
        <v/>
      </c>
    </row>
    <row r="479" spans="2:13" x14ac:dyDescent="0.2">
      <c r="B479" s="10"/>
      <c r="C479" s="7"/>
      <c r="D479" s="11"/>
      <c r="E479" s="6"/>
      <c r="F479" s="12" t="str">
        <f t="shared" si="14"/>
        <v/>
      </c>
      <c r="G479" s="13" t="str">
        <f t="shared" si="15"/>
        <v/>
      </c>
      <c r="H479" s="9"/>
      <c r="I479" s="9"/>
      <c r="J479" s="14" t="str">
        <f>IF(E479="","",IFERROR(VLOOKUP(E479,TabProd,5,FALSE),0)+SUMIFS($H$5:H479,$E$5:E479,E479)-SUMIFS($I$5:I479,$E$5:E479,E479))</f>
        <v/>
      </c>
      <c r="K479" s="7"/>
      <c r="L479" s="7"/>
      <c r="M479" s="1" t="str">
        <f>IF(E479="","",E479&amp;"|"&amp;COUNTIF($E$5:E479,E479))</f>
        <v/>
      </c>
    </row>
    <row r="480" spans="2:13" x14ac:dyDescent="0.2">
      <c r="B480" s="10"/>
      <c r="C480" s="7"/>
      <c r="D480" s="11"/>
      <c r="E480" s="6"/>
      <c r="F480" s="12" t="str">
        <f t="shared" si="14"/>
        <v/>
      </c>
      <c r="G480" s="13" t="str">
        <f t="shared" si="15"/>
        <v/>
      </c>
      <c r="H480" s="9"/>
      <c r="I480" s="9"/>
      <c r="J480" s="14" t="str">
        <f>IF(E480="","",IFERROR(VLOOKUP(E480,TabProd,5,FALSE),0)+SUMIFS($H$5:H480,$E$5:E480,E480)-SUMIFS($I$5:I480,$E$5:E480,E480))</f>
        <v/>
      </c>
      <c r="K480" s="7"/>
      <c r="L480" s="7"/>
      <c r="M480" s="1" t="str">
        <f>IF(E480="","",E480&amp;"|"&amp;COUNTIF($E$5:E480,E480))</f>
        <v/>
      </c>
    </row>
    <row r="481" spans="2:13" x14ac:dyDescent="0.2">
      <c r="B481" s="10"/>
      <c r="C481" s="7"/>
      <c r="D481" s="11"/>
      <c r="E481" s="6"/>
      <c r="F481" s="12" t="str">
        <f t="shared" si="14"/>
        <v/>
      </c>
      <c r="G481" s="13" t="str">
        <f t="shared" si="15"/>
        <v/>
      </c>
      <c r="H481" s="9"/>
      <c r="I481" s="9"/>
      <c r="J481" s="14" t="str">
        <f>IF(E481="","",IFERROR(VLOOKUP(E481,TabProd,5,FALSE),0)+SUMIFS($H$5:H481,$E$5:E481,E481)-SUMIFS($I$5:I481,$E$5:E481,E481))</f>
        <v/>
      </c>
      <c r="K481" s="7"/>
      <c r="L481" s="7"/>
      <c r="M481" s="1" t="str">
        <f>IF(E481="","",E481&amp;"|"&amp;COUNTIF($E$5:E481,E481))</f>
        <v/>
      </c>
    </row>
    <row r="482" spans="2:13" x14ac:dyDescent="0.2">
      <c r="B482" s="10"/>
      <c r="C482" s="7"/>
      <c r="D482" s="11"/>
      <c r="E482" s="6"/>
      <c r="F482" s="12" t="str">
        <f t="shared" si="14"/>
        <v/>
      </c>
      <c r="G482" s="13" t="str">
        <f t="shared" si="15"/>
        <v/>
      </c>
      <c r="H482" s="9"/>
      <c r="I482" s="9"/>
      <c r="J482" s="14" t="str">
        <f>IF(E482="","",IFERROR(VLOOKUP(E482,TabProd,5,FALSE),0)+SUMIFS($H$5:H482,$E$5:E482,E482)-SUMIFS($I$5:I482,$E$5:E482,E482))</f>
        <v/>
      </c>
      <c r="K482" s="7"/>
      <c r="L482" s="7"/>
      <c r="M482" s="1" t="str">
        <f>IF(E482="","",E482&amp;"|"&amp;COUNTIF($E$5:E482,E482))</f>
        <v/>
      </c>
    </row>
    <row r="483" spans="2:13" x14ac:dyDescent="0.2">
      <c r="B483" s="10"/>
      <c r="C483" s="7"/>
      <c r="D483" s="11"/>
      <c r="E483" s="6"/>
      <c r="F483" s="12" t="str">
        <f t="shared" si="14"/>
        <v/>
      </c>
      <c r="G483" s="13" t="str">
        <f t="shared" si="15"/>
        <v/>
      </c>
      <c r="H483" s="9"/>
      <c r="I483" s="9"/>
      <c r="J483" s="14" t="str">
        <f>IF(E483="","",IFERROR(VLOOKUP(E483,TabProd,5,FALSE),0)+SUMIFS($H$5:H483,$E$5:E483,E483)-SUMIFS($I$5:I483,$E$5:E483,E483))</f>
        <v/>
      </c>
      <c r="K483" s="7"/>
      <c r="L483" s="7"/>
      <c r="M483" s="1" t="str">
        <f>IF(E483="","",E483&amp;"|"&amp;COUNTIF($E$5:E483,E483))</f>
        <v/>
      </c>
    </row>
    <row r="484" spans="2:13" x14ac:dyDescent="0.2">
      <c r="B484" s="10"/>
      <c r="C484" s="7"/>
      <c r="D484" s="11"/>
      <c r="E484" s="6"/>
      <c r="F484" s="12" t="str">
        <f t="shared" si="14"/>
        <v/>
      </c>
      <c r="G484" s="13" t="str">
        <f t="shared" si="15"/>
        <v/>
      </c>
      <c r="H484" s="9"/>
      <c r="I484" s="9"/>
      <c r="J484" s="14" t="str">
        <f>IF(E484="","",IFERROR(VLOOKUP(E484,TabProd,5,FALSE),0)+SUMIFS($H$5:H484,$E$5:E484,E484)-SUMIFS($I$5:I484,$E$5:E484,E484))</f>
        <v/>
      </c>
      <c r="K484" s="7"/>
      <c r="L484" s="7"/>
      <c r="M484" s="1" t="str">
        <f>IF(E484="","",E484&amp;"|"&amp;COUNTIF($E$5:E484,E484))</f>
        <v/>
      </c>
    </row>
    <row r="485" spans="2:13" x14ac:dyDescent="0.2">
      <c r="B485" s="10"/>
      <c r="C485" s="7"/>
      <c r="D485" s="11"/>
      <c r="E485" s="6"/>
      <c r="F485" s="12" t="str">
        <f t="shared" si="14"/>
        <v/>
      </c>
      <c r="G485" s="13" t="str">
        <f t="shared" si="15"/>
        <v/>
      </c>
      <c r="H485" s="9"/>
      <c r="I485" s="9"/>
      <c r="J485" s="14" t="str">
        <f>IF(E485="","",IFERROR(VLOOKUP(E485,TabProd,5,FALSE),0)+SUMIFS($H$5:H485,$E$5:E485,E485)-SUMIFS($I$5:I485,$E$5:E485,E485))</f>
        <v/>
      </c>
      <c r="K485" s="7"/>
      <c r="L485" s="7"/>
      <c r="M485" s="1" t="str">
        <f>IF(E485="","",E485&amp;"|"&amp;COUNTIF($E$5:E485,E485))</f>
        <v/>
      </c>
    </row>
    <row r="486" spans="2:13" x14ac:dyDescent="0.2">
      <c r="B486" s="10"/>
      <c r="C486" s="7"/>
      <c r="D486" s="11"/>
      <c r="E486" s="6"/>
      <c r="F486" s="12" t="str">
        <f t="shared" si="14"/>
        <v/>
      </c>
      <c r="G486" s="13" t="str">
        <f t="shared" si="15"/>
        <v/>
      </c>
      <c r="H486" s="9"/>
      <c r="I486" s="9"/>
      <c r="J486" s="14" t="str">
        <f>IF(E486="","",IFERROR(VLOOKUP(E486,TabProd,5,FALSE),0)+SUMIFS($H$5:H486,$E$5:E486,E486)-SUMIFS($I$5:I486,$E$5:E486,E486))</f>
        <v/>
      </c>
      <c r="K486" s="7"/>
      <c r="L486" s="7"/>
      <c r="M486" s="1" t="str">
        <f>IF(E486="","",E486&amp;"|"&amp;COUNTIF($E$5:E486,E486))</f>
        <v/>
      </c>
    </row>
    <row r="487" spans="2:13" x14ac:dyDescent="0.2">
      <c r="B487" s="10"/>
      <c r="C487" s="7"/>
      <c r="D487" s="11"/>
      <c r="E487" s="6"/>
      <c r="F487" s="12" t="str">
        <f t="shared" si="14"/>
        <v/>
      </c>
      <c r="G487" s="13" t="str">
        <f t="shared" si="15"/>
        <v/>
      </c>
      <c r="H487" s="9"/>
      <c r="I487" s="9"/>
      <c r="J487" s="14" t="str">
        <f>IF(E487="","",IFERROR(VLOOKUP(E487,TabProd,5,FALSE),0)+SUMIFS($H$5:H487,$E$5:E487,E487)-SUMIFS($I$5:I487,$E$5:E487,E487))</f>
        <v/>
      </c>
      <c r="K487" s="7"/>
      <c r="L487" s="7"/>
      <c r="M487" s="1" t="str">
        <f>IF(E487="","",E487&amp;"|"&amp;COUNTIF($E$5:E487,E487))</f>
        <v/>
      </c>
    </row>
    <row r="488" spans="2:13" x14ac:dyDescent="0.2">
      <c r="B488" s="10"/>
      <c r="C488" s="7"/>
      <c r="D488" s="11"/>
      <c r="E488" s="6"/>
      <c r="F488" s="12" t="str">
        <f t="shared" si="14"/>
        <v/>
      </c>
      <c r="G488" s="13" t="str">
        <f t="shared" si="15"/>
        <v/>
      </c>
      <c r="H488" s="9"/>
      <c r="I488" s="9"/>
      <c r="J488" s="14" t="str">
        <f>IF(E488="","",IFERROR(VLOOKUP(E488,TabProd,5,FALSE),0)+SUMIFS($H$5:H488,$E$5:E488,E488)-SUMIFS($I$5:I488,$E$5:E488,E488))</f>
        <v/>
      </c>
      <c r="K488" s="7"/>
      <c r="L488" s="7"/>
      <c r="M488" s="1" t="str">
        <f>IF(E488="","",E488&amp;"|"&amp;COUNTIF($E$5:E488,E488))</f>
        <v/>
      </c>
    </row>
    <row r="489" spans="2:13" x14ac:dyDescent="0.2">
      <c r="B489" s="10"/>
      <c r="C489" s="7"/>
      <c r="D489" s="11"/>
      <c r="E489" s="6"/>
      <c r="F489" s="12" t="str">
        <f t="shared" si="14"/>
        <v/>
      </c>
      <c r="G489" s="13" t="str">
        <f t="shared" si="15"/>
        <v/>
      </c>
      <c r="H489" s="9"/>
      <c r="I489" s="9"/>
      <c r="J489" s="14" t="str">
        <f>IF(E489="","",IFERROR(VLOOKUP(E489,TabProd,5,FALSE),0)+SUMIFS($H$5:H489,$E$5:E489,E489)-SUMIFS($I$5:I489,$E$5:E489,E489))</f>
        <v/>
      </c>
      <c r="K489" s="7"/>
      <c r="L489" s="7"/>
      <c r="M489" s="1" t="str">
        <f>IF(E489="","",E489&amp;"|"&amp;COUNTIF($E$5:E489,E489))</f>
        <v/>
      </c>
    </row>
    <row r="490" spans="2:13" x14ac:dyDescent="0.2">
      <c r="B490" s="10"/>
      <c r="C490" s="7"/>
      <c r="D490" s="11"/>
      <c r="E490" s="6"/>
      <c r="F490" s="12" t="str">
        <f t="shared" si="14"/>
        <v/>
      </c>
      <c r="G490" s="13" t="str">
        <f t="shared" si="15"/>
        <v/>
      </c>
      <c r="H490" s="9"/>
      <c r="I490" s="9"/>
      <c r="J490" s="14" t="str">
        <f>IF(E490="","",IFERROR(VLOOKUP(E490,TabProd,5,FALSE),0)+SUMIFS($H$5:H490,$E$5:E490,E490)-SUMIFS($I$5:I490,$E$5:E490,E490))</f>
        <v/>
      </c>
      <c r="K490" s="7"/>
      <c r="L490" s="7"/>
      <c r="M490" s="1" t="str">
        <f>IF(E490="","",E490&amp;"|"&amp;COUNTIF($E$5:E490,E490))</f>
        <v/>
      </c>
    </row>
    <row r="491" spans="2:13" x14ac:dyDescent="0.2">
      <c r="B491" s="10"/>
      <c r="C491" s="7"/>
      <c r="D491" s="11"/>
      <c r="E491" s="6"/>
      <c r="F491" s="12" t="str">
        <f t="shared" si="14"/>
        <v/>
      </c>
      <c r="G491" s="13" t="str">
        <f t="shared" si="15"/>
        <v/>
      </c>
      <c r="H491" s="9"/>
      <c r="I491" s="9"/>
      <c r="J491" s="14" t="str">
        <f>IF(E491="","",IFERROR(VLOOKUP(E491,TabProd,5,FALSE),0)+SUMIFS($H$5:H491,$E$5:E491,E491)-SUMIFS($I$5:I491,$E$5:E491,E491))</f>
        <v/>
      </c>
      <c r="K491" s="7"/>
      <c r="L491" s="7"/>
      <c r="M491" s="1" t="str">
        <f>IF(E491="","",E491&amp;"|"&amp;COUNTIF($E$5:E491,E491))</f>
        <v/>
      </c>
    </row>
    <row r="492" spans="2:13" x14ac:dyDescent="0.2">
      <c r="B492" s="10"/>
      <c r="C492" s="7"/>
      <c r="D492" s="11"/>
      <c r="E492" s="6"/>
      <c r="F492" s="12" t="str">
        <f t="shared" si="14"/>
        <v/>
      </c>
      <c r="G492" s="13" t="str">
        <f t="shared" si="15"/>
        <v/>
      </c>
      <c r="H492" s="9"/>
      <c r="I492" s="9"/>
      <c r="J492" s="14" t="str">
        <f>IF(E492="","",IFERROR(VLOOKUP(E492,TabProd,5,FALSE),0)+SUMIFS($H$5:H492,$E$5:E492,E492)-SUMIFS($I$5:I492,$E$5:E492,E492))</f>
        <v/>
      </c>
      <c r="K492" s="7"/>
      <c r="L492" s="7"/>
      <c r="M492" s="1" t="str">
        <f>IF(E492="","",E492&amp;"|"&amp;COUNTIF($E$5:E492,E492))</f>
        <v/>
      </c>
    </row>
    <row r="493" spans="2:13" x14ac:dyDescent="0.2">
      <c r="B493" s="10"/>
      <c r="C493" s="7"/>
      <c r="D493" s="11"/>
      <c r="E493" s="6"/>
      <c r="F493" s="12" t="str">
        <f t="shared" si="14"/>
        <v/>
      </c>
      <c r="G493" s="13" t="str">
        <f t="shared" si="15"/>
        <v/>
      </c>
      <c r="H493" s="9"/>
      <c r="I493" s="9"/>
      <c r="J493" s="14" t="str">
        <f>IF(E493="","",IFERROR(VLOOKUP(E493,TabProd,5,FALSE),0)+SUMIFS($H$5:H493,$E$5:E493,E493)-SUMIFS($I$5:I493,$E$5:E493,E493))</f>
        <v/>
      </c>
      <c r="K493" s="7"/>
      <c r="L493" s="7"/>
      <c r="M493" s="1" t="str">
        <f>IF(E493="","",E493&amp;"|"&amp;COUNTIF($E$5:E493,E493))</f>
        <v/>
      </c>
    </row>
    <row r="494" spans="2:13" x14ac:dyDescent="0.2">
      <c r="B494" s="10"/>
      <c r="C494" s="7"/>
      <c r="D494" s="11"/>
      <c r="E494" s="6"/>
      <c r="F494" s="12" t="str">
        <f t="shared" si="14"/>
        <v/>
      </c>
      <c r="G494" s="13" t="str">
        <f t="shared" si="15"/>
        <v/>
      </c>
      <c r="H494" s="9"/>
      <c r="I494" s="9"/>
      <c r="J494" s="14" t="str">
        <f>IF(E494="","",IFERROR(VLOOKUP(E494,TabProd,5,FALSE),0)+SUMIFS($H$5:H494,$E$5:E494,E494)-SUMIFS($I$5:I494,$E$5:E494,E494))</f>
        <v/>
      </c>
      <c r="K494" s="7"/>
      <c r="L494" s="7"/>
      <c r="M494" s="1" t="str">
        <f>IF(E494="","",E494&amp;"|"&amp;COUNTIF($E$5:E494,E494))</f>
        <v/>
      </c>
    </row>
    <row r="495" spans="2:13" x14ac:dyDescent="0.2">
      <c r="B495" s="10"/>
      <c r="C495" s="7"/>
      <c r="D495" s="11"/>
      <c r="E495" s="6"/>
      <c r="F495" s="12" t="str">
        <f t="shared" si="14"/>
        <v/>
      </c>
      <c r="G495" s="13" t="str">
        <f t="shared" si="15"/>
        <v/>
      </c>
      <c r="H495" s="9"/>
      <c r="I495" s="9"/>
      <c r="J495" s="14" t="str">
        <f>IF(E495="","",IFERROR(VLOOKUP(E495,TabProd,5,FALSE),0)+SUMIFS($H$5:H495,$E$5:E495,E495)-SUMIFS($I$5:I495,$E$5:E495,E495))</f>
        <v/>
      </c>
      <c r="K495" s="7"/>
      <c r="L495" s="7"/>
      <c r="M495" s="1" t="str">
        <f>IF(E495="","",E495&amp;"|"&amp;COUNTIF($E$5:E495,E495))</f>
        <v/>
      </c>
    </row>
    <row r="496" spans="2:13" x14ac:dyDescent="0.2">
      <c r="B496" s="10"/>
      <c r="C496" s="7"/>
      <c r="D496" s="11"/>
      <c r="E496" s="6"/>
      <c r="F496" s="12" t="str">
        <f t="shared" si="14"/>
        <v/>
      </c>
      <c r="G496" s="13" t="str">
        <f t="shared" si="15"/>
        <v/>
      </c>
      <c r="H496" s="9"/>
      <c r="I496" s="9"/>
      <c r="J496" s="14" t="str">
        <f>IF(E496="","",IFERROR(VLOOKUP(E496,TabProd,5,FALSE),0)+SUMIFS($H$5:H496,$E$5:E496,E496)-SUMIFS($I$5:I496,$E$5:E496,E496))</f>
        <v/>
      </c>
      <c r="K496" s="7"/>
      <c r="L496" s="7"/>
      <c r="M496" s="1" t="str">
        <f>IF(E496="","",E496&amp;"|"&amp;COUNTIF($E$5:E496,E496))</f>
        <v/>
      </c>
    </row>
    <row r="497" spans="2:13" x14ac:dyDescent="0.2">
      <c r="B497" s="10"/>
      <c r="C497" s="7"/>
      <c r="D497" s="11"/>
      <c r="E497" s="6"/>
      <c r="F497" s="12" t="str">
        <f t="shared" si="14"/>
        <v/>
      </c>
      <c r="G497" s="13" t="str">
        <f t="shared" si="15"/>
        <v/>
      </c>
      <c r="H497" s="9"/>
      <c r="I497" s="9"/>
      <c r="J497" s="14" t="str">
        <f>IF(E497="","",IFERROR(VLOOKUP(E497,TabProd,5,FALSE),0)+SUMIFS($H$5:H497,$E$5:E497,E497)-SUMIFS($I$5:I497,$E$5:E497,E497))</f>
        <v/>
      </c>
      <c r="K497" s="7"/>
      <c r="L497" s="7"/>
      <c r="M497" s="1" t="str">
        <f>IF(E497="","",E497&amp;"|"&amp;COUNTIF($E$5:E497,E497))</f>
        <v/>
      </c>
    </row>
    <row r="498" spans="2:13" x14ac:dyDescent="0.2">
      <c r="B498" s="10"/>
      <c r="C498" s="7"/>
      <c r="D498" s="11"/>
      <c r="E498" s="6"/>
      <c r="F498" s="12" t="str">
        <f t="shared" si="14"/>
        <v/>
      </c>
      <c r="G498" s="13" t="str">
        <f t="shared" si="15"/>
        <v/>
      </c>
      <c r="H498" s="9"/>
      <c r="I498" s="9"/>
      <c r="J498" s="14" t="str">
        <f>IF(E498="","",IFERROR(VLOOKUP(E498,TabProd,5,FALSE),0)+SUMIFS($H$5:H498,$E$5:E498,E498)-SUMIFS($I$5:I498,$E$5:E498,E498))</f>
        <v/>
      </c>
      <c r="K498" s="7"/>
      <c r="L498" s="7"/>
      <c r="M498" s="1" t="str">
        <f>IF(E498="","",E498&amp;"|"&amp;COUNTIF($E$5:E498,E498))</f>
        <v/>
      </c>
    </row>
    <row r="499" spans="2:13" x14ac:dyDescent="0.2">
      <c r="B499" s="10"/>
      <c r="C499" s="7"/>
      <c r="D499" s="11"/>
      <c r="E499" s="6"/>
      <c r="F499" s="12" t="str">
        <f t="shared" si="14"/>
        <v/>
      </c>
      <c r="G499" s="13" t="str">
        <f t="shared" si="15"/>
        <v/>
      </c>
      <c r="H499" s="9"/>
      <c r="I499" s="9"/>
      <c r="J499" s="14" t="str">
        <f>IF(E499="","",IFERROR(VLOOKUP(E499,TabProd,5,FALSE),0)+SUMIFS($H$5:H499,$E$5:E499,E499)-SUMIFS($I$5:I499,$E$5:E499,E499))</f>
        <v/>
      </c>
      <c r="K499" s="7"/>
      <c r="L499" s="7"/>
      <c r="M499" s="1" t="str">
        <f>IF(E499="","",E499&amp;"|"&amp;COUNTIF($E$5:E499,E499))</f>
        <v/>
      </c>
    </row>
    <row r="500" spans="2:13" x14ac:dyDescent="0.2">
      <c r="B500" s="10"/>
      <c r="C500" s="7"/>
      <c r="D500" s="11"/>
      <c r="E500" s="6"/>
      <c r="F500" s="12" t="str">
        <f t="shared" si="14"/>
        <v/>
      </c>
      <c r="G500" s="13" t="str">
        <f t="shared" si="15"/>
        <v/>
      </c>
      <c r="H500" s="9"/>
      <c r="I500" s="9"/>
      <c r="J500" s="14" t="str">
        <f>IF(E500="","",IFERROR(VLOOKUP(E500,TabProd,5,FALSE),0)+SUMIFS($H$5:H500,$E$5:E500,E500)-SUMIFS($I$5:I500,$E$5:E500,E500))</f>
        <v/>
      </c>
      <c r="K500" s="7"/>
      <c r="L500" s="7"/>
      <c r="M500" s="1" t="str">
        <f>IF(E500="","",E500&amp;"|"&amp;COUNTIF($E$5:E500,E500))</f>
        <v/>
      </c>
    </row>
    <row r="501" spans="2:13" x14ac:dyDescent="0.2">
      <c r="B501" s="10"/>
      <c r="C501" s="7"/>
      <c r="D501" s="11"/>
      <c r="E501" s="6"/>
      <c r="F501" s="12" t="str">
        <f t="shared" si="14"/>
        <v/>
      </c>
      <c r="G501" s="13" t="str">
        <f t="shared" si="15"/>
        <v/>
      </c>
      <c r="H501" s="9"/>
      <c r="I501" s="9"/>
      <c r="J501" s="14" t="str">
        <f>IF(E501="","",IFERROR(VLOOKUP(E501,TabProd,5,FALSE),0)+SUMIFS($H$5:H501,$E$5:E501,E501)-SUMIFS($I$5:I501,$E$5:E501,E501))</f>
        <v/>
      </c>
      <c r="K501" s="7"/>
      <c r="L501" s="7"/>
      <c r="M501" s="1" t="str">
        <f>IF(E501="","",E501&amp;"|"&amp;COUNTIF($E$5:E501,E501))</f>
        <v/>
      </c>
    </row>
    <row r="502" spans="2:13" x14ac:dyDescent="0.2">
      <c r="B502" s="10"/>
      <c r="C502" s="7"/>
      <c r="D502" s="11"/>
      <c r="E502" s="6"/>
      <c r="F502" s="12" t="str">
        <f t="shared" si="14"/>
        <v/>
      </c>
      <c r="G502" s="13" t="str">
        <f t="shared" si="15"/>
        <v/>
      </c>
      <c r="H502" s="9"/>
      <c r="I502" s="9"/>
      <c r="J502" s="14" t="str">
        <f>IF(E502="","",IFERROR(VLOOKUP(E502,TabProd,5,FALSE),0)+SUMIFS($H$5:H502,$E$5:E502,E502)-SUMIFS($I$5:I502,$E$5:E502,E502))</f>
        <v/>
      </c>
      <c r="K502" s="7"/>
      <c r="L502" s="7"/>
      <c r="M502" s="1" t="str">
        <f>IF(E502="","",E502&amp;"|"&amp;COUNTIF($E$5:E502,E502))</f>
        <v/>
      </c>
    </row>
    <row r="503" spans="2:13" x14ac:dyDescent="0.2">
      <c r="B503" s="10"/>
      <c r="C503" s="7"/>
      <c r="D503" s="11"/>
      <c r="E503" s="6"/>
      <c r="F503" s="12" t="str">
        <f t="shared" si="14"/>
        <v/>
      </c>
      <c r="G503" s="13" t="str">
        <f t="shared" si="15"/>
        <v/>
      </c>
      <c r="H503" s="9"/>
      <c r="I503" s="9"/>
      <c r="J503" s="14" t="str">
        <f>IF(E503="","",IFERROR(VLOOKUP(E503,TabProd,5,FALSE),0)+SUMIFS($H$5:H503,$E$5:E503,E503)-SUMIFS($I$5:I503,$E$5:E503,E503))</f>
        <v/>
      </c>
      <c r="K503" s="7"/>
      <c r="L503" s="7"/>
      <c r="M503" s="1" t="str">
        <f>IF(E503="","",E503&amp;"|"&amp;COUNTIF($E$5:E503,E503))</f>
        <v/>
      </c>
    </row>
    <row r="504" spans="2:13" x14ac:dyDescent="0.2">
      <c r="B504" s="10"/>
      <c r="C504" s="7"/>
      <c r="D504" s="11"/>
      <c r="E504" s="6"/>
      <c r="F504" s="12" t="str">
        <f t="shared" si="14"/>
        <v/>
      </c>
      <c r="G504" s="13" t="str">
        <f t="shared" si="15"/>
        <v/>
      </c>
      <c r="H504" s="9"/>
      <c r="I504" s="9"/>
      <c r="J504" s="14" t="str">
        <f>IF(E504="","",IFERROR(VLOOKUP(E504,TabProd,5,FALSE),0)+SUMIFS($H$5:H504,$E$5:E504,E504)-SUMIFS($I$5:I504,$E$5:E504,E504))</f>
        <v/>
      </c>
      <c r="K504" s="7"/>
      <c r="L504" s="7"/>
      <c r="M504" s="1" t="str">
        <f>IF(E504="","",E504&amp;"|"&amp;COUNTIF($E$5:E504,E504))</f>
        <v/>
      </c>
    </row>
    <row r="505" spans="2:13" x14ac:dyDescent="0.2">
      <c r="B505" s="10"/>
      <c r="C505" s="7"/>
      <c r="D505" s="11"/>
      <c r="E505" s="6"/>
      <c r="F505" s="12" t="str">
        <f t="shared" si="14"/>
        <v/>
      </c>
      <c r="G505" s="13" t="str">
        <f t="shared" si="15"/>
        <v/>
      </c>
      <c r="H505" s="9"/>
      <c r="I505" s="9"/>
      <c r="J505" s="14" t="str">
        <f>IF(E505="","",IFERROR(VLOOKUP(E505,TabProd,5,FALSE),0)+SUMIFS($H$5:H505,$E$5:E505,E505)-SUMIFS($I$5:I505,$E$5:E505,E505))</f>
        <v/>
      </c>
      <c r="K505" s="7"/>
      <c r="L505" s="7"/>
      <c r="M505" s="1" t="str">
        <f>IF(E505="","",E505&amp;"|"&amp;COUNTIF($E$5:E505,E505))</f>
        <v/>
      </c>
    </row>
    <row r="506" spans="2:13" x14ac:dyDescent="0.2">
      <c r="B506" s="10"/>
      <c r="C506" s="7"/>
      <c r="D506" s="11"/>
      <c r="E506" s="6"/>
      <c r="F506" s="12" t="str">
        <f t="shared" si="14"/>
        <v/>
      </c>
      <c r="G506" s="13" t="str">
        <f t="shared" si="15"/>
        <v/>
      </c>
      <c r="H506" s="9"/>
      <c r="I506" s="9"/>
      <c r="J506" s="14" t="str">
        <f>IF(E506="","",IFERROR(VLOOKUP(E506,TabProd,5,FALSE),0)+SUMIFS($H$5:H506,$E$5:E506,E506)-SUMIFS($I$5:I506,$E$5:E506,E506))</f>
        <v/>
      </c>
      <c r="K506" s="7"/>
      <c r="L506" s="7"/>
      <c r="M506" s="1" t="str">
        <f>IF(E506="","",E506&amp;"|"&amp;COUNTIF($E$5:E506,E506))</f>
        <v/>
      </c>
    </row>
    <row r="507" spans="2:13" x14ac:dyDescent="0.2">
      <c r="B507" s="10"/>
      <c r="C507" s="7"/>
      <c r="D507" s="11"/>
      <c r="E507" s="6"/>
      <c r="F507" s="12" t="str">
        <f t="shared" si="14"/>
        <v/>
      </c>
      <c r="G507" s="13" t="str">
        <f t="shared" si="15"/>
        <v/>
      </c>
      <c r="H507" s="9"/>
      <c r="I507" s="9"/>
      <c r="J507" s="14" t="str">
        <f>IF(E507="","",IFERROR(VLOOKUP(E507,TabProd,5,FALSE),0)+SUMIFS($H$5:H507,$E$5:E507,E507)-SUMIFS($I$5:I507,$E$5:E507,E507))</f>
        <v/>
      </c>
      <c r="K507" s="7"/>
      <c r="L507" s="7"/>
      <c r="M507" s="1" t="str">
        <f>IF(E507="","",E507&amp;"|"&amp;COUNTIF($E$5:E507,E507))</f>
        <v/>
      </c>
    </row>
    <row r="508" spans="2:13" x14ac:dyDescent="0.2">
      <c r="B508" s="10"/>
      <c r="C508" s="7"/>
      <c r="D508" s="11"/>
      <c r="E508" s="6"/>
      <c r="F508" s="12" t="str">
        <f t="shared" si="14"/>
        <v/>
      </c>
      <c r="G508" s="13" t="str">
        <f t="shared" si="15"/>
        <v/>
      </c>
      <c r="H508" s="9"/>
      <c r="I508" s="9"/>
      <c r="J508" s="14" t="str">
        <f>IF(E508="","",IFERROR(VLOOKUP(E508,TabProd,5,FALSE),0)+SUMIFS($H$5:H508,$E$5:E508,E508)-SUMIFS($I$5:I508,$E$5:E508,E508))</f>
        <v/>
      </c>
      <c r="K508" s="7"/>
      <c r="L508" s="7"/>
      <c r="M508" s="1" t="str">
        <f>IF(E508="","",E508&amp;"|"&amp;COUNTIF($E$5:E508,E508))</f>
        <v/>
      </c>
    </row>
    <row r="509" spans="2:13" x14ac:dyDescent="0.2">
      <c r="B509" s="10"/>
      <c r="C509" s="7"/>
      <c r="D509" s="11"/>
      <c r="E509" s="6"/>
      <c r="F509" s="12" t="str">
        <f t="shared" si="14"/>
        <v/>
      </c>
      <c r="G509" s="13" t="str">
        <f t="shared" si="15"/>
        <v/>
      </c>
      <c r="H509" s="9"/>
      <c r="I509" s="9"/>
      <c r="J509" s="14" t="str">
        <f>IF(E509="","",IFERROR(VLOOKUP(E509,TabProd,5,FALSE),0)+SUMIFS($H$5:H509,$E$5:E509,E509)-SUMIFS($I$5:I509,$E$5:E509,E509))</f>
        <v/>
      </c>
      <c r="K509" s="7"/>
      <c r="L509" s="7"/>
      <c r="M509" s="1" t="str">
        <f>IF(E509="","",E509&amp;"|"&amp;COUNTIF($E$5:E509,E509))</f>
        <v/>
      </c>
    </row>
    <row r="510" spans="2:13" x14ac:dyDescent="0.2">
      <c r="B510" s="10"/>
      <c r="C510" s="7"/>
      <c r="D510" s="11"/>
      <c r="E510" s="6"/>
      <c r="F510" s="12" t="str">
        <f t="shared" si="14"/>
        <v/>
      </c>
      <c r="G510" s="13" t="str">
        <f t="shared" si="15"/>
        <v/>
      </c>
      <c r="H510" s="9"/>
      <c r="I510" s="9"/>
      <c r="J510" s="14" t="str">
        <f>IF(E510="","",IFERROR(VLOOKUP(E510,TabProd,5,FALSE),0)+SUMIFS($H$5:H510,$E$5:E510,E510)-SUMIFS($I$5:I510,$E$5:E510,E510))</f>
        <v/>
      </c>
      <c r="K510" s="7"/>
      <c r="L510" s="7"/>
      <c r="M510" s="1" t="str">
        <f>IF(E510="","",E510&amp;"|"&amp;COUNTIF($E$5:E510,E510))</f>
        <v/>
      </c>
    </row>
    <row r="511" spans="2:13" x14ac:dyDescent="0.2">
      <c r="B511" s="10"/>
      <c r="C511" s="7"/>
      <c r="D511" s="11"/>
      <c r="E511" s="6"/>
      <c r="F511" s="12" t="str">
        <f t="shared" si="14"/>
        <v/>
      </c>
      <c r="G511" s="13" t="str">
        <f t="shared" si="15"/>
        <v/>
      </c>
      <c r="H511" s="9"/>
      <c r="I511" s="9"/>
      <c r="J511" s="14" t="str">
        <f>IF(E511="","",IFERROR(VLOOKUP(E511,TabProd,5,FALSE),0)+SUMIFS($H$5:H511,$E$5:E511,E511)-SUMIFS($I$5:I511,$E$5:E511,E511))</f>
        <v/>
      </c>
      <c r="K511" s="7"/>
      <c r="L511" s="7"/>
      <c r="M511" s="1" t="str">
        <f>IF(E511="","",E511&amp;"|"&amp;COUNTIF($E$5:E511,E511))</f>
        <v/>
      </c>
    </row>
    <row r="512" spans="2:13" x14ac:dyDescent="0.2">
      <c r="B512" s="10"/>
      <c r="C512" s="7"/>
      <c r="D512" s="11"/>
      <c r="E512" s="6"/>
      <c r="F512" s="12" t="str">
        <f t="shared" si="14"/>
        <v/>
      </c>
      <c r="G512" s="13" t="str">
        <f t="shared" si="15"/>
        <v/>
      </c>
      <c r="H512" s="9"/>
      <c r="I512" s="9"/>
      <c r="J512" s="14" t="str">
        <f>IF(E512="","",IFERROR(VLOOKUP(E512,TabProd,5,FALSE),0)+SUMIFS($H$5:H512,$E$5:E512,E512)-SUMIFS($I$5:I512,$E$5:E512,E512))</f>
        <v/>
      </c>
      <c r="K512" s="7"/>
      <c r="L512" s="7"/>
      <c r="M512" s="1" t="str">
        <f>IF(E512="","",E512&amp;"|"&amp;COUNTIF($E$5:E512,E512))</f>
        <v/>
      </c>
    </row>
    <row r="513" spans="2:13" x14ac:dyDescent="0.2">
      <c r="B513" s="10"/>
      <c r="C513" s="7"/>
      <c r="D513" s="11"/>
      <c r="E513" s="6"/>
      <c r="F513" s="12" t="str">
        <f t="shared" si="14"/>
        <v/>
      </c>
      <c r="G513" s="13" t="str">
        <f t="shared" si="15"/>
        <v/>
      </c>
      <c r="H513" s="9"/>
      <c r="I513" s="9"/>
      <c r="J513" s="14" t="str">
        <f>IF(E513="","",IFERROR(VLOOKUP(E513,TabProd,5,FALSE),0)+SUMIFS($H$5:H513,$E$5:E513,E513)-SUMIFS($I$5:I513,$E$5:E513,E513))</f>
        <v/>
      </c>
      <c r="K513" s="7"/>
      <c r="L513" s="7"/>
      <c r="M513" s="1" t="str">
        <f>IF(E513="","",E513&amp;"|"&amp;COUNTIF($E$5:E513,E513))</f>
        <v/>
      </c>
    </row>
    <row r="514" spans="2:13" x14ac:dyDescent="0.2">
      <c r="B514" s="10"/>
      <c r="C514" s="7"/>
      <c r="D514" s="11"/>
      <c r="E514" s="6"/>
      <c r="F514" s="12" t="str">
        <f t="shared" si="14"/>
        <v/>
      </c>
      <c r="G514" s="13" t="str">
        <f t="shared" si="15"/>
        <v/>
      </c>
      <c r="H514" s="9"/>
      <c r="I514" s="9"/>
      <c r="J514" s="14" t="str">
        <f>IF(E514="","",IFERROR(VLOOKUP(E514,TabProd,5,FALSE),0)+SUMIFS($H$5:H514,$E$5:E514,E514)-SUMIFS($I$5:I514,$E$5:E514,E514))</f>
        <v/>
      </c>
      <c r="K514" s="7"/>
      <c r="L514" s="7"/>
      <c r="M514" s="1" t="str">
        <f>IF(E514="","",E514&amp;"|"&amp;COUNTIF($E$5:E514,E514))</f>
        <v/>
      </c>
    </row>
    <row r="515" spans="2:13" x14ac:dyDescent="0.2">
      <c r="B515" s="10"/>
      <c r="C515" s="7"/>
      <c r="D515" s="11"/>
      <c r="E515" s="6"/>
      <c r="F515" s="12" t="str">
        <f t="shared" si="14"/>
        <v/>
      </c>
      <c r="G515" s="13" t="str">
        <f t="shared" si="15"/>
        <v/>
      </c>
      <c r="H515" s="9"/>
      <c r="I515" s="9"/>
      <c r="J515" s="14" t="str">
        <f>IF(E515="","",IFERROR(VLOOKUP(E515,TabProd,5,FALSE),0)+SUMIFS($H$5:H515,$E$5:E515,E515)-SUMIFS($I$5:I515,$E$5:E515,E515))</f>
        <v/>
      </c>
      <c r="K515" s="7"/>
      <c r="L515" s="7"/>
      <c r="M515" s="1" t="str">
        <f>IF(E515="","",E515&amp;"|"&amp;COUNTIF($E$5:E515,E515))</f>
        <v/>
      </c>
    </row>
    <row r="516" spans="2:13" x14ac:dyDescent="0.2">
      <c r="B516" s="10"/>
      <c r="C516" s="7"/>
      <c r="D516" s="11"/>
      <c r="E516" s="6"/>
      <c r="F516" s="12" t="str">
        <f t="shared" si="14"/>
        <v/>
      </c>
      <c r="G516" s="13" t="str">
        <f t="shared" si="15"/>
        <v/>
      </c>
      <c r="H516" s="9"/>
      <c r="I516" s="9"/>
      <c r="J516" s="14" t="str">
        <f>IF(E516="","",IFERROR(VLOOKUP(E516,TabProd,5,FALSE),0)+SUMIFS($H$5:H516,$E$5:E516,E516)-SUMIFS($I$5:I516,$E$5:E516,E516))</f>
        <v/>
      </c>
      <c r="K516" s="7"/>
      <c r="L516" s="7"/>
      <c r="M516" s="1" t="str">
        <f>IF(E516="","",E516&amp;"|"&amp;COUNTIF($E$5:E516,E516))</f>
        <v/>
      </c>
    </row>
    <row r="517" spans="2:13" x14ac:dyDescent="0.2">
      <c r="B517" s="10"/>
      <c r="C517" s="7"/>
      <c r="D517" s="11"/>
      <c r="E517" s="6"/>
      <c r="F517" s="12" t="str">
        <f t="shared" ref="F517:F580" si="16">IF(E517="","",IFERROR(VLOOKUP(E517,TabProd,2,FALSE),"Cod inexistent"))</f>
        <v/>
      </c>
      <c r="G517" s="13" t="str">
        <f t="shared" ref="G517:G580" si="17">IF(E517="","",IFERROR(VLOOKUP(E517,TabProd,3,FALSE),""))</f>
        <v/>
      </c>
      <c r="H517" s="9"/>
      <c r="I517" s="9"/>
      <c r="J517" s="14" t="str">
        <f>IF(E517="","",IFERROR(VLOOKUP(E517,TabProd,5,FALSE),0)+SUMIFS($H$5:H517,$E$5:E517,E517)-SUMIFS($I$5:I517,$E$5:E517,E517))</f>
        <v/>
      </c>
      <c r="K517" s="7"/>
      <c r="L517" s="7"/>
      <c r="M517" s="1" t="str">
        <f>IF(E517="","",E517&amp;"|"&amp;COUNTIF($E$5:E517,E517))</f>
        <v/>
      </c>
    </row>
    <row r="518" spans="2:13" x14ac:dyDescent="0.2">
      <c r="B518" s="10"/>
      <c r="C518" s="7"/>
      <c r="D518" s="11"/>
      <c r="E518" s="6"/>
      <c r="F518" s="12" t="str">
        <f t="shared" si="16"/>
        <v/>
      </c>
      <c r="G518" s="13" t="str">
        <f t="shared" si="17"/>
        <v/>
      </c>
      <c r="H518" s="9"/>
      <c r="I518" s="9"/>
      <c r="J518" s="14" t="str">
        <f>IF(E518="","",IFERROR(VLOOKUP(E518,TabProd,5,FALSE),0)+SUMIFS($H$5:H518,$E$5:E518,E518)-SUMIFS($I$5:I518,$E$5:E518,E518))</f>
        <v/>
      </c>
      <c r="K518" s="7"/>
      <c r="L518" s="7"/>
      <c r="M518" s="1" t="str">
        <f>IF(E518="","",E518&amp;"|"&amp;COUNTIF($E$5:E518,E518))</f>
        <v/>
      </c>
    </row>
    <row r="519" spans="2:13" x14ac:dyDescent="0.2">
      <c r="B519" s="10"/>
      <c r="C519" s="7"/>
      <c r="D519" s="11"/>
      <c r="E519" s="6"/>
      <c r="F519" s="12" t="str">
        <f t="shared" si="16"/>
        <v/>
      </c>
      <c r="G519" s="13" t="str">
        <f t="shared" si="17"/>
        <v/>
      </c>
      <c r="H519" s="9"/>
      <c r="I519" s="9"/>
      <c r="J519" s="14" t="str">
        <f>IF(E519="","",IFERROR(VLOOKUP(E519,TabProd,5,FALSE),0)+SUMIFS($H$5:H519,$E$5:E519,E519)-SUMIFS($I$5:I519,$E$5:E519,E519))</f>
        <v/>
      </c>
      <c r="K519" s="7"/>
      <c r="L519" s="7"/>
      <c r="M519" s="1" t="str">
        <f>IF(E519="","",E519&amp;"|"&amp;COUNTIF($E$5:E519,E519))</f>
        <v/>
      </c>
    </row>
    <row r="520" spans="2:13" x14ac:dyDescent="0.2">
      <c r="B520" s="10"/>
      <c r="C520" s="7"/>
      <c r="D520" s="11"/>
      <c r="E520" s="6"/>
      <c r="F520" s="12" t="str">
        <f t="shared" si="16"/>
        <v/>
      </c>
      <c r="G520" s="13" t="str">
        <f t="shared" si="17"/>
        <v/>
      </c>
      <c r="H520" s="9"/>
      <c r="I520" s="9"/>
      <c r="J520" s="14" t="str">
        <f>IF(E520="","",IFERROR(VLOOKUP(E520,TabProd,5,FALSE),0)+SUMIFS($H$5:H520,$E$5:E520,E520)-SUMIFS($I$5:I520,$E$5:E520,E520))</f>
        <v/>
      </c>
      <c r="K520" s="7"/>
      <c r="L520" s="7"/>
      <c r="M520" s="1" t="str">
        <f>IF(E520="","",E520&amp;"|"&amp;COUNTIF($E$5:E520,E520))</f>
        <v/>
      </c>
    </row>
    <row r="521" spans="2:13" x14ac:dyDescent="0.2">
      <c r="B521" s="10"/>
      <c r="C521" s="7"/>
      <c r="D521" s="11"/>
      <c r="E521" s="6"/>
      <c r="F521" s="12" t="str">
        <f t="shared" si="16"/>
        <v/>
      </c>
      <c r="G521" s="13" t="str">
        <f t="shared" si="17"/>
        <v/>
      </c>
      <c r="H521" s="9"/>
      <c r="I521" s="9"/>
      <c r="J521" s="14" t="str">
        <f>IF(E521="","",IFERROR(VLOOKUP(E521,TabProd,5,FALSE),0)+SUMIFS($H$5:H521,$E$5:E521,E521)-SUMIFS($I$5:I521,$E$5:E521,E521))</f>
        <v/>
      </c>
      <c r="K521" s="7"/>
      <c r="L521" s="7"/>
      <c r="M521" s="1" t="str">
        <f>IF(E521="","",E521&amp;"|"&amp;COUNTIF($E$5:E521,E521))</f>
        <v/>
      </c>
    </row>
    <row r="522" spans="2:13" x14ac:dyDescent="0.2">
      <c r="B522" s="10"/>
      <c r="C522" s="7"/>
      <c r="D522" s="11"/>
      <c r="E522" s="6"/>
      <c r="F522" s="12" t="str">
        <f t="shared" si="16"/>
        <v/>
      </c>
      <c r="G522" s="13" t="str">
        <f t="shared" si="17"/>
        <v/>
      </c>
      <c r="H522" s="9"/>
      <c r="I522" s="9"/>
      <c r="J522" s="14" t="str">
        <f>IF(E522="","",IFERROR(VLOOKUP(E522,TabProd,5,FALSE),0)+SUMIFS($H$5:H522,$E$5:E522,E522)-SUMIFS($I$5:I522,$E$5:E522,E522))</f>
        <v/>
      </c>
      <c r="K522" s="7"/>
      <c r="L522" s="7"/>
      <c r="M522" s="1" t="str">
        <f>IF(E522="","",E522&amp;"|"&amp;COUNTIF($E$5:E522,E522))</f>
        <v/>
      </c>
    </row>
    <row r="523" spans="2:13" x14ac:dyDescent="0.2">
      <c r="B523" s="10"/>
      <c r="C523" s="7"/>
      <c r="D523" s="11"/>
      <c r="E523" s="6"/>
      <c r="F523" s="12" t="str">
        <f t="shared" si="16"/>
        <v/>
      </c>
      <c r="G523" s="13" t="str">
        <f t="shared" si="17"/>
        <v/>
      </c>
      <c r="H523" s="9"/>
      <c r="I523" s="9"/>
      <c r="J523" s="14" t="str">
        <f>IF(E523="","",IFERROR(VLOOKUP(E523,TabProd,5,FALSE),0)+SUMIFS($H$5:H523,$E$5:E523,E523)-SUMIFS($I$5:I523,$E$5:E523,E523))</f>
        <v/>
      </c>
      <c r="K523" s="7"/>
      <c r="L523" s="7"/>
      <c r="M523" s="1" t="str">
        <f>IF(E523="","",E523&amp;"|"&amp;COUNTIF($E$5:E523,E523))</f>
        <v/>
      </c>
    </row>
    <row r="524" spans="2:13" x14ac:dyDescent="0.2">
      <c r="B524" s="10"/>
      <c r="C524" s="7"/>
      <c r="D524" s="11"/>
      <c r="E524" s="6"/>
      <c r="F524" s="12" t="str">
        <f t="shared" si="16"/>
        <v/>
      </c>
      <c r="G524" s="13" t="str">
        <f t="shared" si="17"/>
        <v/>
      </c>
      <c r="H524" s="9"/>
      <c r="I524" s="9"/>
      <c r="J524" s="14" t="str">
        <f>IF(E524="","",IFERROR(VLOOKUP(E524,TabProd,5,FALSE),0)+SUMIFS($H$5:H524,$E$5:E524,E524)-SUMIFS($I$5:I524,$E$5:E524,E524))</f>
        <v/>
      </c>
      <c r="K524" s="7"/>
      <c r="L524" s="7"/>
      <c r="M524" s="1" t="str">
        <f>IF(E524="","",E524&amp;"|"&amp;COUNTIF($E$5:E524,E524))</f>
        <v/>
      </c>
    </row>
    <row r="525" spans="2:13" x14ac:dyDescent="0.2">
      <c r="B525" s="10"/>
      <c r="C525" s="7"/>
      <c r="D525" s="11"/>
      <c r="E525" s="6"/>
      <c r="F525" s="12" t="str">
        <f t="shared" si="16"/>
        <v/>
      </c>
      <c r="G525" s="13" t="str">
        <f t="shared" si="17"/>
        <v/>
      </c>
      <c r="H525" s="9"/>
      <c r="I525" s="9"/>
      <c r="J525" s="14" t="str">
        <f>IF(E525="","",IFERROR(VLOOKUP(E525,TabProd,5,FALSE),0)+SUMIFS($H$5:H525,$E$5:E525,E525)-SUMIFS($I$5:I525,$E$5:E525,E525))</f>
        <v/>
      </c>
      <c r="K525" s="7"/>
      <c r="L525" s="7"/>
      <c r="M525" s="1" t="str">
        <f>IF(E525="","",E525&amp;"|"&amp;COUNTIF($E$5:E525,E525))</f>
        <v/>
      </c>
    </row>
    <row r="526" spans="2:13" x14ac:dyDescent="0.2">
      <c r="B526" s="10"/>
      <c r="C526" s="7"/>
      <c r="D526" s="11"/>
      <c r="E526" s="6"/>
      <c r="F526" s="12" t="str">
        <f t="shared" si="16"/>
        <v/>
      </c>
      <c r="G526" s="13" t="str">
        <f t="shared" si="17"/>
        <v/>
      </c>
      <c r="H526" s="9"/>
      <c r="I526" s="9"/>
      <c r="J526" s="14" t="str">
        <f>IF(E526="","",IFERROR(VLOOKUP(E526,TabProd,5,FALSE),0)+SUMIFS($H$5:H526,$E$5:E526,E526)-SUMIFS($I$5:I526,$E$5:E526,E526))</f>
        <v/>
      </c>
      <c r="K526" s="7"/>
      <c r="L526" s="7"/>
      <c r="M526" s="1" t="str">
        <f>IF(E526="","",E526&amp;"|"&amp;COUNTIF($E$5:E526,E526))</f>
        <v/>
      </c>
    </row>
    <row r="527" spans="2:13" x14ac:dyDescent="0.2">
      <c r="B527" s="10"/>
      <c r="C527" s="7"/>
      <c r="D527" s="11"/>
      <c r="E527" s="6"/>
      <c r="F527" s="12" t="str">
        <f t="shared" si="16"/>
        <v/>
      </c>
      <c r="G527" s="13" t="str">
        <f t="shared" si="17"/>
        <v/>
      </c>
      <c r="H527" s="9"/>
      <c r="I527" s="9"/>
      <c r="J527" s="14" t="str">
        <f>IF(E527="","",IFERROR(VLOOKUP(E527,TabProd,5,FALSE),0)+SUMIFS($H$5:H527,$E$5:E527,E527)-SUMIFS($I$5:I527,$E$5:E527,E527))</f>
        <v/>
      </c>
      <c r="K527" s="7"/>
      <c r="L527" s="7"/>
      <c r="M527" s="1" t="str">
        <f>IF(E527="","",E527&amp;"|"&amp;COUNTIF($E$5:E527,E527))</f>
        <v/>
      </c>
    </row>
    <row r="528" spans="2:13" x14ac:dyDescent="0.2">
      <c r="B528" s="10"/>
      <c r="C528" s="7"/>
      <c r="D528" s="11"/>
      <c r="E528" s="6"/>
      <c r="F528" s="12" t="str">
        <f t="shared" si="16"/>
        <v/>
      </c>
      <c r="G528" s="13" t="str">
        <f t="shared" si="17"/>
        <v/>
      </c>
      <c r="H528" s="9"/>
      <c r="I528" s="9"/>
      <c r="J528" s="14" t="str">
        <f>IF(E528="","",IFERROR(VLOOKUP(E528,TabProd,5,FALSE),0)+SUMIFS($H$5:H528,$E$5:E528,E528)-SUMIFS($I$5:I528,$E$5:E528,E528))</f>
        <v/>
      </c>
      <c r="K528" s="7"/>
      <c r="L528" s="7"/>
      <c r="M528" s="1" t="str">
        <f>IF(E528="","",E528&amp;"|"&amp;COUNTIF($E$5:E528,E528))</f>
        <v/>
      </c>
    </row>
    <row r="529" spans="2:13" x14ac:dyDescent="0.2">
      <c r="B529" s="10"/>
      <c r="C529" s="7"/>
      <c r="D529" s="11"/>
      <c r="E529" s="6"/>
      <c r="F529" s="12" t="str">
        <f t="shared" si="16"/>
        <v/>
      </c>
      <c r="G529" s="13" t="str">
        <f t="shared" si="17"/>
        <v/>
      </c>
      <c r="H529" s="9"/>
      <c r="I529" s="9"/>
      <c r="J529" s="14" t="str">
        <f>IF(E529="","",IFERROR(VLOOKUP(E529,TabProd,5,FALSE),0)+SUMIFS($H$5:H529,$E$5:E529,E529)-SUMIFS($I$5:I529,$E$5:E529,E529))</f>
        <v/>
      </c>
      <c r="K529" s="7"/>
      <c r="L529" s="7"/>
      <c r="M529" s="1" t="str">
        <f>IF(E529="","",E529&amp;"|"&amp;COUNTIF($E$5:E529,E529))</f>
        <v/>
      </c>
    </row>
    <row r="530" spans="2:13" x14ac:dyDescent="0.2">
      <c r="B530" s="10"/>
      <c r="C530" s="7"/>
      <c r="D530" s="11"/>
      <c r="E530" s="6"/>
      <c r="F530" s="12" t="str">
        <f t="shared" si="16"/>
        <v/>
      </c>
      <c r="G530" s="13" t="str">
        <f t="shared" si="17"/>
        <v/>
      </c>
      <c r="H530" s="9"/>
      <c r="I530" s="9"/>
      <c r="J530" s="14" t="str">
        <f>IF(E530="","",IFERROR(VLOOKUP(E530,TabProd,5,FALSE),0)+SUMIFS($H$5:H530,$E$5:E530,E530)-SUMIFS($I$5:I530,$E$5:E530,E530))</f>
        <v/>
      </c>
      <c r="K530" s="7"/>
      <c r="L530" s="7"/>
      <c r="M530" s="1" t="str">
        <f>IF(E530="","",E530&amp;"|"&amp;COUNTIF($E$5:E530,E530))</f>
        <v/>
      </c>
    </row>
    <row r="531" spans="2:13" x14ac:dyDescent="0.2">
      <c r="B531" s="10"/>
      <c r="C531" s="7"/>
      <c r="D531" s="11"/>
      <c r="E531" s="6"/>
      <c r="F531" s="12" t="str">
        <f t="shared" si="16"/>
        <v/>
      </c>
      <c r="G531" s="13" t="str">
        <f t="shared" si="17"/>
        <v/>
      </c>
      <c r="H531" s="9"/>
      <c r="I531" s="9"/>
      <c r="J531" s="14" t="str">
        <f>IF(E531="","",IFERROR(VLOOKUP(E531,TabProd,5,FALSE),0)+SUMIFS($H$5:H531,$E$5:E531,E531)-SUMIFS($I$5:I531,$E$5:E531,E531))</f>
        <v/>
      </c>
      <c r="K531" s="7"/>
      <c r="L531" s="7"/>
      <c r="M531" s="1" t="str">
        <f>IF(E531="","",E531&amp;"|"&amp;COUNTIF($E$5:E531,E531))</f>
        <v/>
      </c>
    </row>
    <row r="532" spans="2:13" x14ac:dyDescent="0.2">
      <c r="B532" s="10"/>
      <c r="C532" s="7"/>
      <c r="D532" s="11"/>
      <c r="E532" s="6"/>
      <c r="F532" s="12" t="str">
        <f t="shared" si="16"/>
        <v/>
      </c>
      <c r="G532" s="13" t="str">
        <f t="shared" si="17"/>
        <v/>
      </c>
      <c r="H532" s="9"/>
      <c r="I532" s="9"/>
      <c r="J532" s="14" t="str">
        <f>IF(E532="","",IFERROR(VLOOKUP(E532,TabProd,5,FALSE),0)+SUMIFS($H$5:H532,$E$5:E532,E532)-SUMIFS($I$5:I532,$E$5:E532,E532))</f>
        <v/>
      </c>
      <c r="K532" s="7"/>
      <c r="L532" s="7"/>
      <c r="M532" s="1" t="str">
        <f>IF(E532="","",E532&amp;"|"&amp;COUNTIF($E$5:E532,E532))</f>
        <v/>
      </c>
    </row>
    <row r="533" spans="2:13" x14ac:dyDescent="0.2">
      <c r="B533" s="10"/>
      <c r="C533" s="7"/>
      <c r="D533" s="11"/>
      <c r="E533" s="6"/>
      <c r="F533" s="12" t="str">
        <f t="shared" si="16"/>
        <v/>
      </c>
      <c r="G533" s="13" t="str">
        <f t="shared" si="17"/>
        <v/>
      </c>
      <c r="H533" s="9"/>
      <c r="I533" s="9"/>
      <c r="J533" s="14" t="str">
        <f>IF(E533="","",IFERROR(VLOOKUP(E533,TabProd,5,FALSE),0)+SUMIFS($H$5:H533,$E$5:E533,E533)-SUMIFS($I$5:I533,$E$5:E533,E533))</f>
        <v/>
      </c>
      <c r="K533" s="7"/>
      <c r="L533" s="7"/>
      <c r="M533" s="1" t="str">
        <f>IF(E533="","",E533&amp;"|"&amp;COUNTIF($E$5:E533,E533))</f>
        <v/>
      </c>
    </row>
    <row r="534" spans="2:13" x14ac:dyDescent="0.2">
      <c r="B534" s="10"/>
      <c r="C534" s="7"/>
      <c r="D534" s="11"/>
      <c r="E534" s="6"/>
      <c r="F534" s="12" t="str">
        <f t="shared" si="16"/>
        <v/>
      </c>
      <c r="G534" s="13" t="str">
        <f t="shared" si="17"/>
        <v/>
      </c>
      <c r="H534" s="9"/>
      <c r="I534" s="9"/>
      <c r="J534" s="14" t="str">
        <f>IF(E534="","",IFERROR(VLOOKUP(E534,TabProd,5,FALSE),0)+SUMIFS($H$5:H534,$E$5:E534,E534)-SUMIFS($I$5:I534,$E$5:E534,E534))</f>
        <v/>
      </c>
      <c r="K534" s="7"/>
      <c r="L534" s="7"/>
      <c r="M534" s="1" t="str">
        <f>IF(E534="","",E534&amp;"|"&amp;COUNTIF($E$5:E534,E534))</f>
        <v/>
      </c>
    </row>
    <row r="535" spans="2:13" x14ac:dyDescent="0.2">
      <c r="B535" s="10"/>
      <c r="C535" s="7"/>
      <c r="D535" s="11"/>
      <c r="E535" s="6"/>
      <c r="F535" s="12" t="str">
        <f t="shared" si="16"/>
        <v/>
      </c>
      <c r="G535" s="13" t="str">
        <f t="shared" si="17"/>
        <v/>
      </c>
      <c r="H535" s="9"/>
      <c r="I535" s="9"/>
      <c r="J535" s="14" t="str">
        <f>IF(E535="","",IFERROR(VLOOKUP(E535,TabProd,5,FALSE),0)+SUMIFS($H$5:H535,$E$5:E535,E535)-SUMIFS($I$5:I535,$E$5:E535,E535))</f>
        <v/>
      </c>
      <c r="K535" s="7"/>
      <c r="L535" s="7"/>
      <c r="M535" s="1" t="str">
        <f>IF(E535="","",E535&amp;"|"&amp;COUNTIF($E$5:E535,E535))</f>
        <v/>
      </c>
    </row>
    <row r="536" spans="2:13" x14ac:dyDescent="0.2">
      <c r="B536" s="10"/>
      <c r="C536" s="7"/>
      <c r="D536" s="11"/>
      <c r="E536" s="6"/>
      <c r="F536" s="12" t="str">
        <f t="shared" si="16"/>
        <v/>
      </c>
      <c r="G536" s="13" t="str">
        <f t="shared" si="17"/>
        <v/>
      </c>
      <c r="H536" s="9"/>
      <c r="I536" s="9"/>
      <c r="J536" s="14" t="str">
        <f>IF(E536="","",IFERROR(VLOOKUP(E536,TabProd,5,FALSE),0)+SUMIFS($H$5:H536,$E$5:E536,E536)-SUMIFS($I$5:I536,$E$5:E536,E536))</f>
        <v/>
      </c>
      <c r="K536" s="7"/>
      <c r="L536" s="7"/>
      <c r="M536" s="1" t="str">
        <f>IF(E536="","",E536&amp;"|"&amp;COUNTIF($E$5:E536,E536))</f>
        <v/>
      </c>
    </row>
    <row r="537" spans="2:13" x14ac:dyDescent="0.2">
      <c r="B537" s="10"/>
      <c r="C537" s="7"/>
      <c r="D537" s="11"/>
      <c r="E537" s="6"/>
      <c r="F537" s="12" t="str">
        <f t="shared" si="16"/>
        <v/>
      </c>
      <c r="G537" s="13" t="str">
        <f t="shared" si="17"/>
        <v/>
      </c>
      <c r="H537" s="9"/>
      <c r="I537" s="9"/>
      <c r="J537" s="14" t="str">
        <f>IF(E537="","",IFERROR(VLOOKUP(E537,TabProd,5,FALSE),0)+SUMIFS($H$5:H537,$E$5:E537,E537)-SUMIFS($I$5:I537,$E$5:E537,E537))</f>
        <v/>
      </c>
      <c r="K537" s="7"/>
      <c r="L537" s="7"/>
      <c r="M537" s="1" t="str">
        <f>IF(E537="","",E537&amp;"|"&amp;COUNTIF($E$5:E537,E537))</f>
        <v/>
      </c>
    </row>
    <row r="538" spans="2:13" x14ac:dyDescent="0.2">
      <c r="B538" s="10"/>
      <c r="C538" s="7"/>
      <c r="D538" s="11"/>
      <c r="E538" s="6"/>
      <c r="F538" s="12" t="str">
        <f t="shared" si="16"/>
        <v/>
      </c>
      <c r="G538" s="13" t="str">
        <f t="shared" si="17"/>
        <v/>
      </c>
      <c r="H538" s="9"/>
      <c r="I538" s="9"/>
      <c r="J538" s="14" t="str">
        <f>IF(E538="","",IFERROR(VLOOKUP(E538,TabProd,5,FALSE),0)+SUMIFS($H$5:H538,$E$5:E538,E538)-SUMIFS($I$5:I538,$E$5:E538,E538))</f>
        <v/>
      </c>
      <c r="K538" s="7"/>
      <c r="L538" s="7"/>
      <c r="M538" s="1" t="str">
        <f>IF(E538="","",E538&amp;"|"&amp;COUNTIF($E$5:E538,E538))</f>
        <v/>
      </c>
    </row>
    <row r="539" spans="2:13" x14ac:dyDescent="0.2">
      <c r="B539" s="10"/>
      <c r="C539" s="7"/>
      <c r="D539" s="11"/>
      <c r="E539" s="6"/>
      <c r="F539" s="12" t="str">
        <f t="shared" si="16"/>
        <v/>
      </c>
      <c r="G539" s="13" t="str">
        <f t="shared" si="17"/>
        <v/>
      </c>
      <c r="H539" s="9"/>
      <c r="I539" s="9"/>
      <c r="J539" s="14" t="str">
        <f>IF(E539="","",IFERROR(VLOOKUP(E539,TabProd,5,FALSE),0)+SUMIFS($H$5:H539,$E$5:E539,E539)-SUMIFS($I$5:I539,$E$5:E539,E539))</f>
        <v/>
      </c>
      <c r="K539" s="7"/>
      <c r="L539" s="7"/>
      <c r="M539" s="1" t="str">
        <f>IF(E539="","",E539&amp;"|"&amp;COUNTIF($E$5:E539,E539))</f>
        <v/>
      </c>
    </row>
    <row r="540" spans="2:13" x14ac:dyDescent="0.2">
      <c r="B540" s="10"/>
      <c r="C540" s="7"/>
      <c r="D540" s="11"/>
      <c r="E540" s="6"/>
      <c r="F540" s="12" t="str">
        <f t="shared" si="16"/>
        <v/>
      </c>
      <c r="G540" s="13" t="str">
        <f t="shared" si="17"/>
        <v/>
      </c>
      <c r="H540" s="9"/>
      <c r="I540" s="9"/>
      <c r="J540" s="14" t="str">
        <f>IF(E540="","",IFERROR(VLOOKUP(E540,TabProd,5,FALSE),0)+SUMIFS($H$5:H540,$E$5:E540,E540)-SUMIFS($I$5:I540,$E$5:E540,E540))</f>
        <v/>
      </c>
      <c r="K540" s="7"/>
      <c r="L540" s="7"/>
      <c r="M540" s="1" t="str">
        <f>IF(E540="","",E540&amp;"|"&amp;COUNTIF($E$5:E540,E540))</f>
        <v/>
      </c>
    </row>
    <row r="541" spans="2:13" x14ac:dyDescent="0.2">
      <c r="B541" s="10"/>
      <c r="C541" s="7"/>
      <c r="D541" s="11"/>
      <c r="E541" s="6"/>
      <c r="F541" s="12" t="str">
        <f t="shared" si="16"/>
        <v/>
      </c>
      <c r="G541" s="13" t="str">
        <f t="shared" si="17"/>
        <v/>
      </c>
      <c r="H541" s="9"/>
      <c r="I541" s="9"/>
      <c r="J541" s="14" t="str">
        <f>IF(E541="","",IFERROR(VLOOKUP(E541,TabProd,5,FALSE),0)+SUMIFS($H$5:H541,$E$5:E541,E541)-SUMIFS($I$5:I541,$E$5:E541,E541))</f>
        <v/>
      </c>
      <c r="K541" s="7"/>
      <c r="L541" s="7"/>
      <c r="M541" s="1" t="str">
        <f>IF(E541="","",E541&amp;"|"&amp;COUNTIF($E$5:E541,E541))</f>
        <v/>
      </c>
    </row>
    <row r="542" spans="2:13" x14ac:dyDescent="0.2">
      <c r="B542" s="10"/>
      <c r="C542" s="7"/>
      <c r="D542" s="11"/>
      <c r="E542" s="6"/>
      <c r="F542" s="12" t="str">
        <f t="shared" si="16"/>
        <v/>
      </c>
      <c r="G542" s="13" t="str">
        <f t="shared" si="17"/>
        <v/>
      </c>
      <c r="H542" s="9"/>
      <c r="I542" s="9"/>
      <c r="J542" s="14" t="str">
        <f>IF(E542="","",IFERROR(VLOOKUP(E542,TabProd,5,FALSE),0)+SUMIFS($H$5:H542,$E$5:E542,E542)-SUMIFS($I$5:I542,$E$5:E542,E542))</f>
        <v/>
      </c>
      <c r="K542" s="7"/>
      <c r="L542" s="7"/>
      <c r="M542" s="1" t="str">
        <f>IF(E542="","",E542&amp;"|"&amp;COUNTIF($E$5:E542,E542))</f>
        <v/>
      </c>
    </row>
    <row r="543" spans="2:13" x14ac:dyDescent="0.2">
      <c r="B543" s="10"/>
      <c r="C543" s="7"/>
      <c r="D543" s="11"/>
      <c r="E543" s="6"/>
      <c r="F543" s="12" t="str">
        <f t="shared" si="16"/>
        <v/>
      </c>
      <c r="G543" s="13" t="str">
        <f t="shared" si="17"/>
        <v/>
      </c>
      <c r="H543" s="9"/>
      <c r="I543" s="9"/>
      <c r="J543" s="14" t="str">
        <f>IF(E543="","",IFERROR(VLOOKUP(E543,TabProd,5,FALSE),0)+SUMIFS($H$5:H543,$E$5:E543,E543)-SUMIFS($I$5:I543,$E$5:E543,E543))</f>
        <v/>
      </c>
      <c r="K543" s="7"/>
      <c r="L543" s="7"/>
      <c r="M543" s="1" t="str">
        <f>IF(E543="","",E543&amp;"|"&amp;COUNTIF($E$5:E543,E543))</f>
        <v/>
      </c>
    </row>
    <row r="544" spans="2:13" x14ac:dyDescent="0.2">
      <c r="B544" s="10"/>
      <c r="C544" s="7"/>
      <c r="D544" s="11"/>
      <c r="E544" s="6"/>
      <c r="F544" s="12" t="str">
        <f t="shared" si="16"/>
        <v/>
      </c>
      <c r="G544" s="13" t="str">
        <f t="shared" si="17"/>
        <v/>
      </c>
      <c r="H544" s="9"/>
      <c r="I544" s="9"/>
      <c r="J544" s="14" t="str">
        <f>IF(E544="","",IFERROR(VLOOKUP(E544,TabProd,5,FALSE),0)+SUMIFS($H$5:H544,$E$5:E544,E544)-SUMIFS($I$5:I544,$E$5:E544,E544))</f>
        <v/>
      </c>
      <c r="K544" s="7"/>
      <c r="L544" s="7"/>
      <c r="M544" s="1" t="str">
        <f>IF(E544="","",E544&amp;"|"&amp;COUNTIF($E$5:E544,E544))</f>
        <v/>
      </c>
    </row>
    <row r="545" spans="2:13" x14ac:dyDescent="0.2">
      <c r="B545" s="10"/>
      <c r="C545" s="7"/>
      <c r="D545" s="11"/>
      <c r="E545" s="6"/>
      <c r="F545" s="12" t="str">
        <f t="shared" si="16"/>
        <v/>
      </c>
      <c r="G545" s="13" t="str">
        <f t="shared" si="17"/>
        <v/>
      </c>
      <c r="H545" s="9"/>
      <c r="I545" s="9"/>
      <c r="J545" s="14" t="str">
        <f>IF(E545="","",IFERROR(VLOOKUP(E545,TabProd,5,FALSE),0)+SUMIFS($H$5:H545,$E$5:E545,E545)-SUMIFS($I$5:I545,$E$5:E545,E545))</f>
        <v/>
      </c>
      <c r="K545" s="7"/>
      <c r="L545" s="7"/>
      <c r="M545" s="1" t="str">
        <f>IF(E545="","",E545&amp;"|"&amp;COUNTIF($E$5:E545,E545))</f>
        <v/>
      </c>
    </row>
    <row r="546" spans="2:13" x14ac:dyDescent="0.2">
      <c r="B546" s="10"/>
      <c r="C546" s="7"/>
      <c r="D546" s="11"/>
      <c r="E546" s="6"/>
      <c r="F546" s="12" t="str">
        <f t="shared" si="16"/>
        <v/>
      </c>
      <c r="G546" s="13" t="str">
        <f t="shared" si="17"/>
        <v/>
      </c>
      <c r="H546" s="9"/>
      <c r="I546" s="9"/>
      <c r="J546" s="14" t="str">
        <f>IF(E546="","",IFERROR(VLOOKUP(E546,TabProd,5,FALSE),0)+SUMIFS($H$5:H546,$E$5:E546,E546)-SUMIFS($I$5:I546,$E$5:E546,E546))</f>
        <v/>
      </c>
      <c r="K546" s="7"/>
      <c r="L546" s="7"/>
      <c r="M546" s="1" t="str">
        <f>IF(E546="","",E546&amp;"|"&amp;COUNTIF($E$5:E546,E546))</f>
        <v/>
      </c>
    </row>
    <row r="547" spans="2:13" x14ac:dyDescent="0.2">
      <c r="B547" s="10"/>
      <c r="C547" s="7"/>
      <c r="D547" s="11"/>
      <c r="E547" s="6"/>
      <c r="F547" s="12" t="str">
        <f t="shared" si="16"/>
        <v/>
      </c>
      <c r="G547" s="13" t="str">
        <f t="shared" si="17"/>
        <v/>
      </c>
      <c r="H547" s="9"/>
      <c r="I547" s="9"/>
      <c r="J547" s="14" t="str">
        <f>IF(E547="","",IFERROR(VLOOKUP(E547,TabProd,5,FALSE),0)+SUMIFS($H$5:H547,$E$5:E547,E547)-SUMIFS($I$5:I547,$E$5:E547,E547))</f>
        <v/>
      </c>
      <c r="K547" s="7"/>
      <c r="L547" s="7"/>
      <c r="M547" s="1" t="str">
        <f>IF(E547="","",E547&amp;"|"&amp;COUNTIF($E$5:E547,E547))</f>
        <v/>
      </c>
    </row>
    <row r="548" spans="2:13" x14ac:dyDescent="0.2">
      <c r="B548" s="10"/>
      <c r="C548" s="7"/>
      <c r="D548" s="11"/>
      <c r="E548" s="6"/>
      <c r="F548" s="12" t="str">
        <f t="shared" si="16"/>
        <v/>
      </c>
      <c r="G548" s="13" t="str">
        <f t="shared" si="17"/>
        <v/>
      </c>
      <c r="H548" s="9"/>
      <c r="I548" s="9"/>
      <c r="J548" s="14" t="str">
        <f>IF(E548="","",IFERROR(VLOOKUP(E548,TabProd,5,FALSE),0)+SUMIFS($H$5:H548,$E$5:E548,E548)-SUMIFS($I$5:I548,$E$5:E548,E548))</f>
        <v/>
      </c>
      <c r="K548" s="7"/>
      <c r="L548" s="7"/>
      <c r="M548" s="1" t="str">
        <f>IF(E548="","",E548&amp;"|"&amp;COUNTIF($E$5:E548,E548))</f>
        <v/>
      </c>
    </row>
    <row r="549" spans="2:13" x14ac:dyDescent="0.2">
      <c r="B549" s="10"/>
      <c r="C549" s="7"/>
      <c r="D549" s="11"/>
      <c r="E549" s="6"/>
      <c r="F549" s="12" t="str">
        <f t="shared" si="16"/>
        <v/>
      </c>
      <c r="G549" s="13" t="str">
        <f t="shared" si="17"/>
        <v/>
      </c>
      <c r="H549" s="9"/>
      <c r="I549" s="9"/>
      <c r="J549" s="14" t="str">
        <f>IF(E549="","",IFERROR(VLOOKUP(E549,TabProd,5,FALSE),0)+SUMIFS($H$5:H549,$E$5:E549,E549)-SUMIFS($I$5:I549,$E$5:E549,E549))</f>
        <v/>
      </c>
      <c r="K549" s="7"/>
      <c r="L549" s="7"/>
      <c r="M549" s="1" t="str">
        <f>IF(E549="","",E549&amp;"|"&amp;COUNTIF($E$5:E549,E549))</f>
        <v/>
      </c>
    </row>
    <row r="550" spans="2:13" x14ac:dyDescent="0.2">
      <c r="B550" s="10"/>
      <c r="C550" s="7"/>
      <c r="D550" s="11"/>
      <c r="E550" s="6"/>
      <c r="F550" s="12" t="str">
        <f t="shared" si="16"/>
        <v/>
      </c>
      <c r="G550" s="13" t="str">
        <f t="shared" si="17"/>
        <v/>
      </c>
      <c r="H550" s="9"/>
      <c r="I550" s="9"/>
      <c r="J550" s="14" t="str">
        <f>IF(E550="","",IFERROR(VLOOKUP(E550,TabProd,5,FALSE),0)+SUMIFS($H$5:H550,$E$5:E550,E550)-SUMIFS($I$5:I550,$E$5:E550,E550))</f>
        <v/>
      </c>
      <c r="K550" s="7"/>
      <c r="L550" s="7"/>
      <c r="M550" s="1" t="str">
        <f>IF(E550="","",E550&amp;"|"&amp;COUNTIF($E$5:E550,E550))</f>
        <v/>
      </c>
    </row>
    <row r="551" spans="2:13" x14ac:dyDescent="0.2">
      <c r="B551" s="10"/>
      <c r="C551" s="7"/>
      <c r="D551" s="11"/>
      <c r="E551" s="6"/>
      <c r="F551" s="12" t="str">
        <f t="shared" si="16"/>
        <v/>
      </c>
      <c r="G551" s="13" t="str">
        <f t="shared" si="17"/>
        <v/>
      </c>
      <c r="H551" s="9"/>
      <c r="I551" s="9"/>
      <c r="J551" s="14" t="str">
        <f>IF(E551="","",IFERROR(VLOOKUP(E551,TabProd,5,FALSE),0)+SUMIFS($H$5:H551,$E$5:E551,E551)-SUMIFS($I$5:I551,$E$5:E551,E551))</f>
        <v/>
      </c>
      <c r="K551" s="7"/>
      <c r="L551" s="7"/>
      <c r="M551" s="1" t="str">
        <f>IF(E551="","",E551&amp;"|"&amp;COUNTIF($E$5:E551,E551))</f>
        <v/>
      </c>
    </row>
    <row r="552" spans="2:13" x14ac:dyDescent="0.2">
      <c r="B552" s="10"/>
      <c r="C552" s="7"/>
      <c r="D552" s="11"/>
      <c r="E552" s="6"/>
      <c r="F552" s="12" t="str">
        <f t="shared" si="16"/>
        <v/>
      </c>
      <c r="G552" s="13" t="str">
        <f t="shared" si="17"/>
        <v/>
      </c>
      <c r="H552" s="9"/>
      <c r="I552" s="9"/>
      <c r="J552" s="14" t="str">
        <f>IF(E552="","",IFERROR(VLOOKUP(E552,TabProd,5,FALSE),0)+SUMIFS($H$5:H552,$E$5:E552,E552)-SUMIFS($I$5:I552,$E$5:E552,E552))</f>
        <v/>
      </c>
      <c r="K552" s="7"/>
      <c r="L552" s="7"/>
      <c r="M552" s="1" t="str">
        <f>IF(E552="","",E552&amp;"|"&amp;COUNTIF($E$5:E552,E552))</f>
        <v/>
      </c>
    </row>
    <row r="553" spans="2:13" x14ac:dyDescent="0.2">
      <c r="B553" s="10"/>
      <c r="C553" s="7"/>
      <c r="D553" s="11"/>
      <c r="E553" s="6"/>
      <c r="F553" s="12" t="str">
        <f t="shared" si="16"/>
        <v/>
      </c>
      <c r="G553" s="13" t="str">
        <f t="shared" si="17"/>
        <v/>
      </c>
      <c r="H553" s="9"/>
      <c r="I553" s="9"/>
      <c r="J553" s="14" t="str">
        <f>IF(E553="","",IFERROR(VLOOKUP(E553,TabProd,5,FALSE),0)+SUMIFS($H$5:H553,$E$5:E553,E553)-SUMIFS($I$5:I553,$E$5:E553,E553))</f>
        <v/>
      </c>
      <c r="K553" s="7"/>
      <c r="L553" s="7"/>
      <c r="M553" s="1" t="str">
        <f>IF(E553="","",E553&amp;"|"&amp;COUNTIF($E$5:E553,E553))</f>
        <v/>
      </c>
    </row>
    <row r="554" spans="2:13" x14ac:dyDescent="0.2">
      <c r="B554" s="10"/>
      <c r="C554" s="7"/>
      <c r="D554" s="11"/>
      <c r="E554" s="6"/>
      <c r="F554" s="12" t="str">
        <f t="shared" si="16"/>
        <v/>
      </c>
      <c r="G554" s="13" t="str">
        <f t="shared" si="17"/>
        <v/>
      </c>
      <c r="H554" s="9"/>
      <c r="I554" s="9"/>
      <c r="J554" s="14" t="str">
        <f>IF(E554="","",IFERROR(VLOOKUP(E554,TabProd,5,FALSE),0)+SUMIFS($H$5:H554,$E$5:E554,E554)-SUMIFS($I$5:I554,$E$5:E554,E554))</f>
        <v/>
      </c>
      <c r="K554" s="7"/>
      <c r="L554" s="7"/>
      <c r="M554" s="1" t="str">
        <f>IF(E554="","",E554&amp;"|"&amp;COUNTIF($E$5:E554,E554))</f>
        <v/>
      </c>
    </row>
    <row r="555" spans="2:13" x14ac:dyDescent="0.2">
      <c r="B555" s="10"/>
      <c r="C555" s="7"/>
      <c r="D555" s="11"/>
      <c r="E555" s="6"/>
      <c r="F555" s="12" t="str">
        <f t="shared" si="16"/>
        <v/>
      </c>
      <c r="G555" s="13" t="str">
        <f t="shared" si="17"/>
        <v/>
      </c>
      <c r="H555" s="9"/>
      <c r="I555" s="9"/>
      <c r="J555" s="14" t="str">
        <f>IF(E555="","",IFERROR(VLOOKUP(E555,TabProd,5,FALSE),0)+SUMIFS($H$5:H555,$E$5:E555,E555)-SUMIFS($I$5:I555,$E$5:E555,E555))</f>
        <v/>
      </c>
      <c r="K555" s="7"/>
      <c r="L555" s="7"/>
      <c r="M555" s="1" t="str">
        <f>IF(E555="","",E555&amp;"|"&amp;COUNTIF($E$5:E555,E555))</f>
        <v/>
      </c>
    </row>
    <row r="556" spans="2:13" x14ac:dyDescent="0.2">
      <c r="B556" s="10"/>
      <c r="C556" s="7"/>
      <c r="D556" s="11"/>
      <c r="E556" s="6"/>
      <c r="F556" s="12" t="str">
        <f t="shared" si="16"/>
        <v/>
      </c>
      <c r="G556" s="13" t="str">
        <f t="shared" si="17"/>
        <v/>
      </c>
      <c r="H556" s="9"/>
      <c r="I556" s="9"/>
      <c r="J556" s="14" t="str">
        <f>IF(E556="","",IFERROR(VLOOKUP(E556,TabProd,5,FALSE),0)+SUMIFS($H$5:H556,$E$5:E556,E556)-SUMIFS($I$5:I556,$E$5:E556,E556))</f>
        <v/>
      </c>
      <c r="K556" s="7"/>
      <c r="L556" s="7"/>
      <c r="M556" s="1" t="str">
        <f>IF(E556="","",E556&amp;"|"&amp;COUNTIF($E$5:E556,E556))</f>
        <v/>
      </c>
    </row>
    <row r="557" spans="2:13" x14ac:dyDescent="0.2">
      <c r="B557" s="10"/>
      <c r="C557" s="7"/>
      <c r="D557" s="11"/>
      <c r="E557" s="6"/>
      <c r="F557" s="12" t="str">
        <f t="shared" si="16"/>
        <v/>
      </c>
      <c r="G557" s="13" t="str">
        <f t="shared" si="17"/>
        <v/>
      </c>
      <c r="H557" s="9"/>
      <c r="I557" s="9"/>
      <c r="J557" s="14" t="str">
        <f>IF(E557="","",IFERROR(VLOOKUP(E557,TabProd,5,FALSE),0)+SUMIFS($H$5:H557,$E$5:E557,E557)-SUMIFS($I$5:I557,$E$5:E557,E557))</f>
        <v/>
      </c>
      <c r="K557" s="7"/>
      <c r="L557" s="7"/>
      <c r="M557" s="1" t="str">
        <f>IF(E557="","",E557&amp;"|"&amp;COUNTIF($E$5:E557,E557))</f>
        <v/>
      </c>
    </row>
    <row r="558" spans="2:13" x14ac:dyDescent="0.2">
      <c r="B558" s="10"/>
      <c r="C558" s="7"/>
      <c r="D558" s="11"/>
      <c r="E558" s="6"/>
      <c r="F558" s="12" t="str">
        <f t="shared" si="16"/>
        <v/>
      </c>
      <c r="G558" s="13" t="str">
        <f t="shared" si="17"/>
        <v/>
      </c>
      <c r="H558" s="9"/>
      <c r="I558" s="9"/>
      <c r="J558" s="14" t="str">
        <f>IF(E558="","",IFERROR(VLOOKUP(E558,TabProd,5,FALSE),0)+SUMIFS($H$5:H558,$E$5:E558,E558)-SUMIFS($I$5:I558,$E$5:E558,E558))</f>
        <v/>
      </c>
      <c r="K558" s="7"/>
      <c r="L558" s="7"/>
      <c r="M558" s="1" t="str">
        <f>IF(E558="","",E558&amp;"|"&amp;COUNTIF($E$5:E558,E558))</f>
        <v/>
      </c>
    </row>
    <row r="559" spans="2:13" x14ac:dyDescent="0.2">
      <c r="B559" s="10"/>
      <c r="C559" s="7"/>
      <c r="D559" s="11"/>
      <c r="E559" s="6"/>
      <c r="F559" s="12" t="str">
        <f t="shared" si="16"/>
        <v/>
      </c>
      <c r="G559" s="13" t="str">
        <f t="shared" si="17"/>
        <v/>
      </c>
      <c r="H559" s="9"/>
      <c r="I559" s="9"/>
      <c r="J559" s="14" t="str">
        <f>IF(E559="","",IFERROR(VLOOKUP(E559,TabProd,5,FALSE),0)+SUMIFS($H$5:H559,$E$5:E559,E559)-SUMIFS($I$5:I559,$E$5:E559,E559))</f>
        <v/>
      </c>
      <c r="K559" s="7"/>
      <c r="L559" s="7"/>
      <c r="M559" s="1" t="str">
        <f>IF(E559="","",E559&amp;"|"&amp;COUNTIF($E$5:E559,E559))</f>
        <v/>
      </c>
    </row>
    <row r="560" spans="2:13" x14ac:dyDescent="0.2">
      <c r="B560" s="10"/>
      <c r="C560" s="7"/>
      <c r="D560" s="11"/>
      <c r="E560" s="6"/>
      <c r="F560" s="12" t="str">
        <f t="shared" si="16"/>
        <v/>
      </c>
      <c r="G560" s="13" t="str">
        <f t="shared" si="17"/>
        <v/>
      </c>
      <c r="H560" s="9"/>
      <c r="I560" s="9"/>
      <c r="J560" s="14" t="str">
        <f>IF(E560="","",IFERROR(VLOOKUP(E560,TabProd,5,FALSE),0)+SUMIFS($H$5:H560,$E$5:E560,E560)-SUMIFS($I$5:I560,$E$5:E560,E560))</f>
        <v/>
      </c>
      <c r="K560" s="7"/>
      <c r="L560" s="7"/>
      <c r="M560" s="1" t="str">
        <f>IF(E560="","",E560&amp;"|"&amp;COUNTIF($E$5:E560,E560))</f>
        <v/>
      </c>
    </row>
    <row r="561" spans="2:13" x14ac:dyDescent="0.2">
      <c r="B561" s="10"/>
      <c r="C561" s="7"/>
      <c r="D561" s="11"/>
      <c r="E561" s="6"/>
      <c r="F561" s="12" t="str">
        <f t="shared" si="16"/>
        <v/>
      </c>
      <c r="G561" s="13" t="str">
        <f t="shared" si="17"/>
        <v/>
      </c>
      <c r="H561" s="9"/>
      <c r="I561" s="9"/>
      <c r="J561" s="14" t="str">
        <f>IF(E561="","",IFERROR(VLOOKUP(E561,TabProd,5,FALSE),0)+SUMIFS($H$5:H561,$E$5:E561,E561)-SUMIFS($I$5:I561,$E$5:E561,E561))</f>
        <v/>
      </c>
      <c r="K561" s="7"/>
      <c r="L561" s="7"/>
      <c r="M561" s="1" t="str">
        <f>IF(E561="","",E561&amp;"|"&amp;COUNTIF($E$5:E561,E561))</f>
        <v/>
      </c>
    </row>
    <row r="562" spans="2:13" x14ac:dyDescent="0.2">
      <c r="B562" s="10"/>
      <c r="C562" s="7"/>
      <c r="D562" s="11"/>
      <c r="E562" s="6"/>
      <c r="F562" s="12" t="str">
        <f t="shared" si="16"/>
        <v/>
      </c>
      <c r="G562" s="13" t="str">
        <f t="shared" si="17"/>
        <v/>
      </c>
      <c r="H562" s="9"/>
      <c r="I562" s="9"/>
      <c r="J562" s="14" t="str">
        <f>IF(E562="","",IFERROR(VLOOKUP(E562,TabProd,5,FALSE),0)+SUMIFS($H$5:H562,$E$5:E562,E562)-SUMIFS($I$5:I562,$E$5:E562,E562))</f>
        <v/>
      </c>
      <c r="K562" s="7"/>
      <c r="L562" s="7"/>
      <c r="M562" s="1" t="str">
        <f>IF(E562="","",E562&amp;"|"&amp;COUNTIF($E$5:E562,E562))</f>
        <v/>
      </c>
    </row>
    <row r="563" spans="2:13" x14ac:dyDescent="0.2">
      <c r="B563" s="10"/>
      <c r="C563" s="7"/>
      <c r="D563" s="11"/>
      <c r="E563" s="6"/>
      <c r="F563" s="12" t="str">
        <f t="shared" si="16"/>
        <v/>
      </c>
      <c r="G563" s="13" t="str">
        <f t="shared" si="17"/>
        <v/>
      </c>
      <c r="H563" s="9"/>
      <c r="I563" s="9"/>
      <c r="J563" s="14" t="str">
        <f>IF(E563="","",IFERROR(VLOOKUP(E563,TabProd,5,FALSE),0)+SUMIFS($H$5:H563,$E$5:E563,E563)-SUMIFS($I$5:I563,$E$5:E563,E563))</f>
        <v/>
      </c>
      <c r="K563" s="7"/>
      <c r="L563" s="7"/>
      <c r="M563" s="1" t="str">
        <f>IF(E563="","",E563&amp;"|"&amp;COUNTIF($E$5:E563,E563))</f>
        <v/>
      </c>
    </row>
    <row r="564" spans="2:13" x14ac:dyDescent="0.2">
      <c r="B564" s="10"/>
      <c r="C564" s="7"/>
      <c r="D564" s="11"/>
      <c r="E564" s="6"/>
      <c r="F564" s="12" t="str">
        <f t="shared" si="16"/>
        <v/>
      </c>
      <c r="G564" s="13" t="str">
        <f t="shared" si="17"/>
        <v/>
      </c>
      <c r="H564" s="9"/>
      <c r="I564" s="9"/>
      <c r="J564" s="14" t="str">
        <f>IF(E564="","",IFERROR(VLOOKUP(E564,TabProd,5,FALSE),0)+SUMIFS($H$5:H564,$E$5:E564,E564)-SUMIFS($I$5:I564,$E$5:E564,E564))</f>
        <v/>
      </c>
      <c r="K564" s="7"/>
      <c r="L564" s="7"/>
      <c r="M564" s="1" t="str">
        <f>IF(E564="","",E564&amp;"|"&amp;COUNTIF($E$5:E564,E564))</f>
        <v/>
      </c>
    </row>
    <row r="565" spans="2:13" x14ac:dyDescent="0.2">
      <c r="B565" s="10"/>
      <c r="C565" s="7"/>
      <c r="D565" s="11"/>
      <c r="E565" s="6"/>
      <c r="F565" s="12" t="str">
        <f t="shared" si="16"/>
        <v/>
      </c>
      <c r="G565" s="13" t="str">
        <f t="shared" si="17"/>
        <v/>
      </c>
      <c r="H565" s="9"/>
      <c r="I565" s="9"/>
      <c r="J565" s="14" t="str">
        <f>IF(E565="","",IFERROR(VLOOKUP(E565,TabProd,5,FALSE),0)+SUMIFS($H$5:H565,$E$5:E565,E565)-SUMIFS($I$5:I565,$E$5:E565,E565))</f>
        <v/>
      </c>
      <c r="K565" s="7"/>
      <c r="L565" s="7"/>
      <c r="M565" s="1" t="str">
        <f>IF(E565="","",E565&amp;"|"&amp;COUNTIF($E$5:E565,E565))</f>
        <v/>
      </c>
    </row>
    <row r="566" spans="2:13" x14ac:dyDescent="0.2">
      <c r="B566" s="10"/>
      <c r="C566" s="7"/>
      <c r="D566" s="11"/>
      <c r="E566" s="6"/>
      <c r="F566" s="12" t="str">
        <f t="shared" si="16"/>
        <v/>
      </c>
      <c r="G566" s="13" t="str">
        <f t="shared" si="17"/>
        <v/>
      </c>
      <c r="H566" s="9"/>
      <c r="I566" s="9"/>
      <c r="J566" s="14" t="str">
        <f>IF(E566="","",IFERROR(VLOOKUP(E566,TabProd,5,FALSE),0)+SUMIFS($H$5:H566,$E$5:E566,E566)-SUMIFS($I$5:I566,$E$5:E566,E566))</f>
        <v/>
      </c>
      <c r="K566" s="7"/>
      <c r="L566" s="7"/>
      <c r="M566" s="1" t="str">
        <f>IF(E566="","",E566&amp;"|"&amp;COUNTIF($E$5:E566,E566))</f>
        <v/>
      </c>
    </row>
    <row r="567" spans="2:13" x14ac:dyDescent="0.2">
      <c r="B567" s="10"/>
      <c r="C567" s="7"/>
      <c r="D567" s="11"/>
      <c r="E567" s="6"/>
      <c r="F567" s="12" t="str">
        <f t="shared" si="16"/>
        <v/>
      </c>
      <c r="G567" s="13" t="str">
        <f t="shared" si="17"/>
        <v/>
      </c>
      <c r="H567" s="9"/>
      <c r="I567" s="9"/>
      <c r="J567" s="14" t="str">
        <f>IF(E567="","",IFERROR(VLOOKUP(E567,TabProd,5,FALSE),0)+SUMIFS($H$5:H567,$E$5:E567,E567)-SUMIFS($I$5:I567,$E$5:E567,E567))</f>
        <v/>
      </c>
      <c r="K567" s="7"/>
      <c r="L567" s="7"/>
      <c r="M567" s="1" t="str">
        <f>IF(E567="","",E567&amp;"|"&amp;COUNTIF($E$5:E567,E567))</f>
        <v/>
      </c>
    </row>
    <row r="568" spans="2:13" x14ac:dyDescent="0.2">
      <c r="B568" s="10"/>
      <c r="C568" s="7"/>
      <c r="D568" s="11"/>
      <c r="E568" s="6"/>
      <c r="F568" s="12" t="str">
        <f t="shared" si="16"/>
        <v/>
      </c>
      <c r="G568" s="13" t="str">
        <f t="shared" si="17"/>
        <v/>
      </c>
      <c r="H568" s="9"/>
      <c r="I568" s="9"/>
      <c r="J568" s="14" t="str">
        <f>IF(E568="","",IFERROR(VLOOKUP(E568,TabProd,5,FALSE),0)+SUMIFS($H$5:H568,$E$5:E568,E568)-SUMIFS($I$5:I568,$E$5:E568,E568))</f>
        <v/>
      </c>
      <c r="K568" s="7"/>
      <c r="L568" s="7"/>
      <c r="M568" s="1" t="str">
        <f>IF(E568="","",E568&amp;"|"&amp;COUNTIF($E$5:E568,E568))</f>
        <v/>
      </c>
    </row>
    <row r="569" spans="2:13" x14ac:dyDescent="0.2">
      <c r="B569" s="10"/>
      <c r="C569" s="7"/>
      <c r="D569" s="11"/>
      <c r="E569" s="6"/>
      <c r="F569" s="12" t="str">
        <f t="shared" si="16"/>
        <v/>
      </c>
      <c r="G569" s="13" t="str">
        <f t="shared" si="17"/>
        <v/>
      </c>
      <c r="H569" s="9"/>
      <c r="I569" s="9"/>
      <c r="J569" s="14" t="str">
        <f>IF(E569="","",IFERROR(VLOOKUP(E569,TabProd,5,FALSE),0)+SUMIFS($H$5:H569,$E$5:E569,E569)-SUMIFS($I$5:I569,$E$5:E569,E569))</f>
        <v/>
      </c>
      <c r="K569" s="7"/>
      <c r="L569" s="7"/>
      <c r="M569" s="1" t="str">
        <f>IF(E569="","",E569&amp;"|"&amp;COUNTIF($E$5:E569,E569))</f>
        <v/>
      </c>
    </row>
    <row r="570" spans="2:13" x14ac:dyDescent="0.2">
      <c r="B570" s="10"/>
      <c r="C570" s="7"/>
      <c r="D570" s="11"/>
      <c r="E570" s="6"/>
      <c r="F570" s="12" t="str">
        <f t="shared" si="16"/>
        <v/>
      </c>
      <c r="G570" s="13" t="str">
        <f t="shared" si="17"/>
        <v/>
      </c>
      <c r="H570" s="9"/>
      <c r="I570" s="9"/>
      <c r="J570" s="14" t="str">
        <f>IF(E570="","",IFERROR(VLOOKUP(E570,TabProd,5,FALSE),0)+SUMIFS($H$5:H570,$E$5:E570,E570)-SUMIFS($I$5:I570,$E$5:E570,E570))</f>
        <v/>
      </c>
      <c r="K570" s="7"/>
      <c r="L570" s="7"/>
      <c r="M570" s="1" t="str">
        <f>IF(E570="","",E570&amp;"|"&amp;COUNTIF($E$5:E570,E570))</f>
        <v/>
      </c>
    </row>
    <row r="571" spans="2:13" x14ac:dyDescent="0.2">
      <c r="B571" s="10"/>
      <c r="C571" s="7"/>
      <c r="D571" s="11"/>
      <c r="E571" s="6"/>
      <c r="F571" s="12" t="str">
        <f t="shared" si="16"/>
        <v/>
      </c>
      <c r="G571" s="13" t="str">
        <f t="shared" si="17"/>
        <v/>
      </c>
      <c r="H571" s="9"/>
      <c r="I571" s="9"/>
      <c r="J571" s="14" t="str">
        <f>IF(E571="","",IFERROR(VLOOKUP(E571,TabProd,5,FALSE),0)+SUMIFS($H$5:H571,$E$5:E571,E571)-SUMIFS($I$5:I571,$E$5:E571,E571))</f>
        <v/>
      </c>
      <c r="K571" s="7"/>
      <c r="L571" s="7"/>
      <c r="M571" s="1" t="str">
        <f>IF(E571="","",E571&amp;"|"&amp;COUNTIF($E$5:E571,E571))</f>
        <v/>
      </c>
    </row>
    <row r="572" spans="2:13" x14ac:dyDescent="0.2">
      <c r="B572" s="10"/>
      <c r="C572" s="7"/>
      <c r="D572" s="11"/>
      <c r="E572" s="6"/>
      <c r="F572" s="12" t="str">
        <f t="shared" si="16"/>
        <v/>
      </c>
      <c r="G572" s="13" t="str">
        <f t="shared" si="17"/>
        <v/>
      </c>
      <c r="H572" s="9"/>
      <c r="I572" s="9"/>
      <c r="J572" s="14" t="str">
        <f>IF(E572="","",IFERROR(VLOOKUP(E572,TabProd,5,FALSE),0)+SUMIFS($H$5:H572,$E$5:E572,E572)-SUMIFS($I$5:I572,$E$5:E572,E572))</f>
        <v/>
      </c>
      <c r="K572" s="7"/>
      <c r="L572" s="7"/>
      <c r="M572" s="1" t="str">
        <f>IF(E572="","",E572&amp;"|"&amp;COUNTIF($E$5:E572,E572))</f>
        <v/>
      </c>
    </row>
    <row r="573" spans="2:13" x14ac:dyDescent="0.2">
      <c r="B573" s="10"/>
      <c r="C573" s="7"/>
      <c r="D573" s="11"/>
      <c r="E573" s="6"/>
      <c r="F573" s="12" t="str">
        <f t="shared" si="16"/>
        <v/>
      </c>
      <c r="G573" s="13" t="str">
        <f t="shared" si="17"/>
        <v/>
      </c>
      <c r="H573" s="9"/>
      <c r="I573" s="9"/>
      <c r="J573" s="14" t="str">
        <f>IF(E573="","",IFERROR(VLOOKUP(E573,TabProd,5,FALSE),0)+SUMIFS($H$5:H573,$E$5:E573,E573)-SUMIFS($I$5:I573,$E$5:E573,E573))</f>
        <v/>
      </c>
      <c r="K573" s="7"/>
      <c r="L573" s="7"/>
      <c r="M573" s="1" t="str">
        <f>IF(E573="","",E573&amp;"|"&amp;COUNTIF($E$5:E573,E573))</f>
        <v/>
      </c>
    </row>
    <row r="574" spans="2:13" x14ac:dyDescent="0.2">
      <c r="B574" s="10"/>
      <c r="C574" s="7"/>
      <c r="D574" s="11"/>
      <c r="E574" s="6"/>
      <c r="F574" s="12" t="str">
        <f t="shared" si="16"/>
        <v/>
      </c>
      <c r="G574" s="13" t="str">
        <f t="shared" si="17"/>
        <v/>
      </c>
      <c r="H574" s="9"/>
      <c r="I574" s="9"/>
      <c r="J574" s="14" t="str">
        <f>IF(E574="","",IFERROR(VLOOKUP(E574,TabProd,5,FALSE),0)+SUMIFS($H$5:H574,$E$5:E574,E574)-SUMIFS($I$5:I574,$E$5:E574,E574))</f>
        <v/>
      </c>
      <c r="K574" s="7"/>
      <c r="L574" s="7"/>
      <c r="M574" s="1" t="str">
        <f>IF(E574="","",E574&amp;"|"&amp;COUNTIF($E$5:E574,E574))</f>
        <v/>
      </c>
    </row>
    <row r="575" spans="2:13" x14ac:dyDescent="0.2">
      <c r="B575" s="10"/>
      <c r="C575" s="7"/>
      <c r="D575" s="11"/>
      <c r="E575" s="6"/>
      <c r="F575" s="12" t="str">
        <f t="shared" si="16"/>
        <v/>
      </c>
      <c r="G575" s="13" t="str">
        <f t="shared" si="17"/>
        <v/>
      </c>
      <c r="H575" s="9"/>
      <c r="I575" s="9"/>
      <c r="J575" s="14" t="str">
        <f>IF(E575="","",IFERROR(VLOOKUP(E575,TabProd,5,FALSE),0)+SUMIFS($H$5:H575,$E$5:E575,E575)-SUMIFS($I$5:I575,$E$5:E575,E575))</f>
        <v/>
      </c>
      <c r="K575" s="7"/>
      <c r="L575" s="7"/>
      <c r="M575" s="1" t="str">
        <f>IF(E575="","",E575&amp;"|"&amp;COUNTIF($E$5:E575,E575))</f>
        <v/>
      </c>
    </row>
    <row r="576" spans="2:13" x14ac:dyDescent="0.2">
      <c r="B576" s="10"/>
      <c r="C576" s="7"/>
      <c r="D576" s="11"/>
      <c r="E576" s="6"/>
      <c r="F576" s="12" t="str">
        <f t="shared" si="16"/>
        <v/>
      </c>
      <c r="G576" s="13" t="str">
        <f t="shared" si="17"/>
        <v/>
      </c>
      <c r="H576" s="9"/>
      <c r="I576" s="9"/>
      <c r="J576" s="14" t="str">
        <f>IF(E576="","",IFERROR(VLOOKUP(E576,TabProd,5,FALSE),0)+SUMIFS($H$5:H576,$E$5:E576,E576)-SUMIFS($I$5:I576,$E$5:E576,E576))</f>
        <v/>
      </c>
      <c r="K576" s="7"/>
      <c r="L576" s="7"/>
      <c r="M576" s="1" t="str">
        <f>IF(E576="","",E576&amp;"|"&amp;COUNTIF($E$5:E576,E576))</f>
        <v/>
      </c>
    </row>
    <row r="577" spans="2:13" x14ac:dyDescent="0.2">
      <c r="B577" s="10"/>
      <c r="C577" s="7"/>
      <c r="D577" s="11"/>
      <c r="E577" s="6"/>
      <c r="F577" s="12" t="str">
        <f t="shared" si="16"/>
        <v/>
      </c>
      <c r="G577" s="13" t="str">
        <f t="shared" si="17"/>
        <v/>
      </c>
      <c r="H577" s="9"/>
      <c r="I577" s="9"/>
      <c r="J577" s="14" t="str">
        <f>IF(E577="","",IFERROR(VLOOKUP(E577,TabProd,5,FALSE),0)+SUMIFS($H$5:H577,$E$5:E577,E577)-SUMIFS($I$5:I577,$E$5:E577,E577))</f>
        <v/>
      </c>
      <c r="K577" s="7"/>
      <c r="L577" s="7"/>
      <c r="M577" s="1" t="str">
        <f>IF(E577="","",E577&amp;"|"&amp;COUNTIF($E$5:E577,E577))</f>
        <v/>
      </c>
    </row>
    <row r="578" spans="2:13" x14ac:dyDescent="0.2">
      <c r="B578" s="10"/>
      <c r="C578" s="7"/>
      <c r="D578" s="11"/>
      <c r="E578" s="6"/>
      <c r="F578" s="12" t="str">
        <f t="shared" si="16"/>
        <v/>
      </c>
      <c r="G578" s="13" t="str">
        <f t="shared" si="17"/>
        <v/>
      </c>
      <c r="H578" s="9"/>
      <c r="I578" s="9"/>
      <c r="J578" s="14" t="str">
        <f>IF(E578="","",IFERROR(VLOOKUP(E578,TabProd,5,FALSE),0)+SUMIFS($H$5:H578,$E$5:E578,E578)-SUMIFS($I$5:I578,$E$5:E578,E578))</f>
        <v/>
      </c>
      <c r="K578" s="7"/>
      <c r="L578" s="7"/>
      <c r="M578" s="1" t="str">
        <f>IF(E578="","",E578&amp;"|"&amp;COUNTIF($E$5:E578,E578))</f>
        <v/>
      </c>
    </row>
    <row r="579" spans="2:13" x14ac:dyDescent="0.2">
      <c r="B579" s="10"/>
      <c r="C579" s="7"/>
      <c r="D579" s="11"/>
      <c r="E579" s="6"/>
      <c r="F579" s="12" t="str">
        <f t="shared" si="16"/>
        <v/>
      </c>
      <c r="G579" s="13" t="str">
        <f t="shared" si="17"/>
        <v/>
      </c>
      <c r="H579" s="9"/>
      <c r="I579" s="9"/>
      <c r="J579" s="14" t="str">
        <f>IF(E579="","",IFERROR(VLOOKUP(E579,TabProd,5,FALSE),0)+SUMIFS($H$5:H579,$E$5:E579,E579)-SUMIFS($I$5:I579,$E$5:E579,E579))</f>
        <v/>
      </c>
      <c r="K579" s="7"/>
      <c r="L579" s="7"/>
      <c r="M579" s="1" t="str">
        <f>IF(E579="","",E579&amp;"|"&amp;COUNTIF($E$5:E579,E579))</f>
        <v/>
      </c>
    </row>
    <row r="580" spans="2:13" x14ac:dyDescent="0.2">
      <c r="B580" s="10"/>
      <c r="C580" s="7"/>
      <c r="D580" s="11"/>
      <c r="E580" s="6"/>
      <c r="F580" s="12" t="str">
        <f t="shared" si="16"/>
        <v/>
      </c>
      <c r="G580" s="13" t="str">
        <f t="shared" si="17"/>
        <v/>
      </c>
      <c r="H580" s="9"/>
      <c r="I580" s="9"/>
      <c r="J580" s="14" t="str">
        <f>IF(E580="","",IFERROR(VLOOKUP(E580,TabProd,5,FALSE),0)+SUMIFS($H$5:H580,$E$5:E580,E580)-SUMIFS($I$5:I580,$E$5:E580,E580))</f>
        <v/>
      </c>
      <c r="K580" s="7"/>
      <c r="L580" s="7"/>
      <c r="M580" s="1" t="str">
        <f>IF(E580="","",E580&amp;"|"&amp;COUNTIF($E$5:E580,E580))</f>
        <v/>
      </c>
    </row>
    <row r="581" spans="2:13" x14ac:dyDescent="0.2">
      <c r="B581" s="10"/>
      <c r="C581" s="7"/>
      <c r="D581" s="11"/>
      <c r="E581" s="6"/>
      <c r="F581" s="12" t="str">
        <f t="shared" ref="F581:F644" si="18">IF(E581="","",IFERROR(VLOOKUP(E581,TabProd,2,FALSE),"Cod inexistent"))</f>
        <v/>
      </c>
      <c r="G581" s="13" t="str">
        <f t="shared" ref="G581:G644" si="19">IF(E581="","",IFERROR(VLOOKUP(E581,TabProd,3,FALSE),""))</f>
        <v/>
      </c>
      <c r="H581" s="9"/>
      <c r="I581" s="9"/>
      <c r="J581" s="14" t="str">
        <f>IF(E581="","",IFERROR(VLOOKUP(E581,TabProd,5,FALSE),0)+SUMIFS($H$5:H581,$E$5:E581,E581)-SUMIFS($I$5:I581,$E$5:E581,E581))</f>
        <v/>
      </c>
      <c r="K581" s="7"/>
      <c r="L581" s="7"/>
      <c r="M581" s="1" t="str">
        <f>IF(E581="","",E581&amp;"|"&amp;COUNTIF($E$5:E581,E581))</f>
        <v/>
      </c>
    </row>
    <row r="582" spans="2:13" x14ac:dyDescent="0.2">
      <c r="B582" s="10"/>
      <c r="C582" s="7"/>
      <c r="D582" s="11"/>
      <c r="E582" s="6"/>
      <c r="F582" s="12" t="str">
        <f t="shared" si="18"/>
        <v/>
      </c>
      <c r="G582" s="13" t="str">
        <f t="shared" si="19"/>
        <v/>
      </c>
      <c r="H582" s="9"/>
      <c r="I582" s="9"/>
      <c r="J582" s="14" t="str">
        <f>IF(E582="","",IFERROR(VLOOKUP(E582,TabProd,5,FALSE),0)+SUMIFS($H$5:H582,$E$5:E582,E582)-SUMIFS($I$5:I582,$E$5:E582,E582))</f>
        <v/>
      </c>
      <c r="K582" s="7"/>
      <c r="L582" s="7"/>
      <c r="M582" s="1" t="str">
        <f>IF(E582="","",E582&amp;"|"&amp;COUNTIF($E$5:E582,E582))</f>
        <v/>
      </c>
    </row>
    <row r="583" spans="2:13" x14ac:dyDescent="0.2">
      <c r="B583" s="10"/>
      <c r="C583" s="7"/>
      <c r="D583" s="11"/>
      <c r="E583" s="6"/>
      <c r="F583" s="12" t="str">
        <f t="shared" si="18"/>
        <v/>
      </c>
      <c r="G583" s="13" t="str">
        <f t="shared" si="19"/>
        <v/>
      </c>
      <c r="H583" s="9"/>
      <c r="I583" s="9"/>
      <c r="J583" s="14" t="str">
        <f>IF(E583="","",IFERROR(VLOOKUP(E583,TabProd,5,FALSE),0)+SUMIFS($H$5:H583,$E$5:E583,E583)-SUMIFS($I$5:I583,$E$5:E583,E583))</f>
        <v/>
      </c>
      <c r="K583" s="7"/>
      <c r="L583" s="7"/>
      <c r="M583" s="1" t="str">
        <f>IF(E583="","",E583&amp;"|"&amp;COUNTIF($E$5:E583,E583))</f>
        <v/>
      </c>
    </row>
    <row r="584" spans="2:13" x14ac:dyDescent="0.2">
      <c r="B584" s="10"/>
      <c r="C584" s="7"/>
      <c r="D584" s="11"/>
      <c r="E584" s="6"/>
      <c r="F584" s="12" t="str">
        <f t="shared" si="18"/>
        <v/>
      </c>
      <c r="G584" s="13" t="str">
        <f t="shared" si="19"/>
        <v/>
      </c>
      <c r="H584" s="9"/>
      <c r="I584" s="9"/>
      <c r="J584" s="14" t="str">
        <f>IF(E584="","",IFERROR(VLOOKUP(E584,TabProd,5,FALSE),0)+SUMIFS($H$5:H584,$E$5:E584,E584)-SUMIFS($I$5:I584,$E$5:E584,E584))</f>
        <v/>
      </c>
      <c r="K584" s="7"/>
      <c r="L584" s="7"/>
      <c r="M584" s="1" t="str">
        <f>IF(E584="","",E584&amp;"|"&amp;COUNTIF($E$5:E584,E584))</f>
        <v/>
      </c>
    </row>
    <row r="585" spans="2:13" x14ac:dyDescent="0.2">
      <c r="B585" s="10"/>
      <c r="C585" s="7"/>
      <c r="D585" s="11"/>
      <c r="E585" s="6"/>
      <c r="F585" s="12" t="str">
        <f t="shared" si="18"/>
        <v/>
      </c>
      <c r="G585" s="13" t="str">
        <f t="shared" si="19"/>
        <v/>
      </c>
      <c r="H585" s="9"/>
      <c r="I585" s="9"/>
      <c r="J585" s="14" t="str">
        <f>IF(E585="","",IFERROR(VLOOKUP(E585,TabProd,5,FALSE),0)+SUMIFS($H$5:H585,$E$5:E585,E585)-SUMIFS($I$5:I585,$E$5:E585,E585))</f>
        <v/>
      </c>
      <c r="K585" s="7"/>
      <c r="L585" s="7"/>
      <c r="M585" s="1" t="str">
        <f>IF(E585="","",E585&amp;"|"&amp;COUNTIF($E$5:E585,E585))</f>
        <v/>
      </c>
    </row>
    <row r="586" spans="2:13" x14ac:dyDescent="0.2">
      <c r="B586" s="10"/>
      <c r="C586" s="7"/>
      <c r="D586" s="11"/>
      <c r="E586" s="6"/>
      <c r="F586" s="12" t="str">
        <f t="shared" si="18"/>
        <v/>
      </c>
      <c r="G586" s="13" t="str">
        <f t="shared" si="19"/>
        <v/>
      </c>
      <c r="H586" s="9"/>
      <c r="I586" s="9"/>
      <c r="J586" s="14" t="str">
        <f>IF(E586="","",IFERROR(VLOOKUP(E586,TabProd,5,FALSE),0)+SUMIFS($H$5:H586,$E$5:E586,E586)-SUMIFS($I$5:I586,$E$5:E586,E586))</f>
        <v/>
      </c>
      <c r="K586" s="7"/>
      <c r="L586" s="7"/>
      <c r="M586" s="1" t="str">
        <f>IF(E586="","",E586&amp;"|"&amp;COUNTIF($E$5:E586,E586))</f>
        <v/>
      </c>
    </row>
    <row r="587" spans="2:13" x14ac:dyDescent="0.2">
      <c r="B587" s="10"/>
      <c r="C587" s="7"/>
      <c r="D587" s="11"/>
      <c r="E587" s="6"/>
      <c r="F587" s="12" t="str">
        <f t="shared" si="18"/>
        <v/>
      </c>
      <c r="G587" s="13" t="str">
        <f t="shared" si="19"/>
        <v/>
      </c>
      <c r="H587" s="9"/>
      <c r="I587" s="9"/>
      <c r="J587" s="14" t="str">
        <f>IF(E587="","",IFERROR(VLOOKUP(E587,TabProd,5,FALSE),0)+SUMIFS($H$5:H587,$E$5:E587,E587)-SUMIFS($I$5:I587,$E$5:E587,E587))</f>
        <v/>
      </c>
      <c r="K587" s="7"/>
      <c r="L587" s="7"/>
      <c r="M587" s="1" t="str">
        <f>IF(E587="","",E587&amp;"|"&amp;COUNTIF($E$5:E587,E587))</f>
        <v/>
      </c>
    </row>
    <row r="588" spans="2:13" x14ac:dyDescent="0.2">
      <c r="B588" s="10"/>
      <c r="C588" s="7"/>
      <c r="D588" s="11"/>
      <c r="E588" s="6"/>
      <c r="F588" s="12" t="str">
        <f t="shared" si="18"/>
        <v/>
      </c>
      <c r="G588" s="13" t="str">
        <f t="shared" si="19"/>
        <v/>
      </c>
      <c r="H588" s="9"/>
      <c r="I588" s="9"/>
      <c r="J588" s="14" t="str">
        <f>IF(E588="","",IFERROR(VLOOKUP(E588,TabProd,5,FALSE),0)+SUMIFS($H$5:H588,$E$5:E588,E588)-SUMIFS($I$5:I588,$E$5:E588,E588))</f>
        <v/>
      </c>
      <c r="K588" s="7"/>
      <c r="L588" s="7"/>
      <c r="M588" s="1" t="str">
        <f>IF(E588="","",E588&amp;"|"&amp;COUNTIF($E$5:E588,E588))</f>
        <v/>
      </c>
    </row>
    <row r="589" spans="2:13" x14ac:dyDescent="0.2">
      <c r="B589" s="10"/>
      <c r="C589" s="7"/>
      <c r="D589" s="11"/>
      <c r="E589" s="6"/>
      <c r="F589" s="12" t="str">
        <f t="shared" si="18"/>
        <v/>
      </c>
      <c r="G589" s="13" t="str">
        <f t="shared" si="19"/>
        <v/>
      </c>
      <c r="H589" s="9"/>
      <c r="I589" s="9"/>
      <c r="J589" s="14" t="str">
        <f>IF(E589="","",IFERROR(VLOOKUP(E589,TabProd,5,FALSE),0)+SUMIFS($H$5:H589,$E$5:E589,E589)-SUMIFS($I$5:I589,$E$5:E589,E589))</f>
        <v/>
      </c>
      <c r="K589" s="7"/>
      <c r="L589" s="7"/>
      <c r="M589" s="1" t="str">
        <f>IF(E589="","",E589&amp;"|"&amp;COUNTIF($E$5:E589,E589))</f>
        <v/>
      </c>
    </row>
    <row r="590" spans="2:13" x14ac:dyDescent="0.2">
      <c r="B590" s="10"/>
      <c r="C590" s="7"/>
      <c r="D590" s="11"/>
      <c r="E590" s="6"/>
      <c r="F590" s="12" t="str">
        <f t="shared" si="18"/>
        <v/>
      </c>
      <c r="G590" s="13" t="str">
        <f t="shared" si="19"/>
        <v/>
      </c>
      <c r="H590" s="9"/>
      <c r="I590" s="9"/>
      <c r="J590" s="14" t="str">
        <f>IF(E590="","",IFERROR(VLOOKUP(E590,TabProd,5,FALSE),0)+SUMIFS($H$5:H590,$E$5:E590,E590)-SUMIFS($I$5:I590,$E$5:E590,E590))</f>
        <v/>
      </c>
      <c r="K590" s="7"/>
      <c r="L590" s="7"/>
      <c r="M590" s="1" t="str">
        <f>IF(E590="","",E590&amp;"|"&amp;COUNTIF($E$5:E590,E590))</f>
        <v/>
      </c>
    </row>
    <row r="591" spans="2:13" x14ac:dyDescent="0.2">
      <c r="B591" s="10"/>
      <c r="C591" s="7"/>
      <c r="D591" s="11"/>
      <c r="E591" s="6"/>
      <c r="F591" s="12" t="str">
        <f t="shared" si="18"/>
        <v/>
      </c>
      <c r="G591" s="13" t="str">
        <f t="shared" si="19"/>
        <v/>
      </c>
      <c r="H591" s="9"/>
      <c r="I591" s="9"/>
      <c r="J591" s="14" t="str">
        <f>IF(E591="","",IFERROR(VLOOKUP(E591,TabProd,5,FALSE),0)+SUMIFS($H$5:H591,$E$5:E591,E591)-SUMIFS($I$5:I591,$E$5:E591,E591))</f>
        <v/>
      </c>
      <c r="K591" s="7"/>
      <c r="L591" s="7"/>
      <c r="M591" s="1" t="str">
        <f>IF(E591="","",E591&amp;"|"&amp;COUNTIF($E$5:E591,E591))</f>
        <v/>
      </c>
    </row>
    <row r="592" spans="2:13" x14ac:dyDescent="0.2">
      <c r="B592" s="10"/>
      <c r="C592" s="7"/>
      <c r="D592" s="11"/>
      <c r="E592" s="6"/>
      <c r="F592" s="12" t="str">
        <f t="shared" si="18"/>
        <v/>
      </c>
      <c r="G592" s="13" t="str">
        <f t="shared" si="19"/>
        <v/>
      </c>
      <c r="H592" s="9"/>
      <c r="I592" s="9"/>
      <c r="J592" s="14" t="str">
        <f>IF(E592="","",IFERROR(VLOOKUP(E592,TabProd,5,FALSE),0)+SUMIFS($H$5:H592,$E$5:E592,E592)-SUMIFS($I$5:I592,$E$5:E592,E592))</f>
        <v/>
      </c>
      <c r="K592" s="7"/>
      <c r="L592" s="7"/>
      <c r="M592" s="1" t="str">
        <f>IF(E592="","",E592&amp;"|"&amp;COUNTIF($E$5:E592,E592))</f>
        <v/>
      </c>
    </row>
    <row r="593" spans="2:13" x14ac:dyDescent="0.2">
      <c r="B593" s="10"/>
      <c r="C593" s="7"/>
      <c r="D593" s="11"/>
      <c r="E593" s="6"/>
      <c r="F593" s="12" t="str">
        <f t="shared" si="18"/>
        <v/>
      </c>
      <c r="G593" s="13" t="str">
        <f t="shared" si="19"/>
        <v/>
      </c>
      <c r="H593" s="9"/>
      <c r="I593" s="9"/>
      <c r="J593" s="14" t="str">
        <f>IF(E593="","",IFERROR(VLOOKUP(E593,TabProd,5,FALSE),0)+SUMIFS($H$5:H593,$E$5:E593,E593)-SUMIFS($I$5:I593,$E$5:E593,E593))</f>
        <v/>
      </c>
      <c r="K593" s="7"/>
      <c r="L593" s="7"/>
      <c r="M593" s="1" t="str">
        <f>IF(E593="","",E593&amp;"|"&amp;COUNTIF($E$5:E593,E593))</f>
        <v/>
      </c>
    </row>
    <row r="594" spans="2:13" x14ac:dyDescent="0.2">
      <c r="B594" s="10"/>
      <c r="C594" s="7"/>
      <c r="D594" s="11"/>
      <c r="E594" s="6"/>
      <c r="F594" s="12" t="str">
        <f t="shared" si="18"/>
        <v/>
      </c>
      <c r="G594" s="13" t="str">
        <f t="shared" si="19"/>
        <v/>
      </c>
      <c r="H594" s="9"/>
      <c r="I594" s="9"/>
      <c r="J594" s="14" t="str">
        <f>IF(E594="","",IFERROR(VLOOKUP(E594,TabProd,5,FALSE),0)+SUMIFS($H$5:H594,$E$5:E594,E594)-SUMIFS($I$5:I594,$E$5:E594,E594))</f>
        <v/>
      </c>
      <c r="K594" s="7"/>
      <c r="L594" s="7"/>
      <c r="M594" s="1" t="str">
        <f>IF(E594="","",E594&amp;"|"&amp;COUNTIF($E$5:E594,E594))</f>
        <v/>
      </c>
    </row>
    <row r="595" spans="2:13" x14ac:dyDescent="0.2">
      <c r="B595" s="10"/>
      <c r="C595" s="7"/>
      <c r="D595" s="11"/>
      <c r="E595" s="6"/>
      <c r="F595" s="12" t="str">
        <f t="shared" si="18"/>
        <v/>
      </c>
      <c r="G595" s="13" t="str">
        <f t="shared" si="19"/>
        <v/>
      </c>
      <c r="H595" s="9"/>
      <c r="I595" s="9"/>
      <c r="J595" s="14" t="str">
        <f>IF(E595="","",IFERROR(VLOOKUP(E595,TabProd,5,FALSE),0)+SUMIFS($H$5:H595,$E$5:E595,E595)-SUMIFS($I$5:I595,$E$5:E595,E595))</f>
        <v/>
      </c>
      <c r="K595" s="7"/>
      <c r="L595" s="7"/>
      <c r="M595" s="1" t="str">
        <f>IF(E595="","",E595&amp;"|"&amp;COUNTIF($E$5:E595,E595))</f>
        <v/>
      </c>
    </row>
    <row r="596" spans="2:13" x14ac:dyDescent="0.2">
      <c r="B596" s="10"/>
      <c r="C596" s="7"/>
      <c r="D596" s="11"/>
      <c r="E596" s="6"/>
      <c r="F596" s="12" t="str">
        <f t="shared" si="18"/>
        <v/>
      </c>
      <c r="G596" s="13" t="str">
        <f t="shared" si="19"/>
        <v/>
      </c>
      <c r="H596" s="9"/>
      <c r="I596" s="9"/>
      <c r="J596" s="14" t="str">
        <f>IF(E596="","",IFERROR(VLOOKUP(E596,TabProd,5,FALSE),0)+SUMIFS($H$5:H596,$E$5:E596,E596)-SUMIFS($I$5:I596,$E$5:E596,E596))</f>
        <v/>
      </c>
      <c r="K596" s="7"/>
      <c r="L596" s="7"/>
      <c r="M596" s="1" t="str">
        <f>IF(E596="","",E596&amp;"|"&amp;COUNTIF($E$5:E596,E596))</f>
        <v/>
      </c>
    </row>
    <row r="597" spans="2:13" x14ac:dyDescent="0.2">
      <c r="B597" s="10"/>
      <c r="C597" s="7"/>
      <c r="D597" s="11"/>
      <c r="E597" s="6"/>
      <c r="F597" s="12" t="str">
        <f t="shared" si="18"/>
        <v/>
      </c>
      <c r="G597" s="13" t="str">
        <f t="shared" si="19"/>
        <v/>
      </c>
      <c r="H597" s="9"/>
      <c r="I597" s="9"/>
      <c r="J597" s="14" t="str">
        <f>IF(E597="","",IFERROR(VLOOKUP(E597,TabProd,5,FALSE),0)+SUMIFS($H$5:H597,$E$5:E597,E597)-SUMIFS($I$5:I597,$E$5:E597,E597))</f>
        <v/>
      </c>
      <c r="K597" s="7"/>
      <c r="L597" s="7"/>
      <c r="M597" s="1" t="str">
        <f>IF(E597="","",E597&amp;"|"&amp;COUNTIF($E$5:E597,E597))</f>
        <v/>
      </c>
    </row>
    <row r="598" spans="2:13" x14ac:dyDescent="0.2">
      <c r="B598" s="10"/>
      <c r="C598" s="7"/>
      <c r="D598" s="11"/>
      <c r="E598" s="6"/>
      <c r="F598" s="12" t="str">
        <f t="shared" si="18"/>
        <v/>
      </c>
      <c r="G598" s="13" t="str">
        <f t="shared" si="19"/>
        <v/>
      </c>
      <c r="H598" s="9"/>
      <c r="I598" s="9"/>
      <c r="J598" s="14" t="str">
        <f>IF(E598="","",IFERROR(VLOOKUP(E598,TabProd,5,FALSE),0)+SUMIFS($H$5:H598,$E$5:E598,E598)-SUMIFS($I$5:I598,$E$5:E598,E598))</f>
        <v/>
      </c>
      <c r="K598" s="7"/>
      <c r="L598" s="7"/>
      <c r="M598" s="1" t="str">
        <f>IF(E598="","",E598&amp;"|"&amp;COUNTIF($E$5:E598,E598))</f>
        <v/>
      </c>
    </row>
    <row r="599" spans="2:13" x14ac:dyDescent="0.2">
      <c r="B599" s="10"/>
      <c r="C599" s="7"/>
      <c r="D599" s="11"/>
      <c r="E599" s="6"/>
      <c r="F599" s="12" t="str">
        <f t="shared" si="18"/>
        <v/>
      </c>
      <c r="G599" s="13" t="str">
        <f t="shared" si="19"/>
        <v/>
      </c>
      <c r="H599" s="9"/>
      <c r="I599" s="9"/>
      <c r="J599" s="14" t="str">
        <f>IF(E599="","",IFERROR(VLOOKUP(E599,TabProd,5,FALSE),0)+SUMIFS($H$5:H599,$E$5:E599,E599)-SUMIFS($I$5:I599,$E$5:E599,E599))</f>
        <v/>
      </c>
      <c r="K599" s="7"/>
      <c r="L599" s="7"/>
      <c r="M599" s="1" t="str">
        <f>IF(E599="","",E599&amp;"|"&amp;COUNTIF($E$5:E599,E599))</f>
        <v/>
      </c>
    </row>
    <row r="600" spans="2:13" x14ac:dyDescent="0.2">
      <c r="B600" s="10"/>
      <c r="C600" s="7"/>
      <c r="D600" s="11"/>
      <c r="E600" s="6"/>
      <c r="F600" s="12" t="str">
        <f t="shared" si="18"/>
        <v/>
      </c>
      <c r="G600" s="13" t="str">
        <f t="shared" si="19"/>
        <v/>
      </c>
      <c r="H600" s="9"/>
      <c r="I600" s="9"/>
      <c r="J600" s="14" t="str">
        <f>IF(E600="","",IFERROR(VLOOKUP(E600,TabProd,5,FALSE),0)+SUMIFS($H$5:H600,$E$5:E600,E600)-SUMIFS($I$5:I600,$E$5:E600,E600))</f>
        <v/>
      </c>
      <c r="K600" s="7"/>
      <c r="L600" s="7"/>
      <c r="M600" s="1" t="str">
        <f>IF(E600="","",E600&amp;"|"&amp;COUNTIF($E$5:E600,E600))</f>
        <v/>
      </c>
    </row>
    <row r="601" spans="2:13" x14ac:dyDescent="0.2">
      <c r="B601" s="10"/>
      <c r="C601" s="7"/>
      <c r="D601" s="11"/>
      <c r="E601" s="6"/>
      <c r="F601" s="12" t="str">
        <f t="shared" si="18"/>
        <v/>
      </c>
      <c r="G601" s="13" t="str">
        <f t="shared" si="19"/>
        <v/>
      </c>
      <c r="H601" s="9"/>
      <c r="I601" s="9"/>
      <c r="J601" s="14" t="str">
        <f>IF(E601="","",IFERROR(VLOOKUP(E601,TabProd,5,FALSE),0)+SUMIFS($H$5:H601,$E$5:E601,E601)-SUMIFS($I$5:I601,$E$5:E601,E601))</f>
        <v/>
      </c>
      <c r="K601" s="7"/>
      <c r="L601" s="7"/>
      <c r="M601" s="1" t="str">
        <f>IF(E601="","",E601&amp;"|"&amp;COUNTIF($E$5:E601,E601))</f>
        <v/>
      </c>
    </row>
    <row r="602" spans="2:13" x14ac:dyDescent="0.2">
      <c r="B602" s="10"/>
      <c r="C602" s="7"/>
      <c r="D602" s="11"/>
      <c r="E602" s="6"/>
      <c r="F602" s="12" t="str">
        <f t="shared" si="18"/>
        <v/>
      </c>
      <c r="G602" s="13" t="str">
        <f t="shared" si="19"/>
        <v/>
      </c>
      <c r="H602" s="9"/>
      <c r="I602" s="9"/>
      <c r="J602" s="14" t="str">
        <f>IF(E602="","",IFERROR(VLOOKUP(E602,TabProd,5,FALSE),0)+SUMIFS($H$5:H602,$E$5:E602,E602)-SUMIFS($I$5:I602,$E$5:E602,E602))</f>
        <v/>
      </c>
      <c r="K602" s="7"/>
      <c r="L602" s="7"/>
      <c r="M602" s="1" t="str">
        <f>IF(E602="","",E602&amp;"|"&amp;COUNTIF($E$5:E602,E602))</f>
        <v/>
      </c>
    </row>
    <row r="603" spans="2:13" x14ac:dyDescent="0.2">
      <c r="B603" s="10"/>
      <c r="C603" s="7"/>
      <c r="D603" s="11"/>
      <c r="E603" s="6"/>
      <c r="F603" s="12" t="str">
        <f t="shared" si="18"/>
        <v/>
      </c>
      <c r="G603" s="13" t="str">
        <f t="shared" si="19"/>
        <v/>
      </c>
      <c r="H603" s="9"/>
      <c r="I603" s="9"/>
      <c r="J603" s="14" t="str">
        <f>IF(E603="","",IFERROR(VLOOKUP(E603,TabProd,5,FALSE),0)+SUMIFS($H$5:H603,$E$5:E603,E603)-SUMIFS($I$5:I603,$E$5:E603,E603))</f>
        <v/>
      </c>
      <c r="K603" s="7"/>
      <c r="L603" s="7"/>
      <c r="M603" s="1" t="str">
        <f>IF(E603="","",E603&amp;"|"&amp;COUNTIF($E$5:E603,E603))</f>
        <v/>
      </c>
    </row>
    <row r="604" spans="2:13" x14ac:dyDescent="0.2">
      <c r="B604" s="10"/>
      <c r="C604" s="7"/>
      <c r="D604" s="11"/>
      <c r="E604" s="6"/>
      <c r="F604" s="12" t="str">
        <f t="shared" si="18"/>
        <v/>
      </c>
      <c r="G604" s="13" t="str">
        <f t="shared" si="19"/>
        <v/>
      </c>
      <c r="H604" s="9"/>
      <c r="I604" s="9"/>
      <c r="J604" s="14" t="str">
        <f>IF(E604="","",IFERROR(VLOOKUP(E604,TabProd,5,FALSE),0)+SUMIFS($H$5:H604,$E$5:E604,E604)-SUMIFS($I$5:I604,$E$5:E604,E604))</f>
        <v/>
      </c>
      <c r="K604" s="7"/>
      <c r="L604" s="7"/>
      <c r="M604" s="1" t="str">
        <f>IF(E604="","",E604&amp;"|"&amp;COUNTIF($E$5:E604,E604))</f>
        <v/>
      </c>
    </row>
    <row r="605" spans="2:13" x14ac:dyDescent="0.2">
      <c r="B605" s="10"/>
      <c r="C605" s="7"/>
      <c r="D605" s="11"/>
      <c r="E605" s="6"/>
      <c r="F605" s="12" t="str">
        <f t="shared" si="18"/>
        <v/>
      </c>
      <c r="G605" s="13" t="str">
        <f t="shared" si="19"/>
        <v/>
      </c>
      <c r="H605" s="9"/>
      <c r="I605" s="9"/>
      <c r="J605" s="14" t="str">
        <f>IF(E605="","",IFERROR(VLOOKUP(E605,TabProd,5,FALSE),0)+SUMIFS($H$5:H605,$E$5:E605,E605)-SUMIFS($I$5:I605,$E$5:E605,E605))</f>
        <v/>
      </c>
      <c r="K605" s="7"/>
      <c r="L605" s="7"/>
      <c r="M605" s="1" t="str">
        <f>IF(E605="","",E605&amp;"|"&amp;COUNTIF($E$5:E605,E605))</f>
        <v/>
      </c>
    </row>
    <row r="606" spans="2:13" x14ac:dyDescent="0.2">
      <c r="B606" s="10"/>
      <c r="C606" s="7"/>
      <c r="D606" s="11"/>
      <c r="E606" s="6"/>
      <c r="F606" s="12" t="str">
        <f t="shared" si="18"/>
        <v/>
      </c>
      <c r="G606" s="13" t="str">
        <f t="shared" si="19"/>
        <v/>
      </c>
      <c r="H606" s="9"/>
      <c r="I606" s="9"/>
      <c r="J606" s="14" t="str">
        <f>IF(E606="","",IFERROR(VLOOKUP(E606,TabProd,5,FALSE),0)+SUMIFS($H$5:H606,$E$5:E606,E606)-SUMIFS($I$5:I606,$E$5:E606,E606))</f>
        <v/>
      </c>
      <c r="K606" s="7"/>
      <c r="L606" s="7"/>
      <c r="M606" s="1" t="str">
        <f>IF(E606="","",E606&amp;"|"&amp;COUNTIF($E$5:E606,E606))</f>
        <v/>
      </c>
    </row>
    <row r="607" spans="2:13" x14ac:dyDescent="0.2">
      <c r="B607" s="10"/>
      <c r="C607" s="7"/>
      <c r="D607" s="11"/>
      <c r="E607" s="6"/>
      <c r="F607" s="12" t="str">
        <f t="shared" si="18"/>
        <v/>
      </c>
      <c r="G607" s="13" t="str">
        <f t="shared" si="19"/>
        <v/>
      </c>
      <c r="H607" s="9"/>
      <c r="I607" s="9"/>
      <c r="J607" s="14" t="str">
        <f>IF(E607="","",IFERROR(VLOOKUP(E607,TabProd,5,FALSE),0)+SUMIFS($H$5:H607,$E$5:E607,E607)-SUMIFS($I$5:I607,$E$5:E607,E607))</f>
        <v/>
      </c>
      <c r="K607" s="7"/>
      <c r="L607" s="7"/>
      <c r="M607" s="1" t="str">
        <f>IF(E607="","",E607&amp;"|"&amp;COUNTIF($E$5:E607,E607))</f>
        <v/>
      </c>
    </row>
    <row r="608" spans="2:13" x14ac:dyDescent="0.2">
      <c r="B608" s="10"/>
      <c r="C608" s="7"/>
      <c r="D608" s="11"/>
      <c r="E608" s="6"/>
      <c r="F608" s="12" t="str">
        <f t="shared" si="18"/>
        <v/>
      </c>
      <c r="G608" s="13" t="str">
        <f t="shared" si="19"/>
        <v/>
      </c>
      <c r="H608" s="9"/>
      <c r="I608" s="9"/>
      <c r="J608" s="14" t="str">
        <f>IF(E608="","",IFERROR(VLOOKUP(E608,TabProd,5,FALSE),0)+SUMIFS($H$5:H608,$E$5:E608,E608)-SUMIFS($I$5:I608,$E$5:E608,E608))</f>
        <v/>
      </c>
      <c r="K608" s="7"/>
      <c r="L608" s="7"/>
      <c r="M608" s="1" t="str">
        <f>IF(E608="","",E608&amp;"|"&amp;COUNTIF($E$5:E608,E608))</f>
        <v/>
      </c>
    </row>
    <row r="609" spans="2:13" x14ac:dyDescent="0.2">
      <c r="B609" s="10"/>
      <c r="C609" s="7"/>
      <c r="D609" s="11"/>
      <c r="E609" s="6"/>
      <c r="F609" s="12" t="str">
        <f t="shared" si="18"/>
        <v/>
      </c>
      <c r="G609" s="13" t="str">
        <f t="shared" si="19"/>
        <v/>
      </c>
      <c r="H609" s="9"/>
      <c r="I609" s="9"/>
      <c r="J609" s="14" t="str">
        <f>IF(E609="","",IFERROR(VLOOKUP(E609,TabProd,5,FALSE),0)+SUMIFS($H$5:H609,$E$5:E609,E609)-SUMIFS($I$5:I609,$E$5:E609,E609))</f>
        <v/>
      </c>
      <c r="K609" s="7"/>
      <c r="L609" s="7"/>
      <c r="M609" s="1" t="str">
        <f>IF(E609="","",E609&amp;"|"&amp;COUNTIF($E$5:E609,E609))</f>
        <v/>
      </c>
    </row>
    <row r="610" spans="2:13" x14ac:dyDescent="0.2">
      <c r="B610" s="10"/>
      <c r="C610" s="7"/>
      <c r="D610" s="11"/>
      <c r="E610" s="6"/>
      <c r="F610" s="12" t="str">
        <f t="shared" si="18"/>
        <v/>
      </c>
      <c r="G610" s="13" t="str">
        <f t="shared" si="19"/>
        <v/>
      </c>
      <c r="H610" s="9"/>
      <c r="I610" s="9"/>
      <c r="J610" s="14" t="str">
        <f>IF(E610="","",IFERROR(VLOOKUP(E610,TabProd,5,FALSE),0)+SUMIFS($H$5:H610,$E$5:E610,E610)-SUMIFS($I$5:I610,$E$5:E610,E610))</f>
        <v/>
      </c>
      <c r="K610" s="7"/>
      <c r="L610" s="7"/>
      <c r="M610" s="1" t="str">
        <f>IF(E610="","",E610&amp;"|"&amp;COUNTIF($E$5:E610,E610))</f>
        <v/>
      </c>
    </row>
    <row r="611" spans="2:13" x14ac:dyDescent="0.2">
      <c r="B611" s="10"/>
      <c r="C611" s="7"/>
      <c r="D611" s="11"/>
      <c r="E611" s="6"/>
      <c r="F611" s="12" t="str">
        <f t="shared" si="18"/>
        <v/>
      </c>
      <c r="G611" s="13" t="str">
        <f t="shared" si="19"/>
        <v/>
      </c>
      <c r="H611" s="9"/>
      <c r="I611" s="9"/>
      <c r="J611" s="14" t="str">
        <f>IF(E611="","",IFERROR(VLOOKUP(E611,TabProd,5,FALSE),0)+SUMIFS($H$5:H611,$E$5:E611,E611)-SUMIFS($I$5:I611,$E$5:E611,E611))</f>
        <v/>
      </c>
      <c r="K611" s="7"/>
      <c r="L611" s="7"/>
      <c r="M611" s="1" t="str">
        <f>IF(E611="","",E611&amp;"|"&amp;COUNTIF($E$5:E611,E611))</f>
        <v/>
      </c>
    </row>
    <row r="612" spans="2:13" x14ac:dyDescent="0.2">
      <c r="B612" s="10"/>
      <c r="C612" s="7"/>
      <c r="D612" s="11"/>
      <c r="E612" s="6"/>
      <c r="F612" s="12" t="str">
        <f t="shared" si="18"/>
        <v/>
      </c>
      <c r="G612" s="13" t="str">
        <f t="shared" si="19"/>
        <v/>
      </c>
      <c r="H612" s="9"/>
      <c r="I612" s="9"/>
      <c r="J612" s="14" t="str">
        <f>IF(E612="","",IFERROR(VLOOKUP(E612,TabProd,5,FALSE),0)+SUMIFS($H$5:H612,$E$5:E612,E612)-SUMIFS($I$5:I612,$E$5:E612,E612))</f>
        <v/>
      </c>
      <c r="K612" s="7"/>
      <c r="L612" s="7"/>
      <c r="M612" s="1" t="str">
        <f>IF(E612="","",E612&amp;"|"&amp;COUNTIF($E$5:E612,E612))</f>
        <v/>
      </c>
    </row>
    <row r="613" spans="2:13" x14ac:dyDescent="0.2">
      <c r="B613" s="10"/>
      <c r="C613" s="7"/>
      <c r="D613" s="11"/>
      <c r="E613" s="6"/>
      <c r="F613" s="12" t="str">
        <f t="shared" si="18"/>
        <v/>
      </c>
      <c r="G613" s="13" t="str">
        <f t="shared" si="19"/>
        <v/>
      </c>
      <c r="H613" s="9"/>
      <c r="I613" s="9"/>
      <c r="J613" s="14" t="str">
        <f>IF(E613="","",IFERROR(VLOOKUP(E613,TabProd,5,FALSE),0)+SUMIFS($H$5:H613,$E$5:E613,E613)-SUMIFS($I$5:I613,$E$5:E613,E613))</f>
        <v/>
      </c>
      <c r="K613" s="7"/>
      <c r="L613" s="7"/>
      <c r="M613" s="1" t="str">
        <f>IF(E613="","",E613&amp;"|"&amp;COUNTIF($E$5:E613,E613))</f>
        <v/>
      </c>
    </row>
    <row r="614" spans="2:13" x14ac:dyDescent="0.2">
      <c r="B614" s="10"/>
      <c r="C614" s="7"/>
      <c r="D614" s="11"/>
      <c r="E614" s="6"/>
      <c r="F614" s="12" t="str">
        <f t="shared" si="18"/>
        <v/>
      </c>
      <c r="G614" s="13" t="str">
        <f t="shared" si="19"/>
        <v/>
      </c>
      <c r="H614" s="9"/>
      <c r="I614" s="9"/>
      <c r="J614" s="14" t="str">
        <f>IF(E614="","",IFERROR(VLOOKUP(E614,TabProd,5,FALSE),0)+SUMIFS($H$5:H614,$E$5:E614,E614)-SUMIFS($I$5:I614,$E$5:E614,E614))</f>
        <v/>
      </c>
      <c r="K614" s="7"/>
      <c r="L614" s="7"/>
      <c r="M614" s="1" t="str">
        <f>IF(E614="","",E614&amp;"|"&amp;COUNTIF($E$5:E614,E614))</f>
        <v/>
      </c>
    </row>
    <row r="615" spans="2:13" x14ac:dyDescent="0.2">
      <c r="B615" s="10"/>
      <c r="C615" s="7"/>
      <c r="D615" s="11"/>
      <c r="E615" s="6"/>
      <c r="F615" s="12" t="str">
        <f t="shared" si="18"/>
        <v/>
      </c>
      <c r="G615" s="13" t="str">
        <f t="shared" si="19"/>
        <v/>
      </c>
      <c r="H615" s="9"/>
      <c r="I615" s="9"/>
      <c r="J615" s="14" t="str">
        <f>IF(E615="","",IFERROR(VLOOKUP(E615,TabProd,5,FALSE),0)+SUMIFS($H$5:H615,$E$5:E615,E615)-SUMIFS($I$5:I615,$E$5:E615,E615))</f>
        <v/>
      </c>
      <c r="K615" s="7"/>
      <c r="L615" s="7"/>
      <c r="M615" s="1" t="str">
        <f>IF(E615="","",E615&amp;"|"&amp;COUNTIF($E$5:E615,E615))</f>
        <v/>
      </c>
    </row>
    <row r="616" spans="2:13" x14ac:dyDescent="0.2">
      <c r="B616" s="10"/>
      <c r="C616" s="7"/>
      <c r="D616" s="11"/>
      <c r="E616" s="6"/>
      <c r="F616" s="12" t="str">
        <f t="shared" si="18"/>
        <v/>
      </c>
      <c r="G616" s="13" t="str">
        <f t="shared" si="19"/>
        <v/>
      </c>
      <c r="H616" s="9"/>
      <c r="I616" s="9"/>
      <c r="J616" s="14" t="str">
        <f>IF(E616="","",IFERROR(VLOOKUP(E616,TabProd,5,FALSE),0)+SUMIFS($H$5:H616,$E$5:E616,E616)-SUMIFS($I$5:I616,$E$5:E616,E616))</f>
        <v/>
      </c>
      <c r="K616" s="7"/>
      <c r="L616" s="7"/>
      <c r="M616" s="1" t="str">
        <f>IF(E616="","",E616&amp;"|"&amp;COUNTIF($E$5:E616,E616))</f>
        <v/>
      </c>
    </row>
    <row r="617" spans="2:13" x14ac:dyDescent="0.2">
      <c r="B617" s="10"/>
      <c r="C617" s="7"/>
      <c r="D617" s="11"/>
      <c r="E617" s="6"/>
      <c r="F617" s="12" t="str">
        <f t="shared" si="18"/>
        <v/>
      </c>
      <c r="G617" s="13" t="str">
        <f t="shared" si="19"/>
        <v/>
      </c>
      <c r="H617" s="9"/>
      <c r="I617" s="9"/>
      <c r="J617" s="14" t="str">
        <f>IF(E617="","",IFERROR(VLOOKUP(E617,TabProd,5,FALSE),0)+SUMIFS($H$5:H617,$E$5:E617,E617)-SUMIFS($I$5:I617,$E$5:E617,E617))</f>
        <v/>
      </c>
      <c r="K617" s="7"/>
      <c r="L617" s="7"/>
      <c r="M617" s="1" t="str">
        <f>IF(E617="","",E617&amp;"|"&amp;COUNTIF($E$5:E617,E617))</f>
        <v/>
      </c>
    </row>
    <row r="618" spans="2:13" x14ac:dyDescent="0.2">
      <c r="B618" s="10"/>
      <c r="C618" s="7"/>
      <c r="D618" s="11"/>
      <c r="E618" s="6"/>
      <c r="F618" s="12" t="str">
        <f t="shared" si="18"/>
        <v/>
      </c>
      <c r="G618" s="13" t="str">
        <f t="shared" si="19"/>
        <v/>
      </c>
      <c r="H618" s="9"/>
      <c r="I618" s="9"/>
      <c r="J618" s="14" t="str">
        <f>IF(E618="","",IFERROR(VLOOKUP(E618,TabProd,5,FALSE),0)+SUMIFS($H$5:H618,$E$5:E618,E618)-SUMIFS($I$5:I618,$E$5:E618,E618))</f>
        <v/>
      </c>
      <c r="K618" s="7"/>
      <c r="L618" s="7"/>
      <c r="M618" s="1" t="str">
        <f>IF(E618="","",E618&amp;"|"&amp;COUNTIF($E$5:E618,E618))</f>
        <v/>
      </c>
    </row>
    <row r="619" spans="2:13" x14ac:dyDescent="0.2">
      <c r="B619" s="10"/>
      <c r="C619" s="7"/>
      <c r="D619" s="11"/>
      <c r="E619" s="6"/>
      <c r="F619" s="12" t="str">
        <f t="shared" si="18"/>
        <v/>
      </c>
      <c r="G619" s="13" t="str">
        <f t="shared" si="19"/>
        <v/>
      </c>
      <c r="H619" s="9"/>
      <c r="I619" s="9"/>
      <c r="J619" s="14" t="str">
        <f>IF(E619="","",IFERROR(VLOOKUP(E619,TabProd,5,FALSE),0)+SUMIFS($H$5:H619,$E$5:E619,E619)-SUMIFS($I$5:I619,$E$5:E619,E619))</f>
        <v/>
      </c>
      <c r="K619" s="7"/>
      <c r="L619" s="7"/>
      <c r="M619" s="1" t="str">
        <f>IF(E619="","",E619&amp;"|"&amp;COUNTIF($E$5:E619,E619))</f>
        <v/>
      </c>
    </row>
    <row r="620" spans="2:13" x14ac:dyDescent="0.2">
      <c r="B620" s="10"/>
      <c r="C620" s="7"/>
      <c r="D620" s="11"/>
      <c r="E620" s="6"/>
      <c r="F620" s="12" t="str">
        <f t="shared" si="18"/>
        <v/>
      </c>
      <c r="G620" s="13" t="str">
        <f t="shared" si="19"/>
        <v/>
      </c>
      <c r="H620" s="9"/>
      <c r="I620" s="9"/>
      <c r="J620" s="14" t="str">
        <f>IF(E620="","",IFERROR(VLOOKUP(E620,TabProd,5,FALSE),0)+SUMIFS($H$5:H620,$E$5:E620,E620)-SUMIFS($I$5:I620,$E$5:E620,E620))</f>
        <v/>
      </c>
      <c r="K620" s="7"/>
      <c r="L620" s="7"/>
      <c r="M620" s="1" t="str">
        <f>IF(E620="","",E620&amp;"|"&amp;COUNTIF($E$5:E620,E620))</f>
        <v/>
      </c>
    </row>
    <row r="621" spans="2:13" x14ac:dyDescent="0.2">
      <c r="B621" s="10"/>
      <c r="C621" s="7"/>
      <c r="D621" s="11"/>
      <c r="E621" s="6"/>
      <c r="F621" s="12" t="str">
        <f t="shared" si="18"/>
        <v/>
      </c>
      <c r="G621" s="13" t="str">
        <f t="shared" si="19"/>
        <v/>
      </c>
      <c r="H621" s="9"/>
      <c r="I621" s="9"/>
      <c r="J621" s="14" t="str">
        <f>IF(E621="","",IFERROR(VLOOKUP(E621,TabProd,5,FALSE),0)+SUMIFS($H$5:H621,$E$5:E621,E621)-SUMIFS($I$5:I621,$E$5:E621,E621))</f>
        <v/>
      </c>
      <c r="K621" s="7"/>
      <c r="L621" s="7"/>
      <c r="M621" s="1" t="str">
        <f>IF(E621="","",E621&amp;"|"&amp;COUNTIF($E$5:E621,E621))</f>
        <v/>
      </c>
    </row>
    <row r="622" spans="2:13" x14ac:dyDescent="0.2">
      <c r="B622" s="10"/>
      <c r="C622" s="7"/>
      <c r="D622" s="11"/>
      <c r="E622" s="6"/>
      <c r="F622" s="12" t="str">
        <f t="shared" si="18"/>
        <v/>
      </c>
      <c r="G622" s="13" t="str">
        <f t="shared" si="19"/>
        <v/>
      </c>
      <c r="H622" s="9"/>
      <c r="I622" s="9"/>
      <c r="J622" s="14" t="str">
        <f>IF(E622="","",IFERROR(VLOOKUP(E622,TabProd,5,FALSE),0)+SUMIFS($H$5:H622,$E$5:E622,E622)-SUMIFS($I$5:I622,$E$5:E622,E622))</f>
        <v/>
      </c>
      <c r="K622" s="7"/>
      <c r="L622" s="7"/>
      <c r="M622" s="1" t="str">
        <f>IF(E622="","",E622&amp;"|"&amp;COUNTIF($E$5:E622,E622))</f>
        <v/>
      </c>
    </row>
    <row r="623" spans="2:13" x14ac:dyDescent="0.2">
      <c r="B623" s="10"/>
      <c r="C623" s="7"/>
      <c r="D623" s="11"/>
      <c r="E623" s="6"/>
      <c r="F623" s="12" t="str">
        <f t="shared" si="18"/>
        <v/>
      </c>
      <c r="G623" s="13" t="str">
        <f t="shared" si="19"/>
        <v/>
      </c>
      <c r="H623" s="9"/>
      <c r="I623" s="9"/>
      <c r="J623" s="14" t="str">
        <f>IF(E623="","",IFERROR(VLOOKUP(E623,TabProd,5,FALSE),0)+SUMIFS($H$5:H623,$E$5:E623,E623)-SUMIFS($I$5:I623,$E$5:E623,E623))</f>
        <v/>
      </c>
      <c r="K623" s="7"/>
      <c r="L623" s="7"/>
      <c r="M623" s="1" t="str">
        <f>IF(E623="","",E623&amp;"|"&amp;COUNTIF($E$5:E623,E623))</f>
        <v/>
      </c>
    </row>
    <row r="624" spans="2:13" x14ac:dyDescent="0.2">
      <c r="B624" s="10"/>
      <c r="C624" s="7"/>
      <c r="D624" s="11"/>
      <c r="E624" s="6"/>
      <c r="F624" s="12" t="str">
        <f t="shared" si="18"/>
        <v/>
      </c>
      <c r="G624" s="13" t="str">
        <f t="shared" si="19"/>
        <v/>
      </c>
      <c r="H624" s="9"/>
      <c r="I624" s="9"/>
      <c r="J624" s="14" t="str">
        <f>IF(E624="","",IFERROR(VLOOKUP(E624,TabProd,5,FALSE),0)+SUMIFS($H$5:H624,$E$5:E624,E624)-SUMIFS($I$5:I624,$E$5:E624,E624))</f>
        <v/>
      </c>
      <c r="K624" s="7"/>
      <c r="L624" s="7"/>
      <c r="M624" s="1" t="str">
        <f>IF(E624="","",E624&amp;"|"&amp;COUNTIF($E$5:E624,E624))</f>
        <v/>
      </c>
    </row>
    <row r="625" spans="2:13" x14ac:dyDescent="0.2">
      <c r="B625" s="10"/>
      <c r="C625" s="7"/>
      <c r="D625" s="11"/>
      <c r="E625" s="6"/>
      <c r="F625" s="12" t="str">
        <f t="shared" si="18"/>
        <v/>
      </c>
      <c r="G625" s="13" t="str">
        <f t="shared" si="19"/>
        <v/>
      </c>
      <c r="H625" s="9"/>
      <c r="I625" s="9"/>
      <c r="J625" s="14" t="str">
        <f>IF(E625="","",IFERROR(VLOOKUP(E625,TabProd,5,FALSE),0)+SUMIFS($H$5:H625,$E$5:E625,E625)-SUMIFS($I$5:I625,$E$5:E625,E625))</f>
        <v/>
      </c>
      <c r="K625" s="7"/>
      <c r="L625" s="7"/>
      <c r="M625" s="1" t="str">
        <f>IF(E625="","",E625&amp;"|"&amp;COUNTIF($E$5:E625,E625))</f>
        <v/>
      </c>
    </row>
    <row r="626" spans="2:13" x14ac:dyDescent="0.2">
      <c r="B626" s="10"/>
      <c r="C626" s="7"/>
      <c r="D626" s="11"/>
      <c r="E626" s="6"/>
      <c r="F626" s="12" t="str">
        <f t="shared" si="18"/>
        <v/>
      </c>
      <c r="G626" s="13" t="str">
        <f t="shared" si="19"/>
        <v/>
      </c>
      <c r="H626" s="9"/>
      <c r="I626" s="9"/>
      <c r="J626" s="14" t="str">
        <f>IF(E626="","",IFERROR(VLOOKUP(E626,TabProd,5,FALSE),0)+SUMIFS($H$5:H626,$E$5:E626,E626)-SUMIFS($I$5:I626,$E$5:E626,E626))</f>
        <v/>
      </c>
      <c r="K626" s="7"/>
      <c r="L626" s="7"/>
      <c r="M626" s="1" t="str">
        <f>IF(E626="","",E626&amp;"|"&amp;COUNTIF($E$5:E626,E626))</f>
        <v/>
      </c>
    </row>
    <row r="627" spans="2:13" x14ac:dyDescent="0.2">
      <c r="B627" s="10"/>
      <c r="C627" s="7"/>
      <c r="D627" s="11"/>
      <c r="E627" s="6"/>
      <c r="F627" s="12" t="str">
        <f t="shared" si="18"/>
        <v/>
      </c>
      <c r="G627" s="13" t="str">
        <f t="shared" si="19"/>
        <v/>
      </c>
      <c r="H627" s="9"/>
      <c r="I627" s="9"/>
      <c r="J627" s="14" t="str">
        <f>IF(E627="","",IFERROR(VLOOKUP(E627,TabProd,5,FALSE),0)+SUMIFS($H$5:H627,$E$5:E627,E627)-SUMIFS($I$5:I627,$E$5:E627,E627))</f>
        <v/>
      </c>
      <c r="K627" s="7"/>
      <c r="L627" s="7"/>
      <c r="M627" s="1" t="str">
        <f>IF(E627="","",E627&amp;"|"&amp;COUNTIF($E$5:E627,E627))</f>
        <v/>
      </c>
    </row>
    <row r="628" spans="2:13" x14ac:dyDescent="0.2">
      <c r="B628" s="10"/>
      <c r="C628" s="7"/>
      <c r="D628" s="11"/>
      <c r="E628" s="6"/>
      <c r="F628" s="12" t="str">
        <f t="shared" si="18"/>
        <v/>
      </c>
      <c r="G628" s="13" t="str">
        <f t="shared" si="19"/>
        <v/>
      </c>
      <c r="H628" s="9"/>
      <c r="I628" s="9"/>
      <c r="J628" s="14" t="str">
        <f>IF(E628="","",IFERROR(VLOOKUP(E628,TabProd,5,FALSE),0)+SUMIFS($H$5:H628,$E$5:E628,E628)-SUMIFS($I$5:I628,$E$5:E628,E628))</f>
        <v/>
      </c>
      <c r="K628" s="7"/>
      <c r="L628" s="7"/>
      <c r="M628" s="1" t="str">
        <f>IF(E628="","",E628&amp;"|"&amp;COUNTIF($E$5:E628,E628))</f>
        <v/>
      </c>
    </row>
    <row r="629" spans="2:13" x14ac:dyDescent="0.2">
      <c r="B629" s="10"/>
      <c r="C629" s="7"/>
      <c r="D629" s="11"/>
      <c r="E629" s="6"/>
      <c r="F629" s="12" t="str">
        <f t="shared" si="18"/>
        <v/>
      </c>
      <c r="G629" s="13" t="str">
        <f t="shared" si="19"/>
        <v/>
      </c>
      <c r="H629" s="9"/>
      <c r="I629" s="9"/>
      <c r="J629" s="14" t="str">
        <f>IF(E629="","",IFERROR(VLOOKUP(E629,TabProd,5,FALSE),0)+SUMIFS($H$5:H629,$E$5:E629,E629)-SUMIFS($I$5:I629,$E$5:E629,E629))</f>
        <v/>
      </c>
      <c r="K629" s="7"/>
      <c r="L629" s="7"/>
      <c r="M629" s="1" t="str">
        <f>IF(E629="","",E629&amp;"|"&amp;COUNTIF($E$5:E629,E629))</f>
        <v/>
      </c>
    </row>
    <row r="630" spans="2:13" x14ac:dyDescent="0.2">
      <c r="B630" s="10"/>
      <c r="C630" s="7"/>
      <c r="D630" s="11"/>
      <c r="E630" s="6"/>
      <c r="F630" s="12" t="str">
        <f t="shared" si="18"/>
        <v/>
      </c>
      <c r="G630" s="13" t="str">
        <f t="shared" si="19"/>
        <v/>
      </c>
      <c r="H630" s="9"/>
      <c r="I630" s="9"/>
      <c r="J630" s="14" t="str">
        <f>IF(E630="","",IFERROR(VLOOKUP(E630,TabProd,5,FALSE),0)+SUMIFS($H$5:H630,$E$5:E630,E630)-SUMIFS($I$5:I630,$E$5:E630,E630))</f>
        <v/>
      </c>
      <c r="K630" s="7"/>
      <c r="L630" s="7"/>
      <c r="M630" s="1" t="str">
        <f>IF(E630="","",E630&amp;"|"&amp;COUNTIF($E$5:E630,E630))</f>
        <v/>
      </c>
    </row>
    <row r="631" spans="2:13" x14ac:dyDescent="0.2">
      <c r="B631" s="10"/>
      <c r="C631" s="7"/>
      <c r="D631" s="11"/>
      <c r="E631" s="6"/>
      <c r="F631" s="12" t="str">
        <f t="shared" si="18"/>
        <v/>
      </c>
      <c r="G631" s="13" t="str">
        <f t="shared" si="19"/>
        <v/>
      </c>
      <c r="H631" s="9"/>
      <c r="I631" s="9"/>
      <c r="J631" s="14" t="str">
        <f>IF(E631="","",IFERROR(VLOOKUP(E631,TabProd,5,FALSE),0)+SUMIFS($H$5:H631,$E$5:E631,E631)-SUMIFS($I$5:I631,$E$5:E631,E631))</f>
        <v/>
      </c>
      <c r="K631" s="7"/>
      <c r="L631" s="7"/>
      <c r="M631" s="1" t="str">
        <f>IF(E631="","",E631&amp;"|"&amp;COUNTIF($E$5:E631,E631))</f>
        <v/>
      </c>
    </row>
    <row r="632" spans="2:13" x14ac:dyDescent="0.2">
      <c r="B632" s="10"/>
      <c r="C632" s="7"/>
      <c r="D632" s="11"/>
      <c r="E632" s="6"/>
      <c r="F632" s="12" t="str">
        <f t="shared" si="18"/>
        <v/>
      </c>
      <c r="G632" s="13" t="str">
        <f t="shared" si="19"/>
        <v/>
      </c>
      <c r="H632" s="9"/>
      <c r="I632" s="9"/>
      <c r="J632" s="14" t="str">
        <f>IF(E632="","",IFERROR(VLOOKUP(E632,TabProd,5,FALSE),0)+SUMIFS($H$5:H632,$E$5:E632,E632)-SUMIFS($I$5:I632,$E$5:E632,E632))</f>
        <v/>
      </c>
      <c r="K632" s="7"/>
      <c r="L632" s="7"/>
      <c r="M632" s="1" t="str">
        <f>IF(E632="","",E632&amp;"|"&amp;COUNTIF($E$5:E632,E632))</f>
        <v/>
      </c>
    </row>
    <row r="633" spans="2:13" x14ac:dyDescent="0.2">
      <c r="B633" s="10"/>
      <c r="C633" s="7"/>
      <c r="D633" s="11"/>
      <c r="E633" s="6"/>
      <c r="F633" s="12" t="str">
        <f t="shared" si="18"/>
        <v/>
      </c>
      <c r="G633" s="13" t="str">
        <f t="shared" si="19"/>
        <v/>
      </c>
      <c r="H633" s="9"/>
      <c r="I633" s="9"/>
      <c r="J633" s="14" t="str">
        <f>IF(E633="","",IFERROR(VLOOKUP(E633,TabProd,5,FALSE),0)+SUMIFS($H$5:H633,$E$5:E633,E633)-SUMIFS($I$5:I633,$E$5:E633,E633))</f>
        <v/>
      </c>
      <c r="K633" s="7"/>
      <c r="L633" s="7"/>
      <c r="M633" s="1" t="str">
        <f>IF(E633="","",E633&amp;"|"&amp;COUNTIF($E$5:E633,E633))</f>
        <v/>
      </c>
    </row>
    <row r="634" spans="2:13" x14ac:dyDescent="0.2">
      <c r="B634" s="10"/>
      <c r="C634" s="7"/>
      <c r="D634" s="11"/>
      <c r="E634" s="6"/>
      <c r="F634" s="12" t="str">
        <f t="shared" si="18"/>
        <v/>
      </c>
      <c r="G634" s="13" t="str">
        <f t="shared" si="19"/>
        <v/>
      </c>
      <c r="H634" s="9"/>
      <c r="I634" s="9"/>
      <c r="J634" s="14" t="str">
        <f>IF(E634="","",IFERROR(VLOOKUP(E634,TabProd,5,FALSE),0)+SUMIFS($H$5:H634,$E$5:E634,E634)-SUMIFS($I$5:I634,$E$5:E634,E634))</f>
        <v/>
      </c>
      <c r="K634" s="7"/>
      <c r="L634" s="7"/>
      <c r="M634" s="1" t="str">
        <f>IF(E634="","",E634&amp;"|"&amp;COUNTIF($E$5:E634,E634))</f>
        <v/>
      </c>
    </row>
    <row r="635" spans="2:13" x14ac:dyDescent="0.2">
      <c r="B635" s="10"/>
      <c r="C635" s="7"/>
      <c r="D635" s="11"/>
      <c r="E635" s="6"/>
      <c r="F635" s="12" t="str">
        <f t="shared" si="18"/>
        <v/>
      </c>
      <c r="G635" s="13" t="str">
        <f t="shared" si="19"/>
        <v/>
      </c>
      <c r="H635" s="9"/>
      <c r="I635" s="9"/>
      <c r="J635" s="14" t="str">
        <f>IF(E635="","",IFERROR(VLOOKUP(E635,TabProd,5,FALSE),0)+SUMIFS($H$5:H635,$E$5:E635,E635)-SUMIFS($I$5:I635,$E$5:E635,E635))</f>
        <v/>
      </c>
      <c r="K635" s="7"/>
      <c r="L635" s="7"/>
      <c r="M635" s="1" t="str">
        <f>IF(E635="","",E635&amp;"|"&amp;COUNTIF($E$5:E635,E635))</f>
        <v/>
      </c>
    </row>
    <row r="636" spans="2:13" x14ac:dyDescent="0.2">
      <c r="B636" s="10"/>
      <c r="C636" s="7"/>
      <c r="D636" s="11"/>
      <c r="E636" s="6"/>
      <c r="F636" s="12" t="str">
        <f t="shared" si="18"/>
        <v/>
      </c>
      <c r="G636" s="13" t="str">
        <f t="shared" si="19"/>
        <v/>
      </c>
      <c r="H636" s="9"/>
      <c r="I636" s="9"/>
      <c r="J636" s="14" t="str">
        <f>IF(E636="","",IFERROR(VLOOKUP(E636,TabProd,5,FALSE),0)+SUMIFS($H$5:H636,$E$5:E636,E636)-SUMIFS($I$5:I636,$E$5:E636,E636))</f>
        <v/>
      </c>
      <c r="K636" s="7"/>
      <c r="L636" s="7"/>
      <c r="M636" s="1" t="str">
        <f>IF(E636="","",E636&amp;"|"&amp;COUNTIF($E$5:E636,E636))</f>
        <v/>
      </c>
    </row>
    <row r="637" spans="2:13" x14ac:dyDescent="0.2">
      <c r="B637" s="10"/>
      <c r="C637" s="7"/>
      <c r="D637" s="11"/>
      <c r="E637" s="6"/>
      <c r="F637" s="12" t="str">
        <f t="shared" si="18"/>
        <v/>
      </c>
      <c r="G637" s="13" t="str">
        <f t="shared" si="19"/>
        <v/>
      </c>
      <c r="H637" s="9"/>
      <c r="I637" s="9"/>
      <c r="J637" s="14" t="str">
        <f>IF(E637="","",IFERROR(VLOOKUP(E637,TabProd,5,FALSE),0)+SUMIFS($H$5:H637,$E$5:E637,E637)-SUMIFS($I$5:I637,$E$5:E637,E637))</f>
        <v/>
      </c>
      <c r="K637" s="7"/>
      <c r="L637" s="7"/>
      <c r="M637" s="1" t="str">
        <f>IF(E637="","",E637&amp;"|"&amp;COUNTIF($E$5:E637,E637))</f>
        <v/>
      </c>
    </row>
    <row r="638" spans="2:13" x14ac:dyDescent="0.2">
      <c r="B638" s="10"/>
      <c r="C638" s="7"/>
      <c r="D638" s="11"/>
      <c r="E638" s="6"/>
      <c r="F638" s="12" t="str">
        <f t="shared" si="18"/>
        <v/>
      </c>
      <c r="G638" s="13" t="str">
        <f t="shared" si="19"/>
        <v/>
      </c>
      <c r="H638" s="9"/>
      <c r="I638" s="9"/>
      <c r="J638" s="14" t="str">
        <f>IF(E638="","",IFERROR(VLOOKUP(E638,TabProd,5,FALSE),0)+SUMIFS($H$5:H638,$E$5:E638,E638)-SUMIFS($I$5:I638,$E$5:E638,E638))</f>
        <v/>
      </c>
      <c r="K638" s="7"/>
      <c r="L638" s="7"/>
      <c r="M638" s="1" t="str">
        <f>IF(E638="","",E638&amp;"|"&amp;COUNTIF($E$5:E638,E638))</f>
        <v/>
      </c>
    </row>
    <row r="639" spans="2:13" x14ac:dyDescent="0.2">
      <c r="B639" s="10"/>
      <c r="C639" s="7"/>
      <c r="D639" s="11"/>
      <c r="E639" s="6"/>
      <c r="F639" s="12" t="str">
        <f t="shared" si="18"/>
        <v/>
      </c>
      <c r="G639" s="13" t="str">
        <f t="shared" si="19"/>
        <v/>
      </c>
      <c r="H639" s="9"/>
      <c r="I639" s="9"/>
      <c r="J639" s="14" t="str">
        <f>IF(E639="","",IFERROR(VLOOKUP(E639,TabProd,5,FALSE),0)+SUMIFS($H$5:H639,$E$5:E639,E639)-SUMIFS($I$5:I639,$E$5:E639,E639))</f>
        <v/>
      </c>
      <c r="K639" s="7"/>
      <c r="L639" s="7"/>
      <c r="M639" s="1" t="str">
        <f>IF(E639="","",E639&amp;"|"&amp;COUNTIF($E$5:E639,E639))</f>
        <v/>
      </c>
    </row>
    <row r="640" spans="2:13" x14ac:dyDescent="0.2">
      <c r="B640" s="10"/>
      <c r="C640" s="7"/>
      <c r="D640" s="11"/>
      <c r="E640" s="6"/>
      <c r="F640" s="12" t="str">
        <f t="shared" si="18"/>
        <v/>
      </c>
      <c r="G640" s="13" t="str">
        <f t="shared" si="19"/>
        <v/>
      </c>
      <c r="H640" s="9"/>
      <c r="I640" s="9"/>
      <c r="J640" s="14" t="str">
        <f>IF(E640="","",IFERROR(VLOOKUP(E640,TabProd,5,FALSE),0)+SUMIFS($H$5:H640,$E$5:E640,E640)-SUMIFS($I$5:I640,$E$5:E640,E640))</f>
        <v/>
      </c>
      <c r="K640" s="7"/>
      <c r="L640" s="7"/>
      <c r="M640" s="1" t="str">
        <f>IF(E640="","",E640&amp;"|"&amp;COUNTIF($E$5:E640,E640))</f>
        <v/>
      </c>
    </row>
    <row r="641" spans="2:13" x14ac:dyDescent="0.2">
      <c r="B641" s="10"/>
      <c r="C641" s="7"/>
      <c r="D641" s="11"/>
      <c r="E641" s="6"/>
      <c r="F641" s="12" t="str">
        <f t="shared" si="18"/>
        <v/>
      </c>
      <c r="G641" s="13" t="str">
        <f t="shared" si="19"/>
        <v/>
      </c>
      <c r="H641" s="9"/>
      <c r="I641" s="9"/>
      <c r="J641" s="14" t="str">
        <f>IF(E641="","",IFERROR(VLOOKUP(E641,TabProd,5,FALSE),0)+SUMIFS($H$5:H641,$E$5:E641,E641)-SUMIFS($I$5:I641,$E$5:E641,E641))</f>
        <v/>
      </c>
      <c r="K641" s="7"/>
      <c r="L641" s="7"/>
      <c r="M641" s="1" t="str">
        <f>IF(E641="","",E641&amp;"|"&amp;COUNTIF($E$5:E641,E641))</f>
        <v/>
      </c>
    </row>
    <row r="642" spans="2:13" x14ac:dyDescent="0.2">
      <c r="B642" s="10"/>
      <c r="C642" s="7"/>
      <c r="D642" s="11"/>
      <c r="E642" s="6"/>
      <c r="F642" s="12" t="str">
        <f t="shared" si="18"/>
        <v/>
      </c>
      <c r="G642" s="13" t="str">
        <f t="shared" si="19"/>
        <v/>
      </c>
      <c r="H642" s="9"/>
      <c r="I642" s="9"/>
      <c r="J642" s="14" t="str">
        <f>IF(E642="","",IFERROR(VLOOKUP(E642,TabProd,5,FALSE),0)+SUMIFS($H$5:H642,$E$5:E642,E642)-SUMIFS($I$5:I642,$E$5:E642,E642))</f>
        <v/>
      </c>
      <c r="K642" s="7"/>
      <c r="L642" s="7"/>
      <c r="M642" s="1" t="str">
        <f>IF(E642="","",E642&amp;"|"&amp;COUNTIF($E$5:E642,E642))</f>
        <v/>
      </c>
    </row>
    <row r="643" spans="2:13" x14ac:dyDescent="0.2">
      <c r="B643" s="10"/>
      <c r="C643" s="7"/>
      <c r="D643" s="11"/>
      <c r="E643" s="6"/>
      <c r="F643" s="12" t="str">
        <f t="shared" si="18"/>
        <v/>
      </c>
      <c r="G643" s="13" t="str">
        <f t="shared" si="19"/>
        <v/>
      </c>
      <c r="H643" s="9"/>
      <c r="I643" s="9"/>
      <c r="J643" s="14" t="str">
        <f>IF(E643="","",IFERROR(VLOOKUP(E643,TabProd,5,FALSE),0)+SUMIFS($H$5:H643,$E$5:E643,E643)-SUMIFS($I$5:I643,$E$5:E643,E643))</f>
        <v/>
      </c>
      <c r="K643" s="7"/>
      <c r="L643" s="7"/>
      <c r="M643" s="1" t="str">
        <f>IF(E643="","",E643&amp;"|"&amp;COUNTIF($E$5:E643,E643))</f>
        <v/>
      </c>
    </row>
    <row r="644" spans="2:13" x14ac:dyDescent="0.2">
      <c r="B644" s="10"/>
      <c r="C644" s="7"/>
      <c r="D644" s="11"/>
      <c r="E644" s="6"/>
      <c r="F644" s="12" t="str">
        <f t="shared" si="18"/>
        <v/>
      </c>
      <c r="G644" s="13" t="str">
        <f t="shared" si="19"/>
        <v/>
      </c>
      <c r="H644" s="9"/>
      <c r="I644" s="9"/>
      <c r="J644" s="14" t="str">
        <f>IF(E644="","",IFERROR(VLOOKUP(E644,TabProd,5,FALSE),0)+SUMIFS($H$5:H644,$E$5:E644,E644)-SUMIFS($I$5:I644,$E$5:E644,E644))</f>
        <v/>
      </c>
      <c r="K644" s="7"/>
      <c r="L644" s="7"/>
      <c r="M644" s="1" t="str">
        <f>IF(E644="","",E644&amp;"|"&amp;COUNTIF($E$5:E644,E644))</f>
        <v/>
      </c>
    </row>
    <row r="645" spans="2:13" x14ac:dyDescent="0.2">
      <c r="B645" s="10"/>
      <c r="C645" s="7"/>
      <c r="D645" s="11"/>
      <c r="E645" s="6"/>
      <c r="F645" s="12" t="str">
        <f t="shared" ref="F645:F708" si="20">IF(E645="","",IFERROR(VLOOKUP(E645,TabProd,2,FALSE),"Cod inexistent"))</f>
        <v/>
      </c>
      <c r="G645" s="13" t="str">
        <f t="shared" ref="G645:G708" si="21">IF(E645="","",IFERROR(VLOOKUP(E645,TabProd,3,FALSE),""))</f>
        <v/>
      </c>
      <c r="H645" s="9"/>
      <c r="I645" s="9"/>
      <c r="J645" s="14" t="str">
        <f>IF(E645="","",IFERROR(VLOOKUP(E645,TabProd,5,FALSE),0)+SUMIFS($H$5:H645,$E$5:E645,E645)-SUMIFS($I$5:I645,$E$5:E645,E645))</f>
        <v/>
      </c>
      <c r="K645" s="7"/>
      <c r="L645" s="7"/>
      <c r="M645" s="1" t="str">
        <f>IF(E645="","",E645&amp;"|"&amp;COUNTIF($E$5:E645,E645))</f>
        <v/>
      </c>
    </row>
    <row r="646" spans="2:13" x14ac:dyDescent="0.2">
      <c r="B646" s="10"/>
      <c r="C646" s="7"/>
      <c r="D646" s="11"/>
      <c r="E646" s="6"/>
      <c r="F646" s="12" t="str">
        <f t="shared" si="20"/>
        <v/>
      </c>
      <c r="G646" s="13" t="str">
        <f t="shared" si="21"/>
        <v/>
      </c>
      <c r="H646" s="9"/>
      <c r="I646" s="9"/>
      <c r="J646" s="14" t="str">
        <f>IF(E646="","",IFERROR(VLOOKUP(E646,TabProd,5,FALSE),0)+SUMIFS($H$5:H646,$E$5:E646,E646)-SUMIFS($I$5:I646,$E$5:E646,E646))</f>
        <v/>
      </c>
      <c r="K646" s="7"/>
      <c r="L646" s="7"/>
      <c r="M646" s="1" t="str">
        <f>IF(E646="","",E646&amp;"|"&amp;COUNTIF($E$5:E646,E646))</f>
        <v/>
      </c>
    </row>
    <row r="647" spans="2:13" x14ac:dyDescent="0.2">
      <c r="B647" s="10"/>
      <c r="C647" s="7"/>
      <c r="D647" s="11"/>
      <c r="E647" s="6"/>
      <c r="F647" s="12" t="str">
        <f t="shared" si="20"/>
        <v/>
      </c>
      <c r="G647" s="13" t="str">
        <f t="shared" si="21"/>
        <v/>
      </c>
      <c r="H647" s="9"/>
      <c r="I647" s="9"/>
      <c r="J647" s="14" t="str">
        <f>IF(E647="","",IFERROR(VLOOKUP(E647,TabProd,5,FALSE),0)+SUMIFS($H$5:H647,$E$5:E647,E647)-SUMIFS($I$5:I647,$E$5:E647,E647))</f>
        <v/>
      </c>
      <c r="K647" s="7"/>
      <c r="L647" s="7"/>
      <c r="M647" s="1" t="str">
        <f>IF(E647="","",E647&amp;"|"&amp;COUNTIF($E$5:E647,E647))</f>
        <v/>
      </c>
    </row>
    <row r="648" spans="2:13" x14ac:dyDescent="0.2">
      <c r="B648" s="10"/>
      <c r="C648" s="7"/>
      <c r="D648" s="11"/>
      <c r="E648" s="6"/>
      <c r="F648" s="12" t="str">
        <f t="shared" si="20"/>
        <v/>
      </c>
      <c r="G648" s="13" t="str">
        <f t="shared" si="21"/>
        <v/>
      </c>
      <c r="H648" s="9"/>
      <c r="I648" s="9"/>
      <c r="J648" s="14" t="str">
        <f>IF(E648="","",IFERROR(VLOOKUP(E648,TabProd,5,FALSE),0)+SUMIFS($H$5:H648,$E$5:E648,E648)-SUMIFS($I$5:I648,$E$5:E648,E648))</f>
        <v/>
      </c>
      <c r="K648" s="7"/>
      <c r="L648" s="7"/>
      <c r="M648" s="1" t="str">
        <f>IF(E648="","",E648&amp;"|"&amp;COUNTIF($E$5:E648,E648))</f>
        <v/>
      </c>
    </row>
    <row r="649" spans="2:13" x14ac:dyDescent="0.2">
      <c r="B649" s="10"/>
      <c r="C649" s="7"/>
      <c r="D649" s="11"/>
      <c r="E649" s="6"/>
      <c r="F649" s="12" t="str">
        <f t="shared" si="20"/>
        <v/>
      </c>
      <c r="G649" s="13" t="str">
        <f t="shared" si="21"/>
        <v/>
      </c>
      <c r="H649" s="9"/>
      <c r="I649" s="9"/>
      <c r="J649" s="14" t="str">
        <f>IF(E649="","",IFERROR(VLOOKUP(E649,TabProd,5,FALSE),0)+SUMIFS($H$5:H649,$E$5:E649,E649)-SUMIFS($I$5:I649,$E$5:E649,E649))</f>
        <v/>
      </c>
      <c r="K649" s="7"/>
      <c r="L649" s="7"/>
      <c r="M649" s="1" t="str">
        <f>IF(E649="","",E649&amp;"|"&amp;COUNTIF($E$5:E649,E649))</f>
        <v/>
      </c>
    </row>
    <row r="650" spans="2:13" x14ac:dyDescent="0.2">
      <c r="B650" s="10"/>
      <c r="C650" s="7"/>
      <c r="D650" s="11"/>
      <c r="E650" s="6"/>
      <c r="F650" s="12" t="str">
        <f t="shared" si="20"/>
        <v/>
      </c>
      <c r="G650" s="13" t="str">
        <f t="shared" si="21"/>
        <v/>
      </c>
      <c r="H650" s="9"/>
      <c r="I650" s="9"/>
      <c r="J650" s="14" t="str">
        <f>IF(E650="","",IFERROR(VLOOKUP(E650,TabProd,5,FALSE),0)+SUMIFS($H$5:H650,$E$5:E650,E650)-SUMIFS($I$5:I650,$E$5:E650,E650))</f>
        <v/>
      </c>
      <c r="K650" s="7"/>
      <c r="L650" s="7"/>
      <c r="M650" s="1" t="str">
        <f>IF(E650="","",E650&amp;"|"&amp;COUNTIF($E$5:E650,E650))</f>
        <v/>
      </c>
    </row>
    <row r="651" spans="2:13" x14ac:dyDescent="0.2">
      <c r="B651" s="10"/>
      <c r="C651" s="7"/>
      <c r="D651" s="11"/>
      <c r="E651" s="6"/>
      <c r="F651" s="12" t="str">
        <f t="shared" si="20"/>
        <v/>
      </c>
      <c r="G651" s="13" t="str">
        <f t="shared" si="21"/>
        <v/>
      </c>
      <c r="H651" s="9"/>
      <c r="I651" s="9"/>
      <c r="J651" s="14" t="str">
        <f>IF(E651="","",IFERROR(VLOOKUP(E651,TabProd,5,FALSE),0)+SUMIFS($H$5:H651,$E$5:E651,E651)-SUMIFS($I$5:I651,$E$5:E651,E651))</f>
        <v/>
      </c>
      <c r="K651" s="7"/>
      <c r="L651" s="7"/>
      <c r="M651" s="1" t="str">
        <f>IF(E651="","",E651&amp;"|"&amp;COUNTIF($E$5:E651,E651))</f>
        <v/>
      </c>
    </row>
    <row r="652" spans="2:13" x14ac:dyDescent="0.2">
      <c r="B652" s="10"/>
      <c r="C652" s="7"/>
      <c r="D652" s="11"/>
      <c r="E652" s="6"/>
      <c r="F652" s="12" t="str">
        <f t="shared" si="20"/>
        <v/>
      </c>
      <c r="G652" s="13" t="str">
        <f t="shared" si="21"/>
        <v/>
      </c>
      <c r="H652" s="9"/>
      <c r="I652" s="9"/>
      <c r="J652" s="14" t="str">
        <f>IF(E652="","",IFERROR(VLOOKUP(E652,TabProd,5,FALSE),0)+SUMIFS($H$5:H652,$E$5:E652,E652)-SUMIFS($I$5:I652,$E$5:E652,E652))</f>
        <v/>
      </c>
      <c r="K652" s="7"/>
      <c r="L652" s="7"/>
      <c r="M652" s="1" t="str">
        <f>IF(E652="","",E652&amp;"|"&amp;COUNTIF($E$5:E652,E652))</f>
        <v/>
      </c>
    </row>
    <row r="653" spans="2:13" x14ac:dyDescent="0.2">
      <c r="B653" s="10"/>
      <c r="C653" s="7"/>
      <c r="D653" s="11"/>
      <c r="E653" s="6"/>
      <c r="F653" s="12" t="str">
        <f t="shared" si="20"/>
        <v/>
      </c>
      <c r="G653" s="13" t="str">
        <f t="shared" si="21"/>
        <v/>
      </c>
      <c r="H653" s="9"/>
      <c r="I653" s="9"/>
      <c r="J653" s="14" t="str">
        <f>IF(E653="","",IFERROR(VLOOKUP(E653,TabProd,5,FALSE),0)+SUMIFS($H$5:H653,$E$5:E653,E653)-SUMIFS($I$5:I653,$E$5:E653,E653))</f>
        <v/>
      </c>
      <c r="K653" s="7"/>
      <c r="L653" s="7"/>
      <c r="M653" s="1" t="str">
        <f>IF(E653="","",E653&amp;"|"&amp;COUNTIF($E$5:E653,E653))</f>
        <v/>
      </c>
    </row>
    <row r="654" spans="2:13" x14ac:dyDescent="0.2">
      <c r="B654" s="10"/>
      <c r="C654" s="7"/>
      <c r="D654" s="11"/>
      <c r="E654" s="6"/>
      <c r="F654" s="12" t="str">
        <f t="shared" si="20"/>
        <v/>
      </c>
      <c r="G654" s="13" t="str">
        <f t="shared" si="21"/>
        <v/>
      </c>
      <c r="H654" s="9"/>
      <c r="I654" s="9"/>
      <c r="J654" s="14" t="str">
        <f>IF(E654="","",IFERROR(VLOOKUP(E654,TabProd,5,FALSE),0)+SUMIFS($H$5:H654,$E$5:E654,E654)-SUMIFS($I$5:I654,$E$5:E654,E654))</f>
        <v/>
      </c>
      <c r="K654" s="7"/>
      <c r="L654" s="7"/>
      <c r="M654" s="1" t="str">
        <f>IF(E654="","",E654&amp;"|"&amp;COUNTIF($E$5:E654,E654))</f>
        <v/>
      </c>
    </row>
    <row r="655" spans="2:13" x14ac:dyDescent="0.2">
      <c r="B655" s="10"/>
      <c r="C655" s="7"/>
      <c r="D655" s="11"/>
      <c r="E655" s="6"/>
      <c r="F655" s="12" t="str">
        <f t="shared" si="20"/>
        <v/>
      </c>
      <c r="G655" s="13" t="str">
        <f t="shared" si="21"/>
        <v/>
      </c>
      <c r="H655" s="9"/>
      <c r="I655" s="9"/>
      <c r="J655" s="14" t="str">
        <f>IF(E655="","",IFERROR(VLOOKUP(E655,TabProd,5,FALSE),0)+SUMIFS($H$5:H655,$E$5:E655,E655)-SUMIFS($I$5:I655,$E$5:E655,E655))</f>
        <v/>
      </c>
      <c r="K655" s="7"/>
      <c r="L655" s="7"/>
      <c r="M655" s="1" t="str">
        <f>IF(E655="","",E655&amp;"|"&amp;COUNTIF($E$5:E655,E655))</f>
        <v/>
      </c>
    </row>
    <row r="656" spans="2:13" x14ac:dyDescent="0.2">
      <c r="B656" s="10"/>
      <c r="C656" s="7"/>
      <c r="D656" s="11"/>
      <c r="E656" s="6"/>
      <c r="F656" s="12" t="str">
        <f t="shared" si="20"/>
        <v/>
      </c>
      <c r="G656" s="13" t="str">
        <f t="shared" si="21"/>
        <v/>
      </c>
      <c r="H656" s="9"/>
      <c r="I656" s="9"/>
      <c r="J656" s="14" t="str">
        <f>IF(E656="","",IFERROR(VLOOKUP(E656,TabProd,5,FALSE),0)+SUMIFS($H$5:H656,$E$5:E656,E656)-SUMIFS($I$5:I656,$E$5:E656,E656))</f>
        <v/>
      </c>
      <c r="K656" s="7"/>
      <c r="L656" s="7"/>
      <c r="M656" s="1" t="str">
        <f>IF(E656="","",E656&amp;"|"&amp;COUNTIF($E$5:E656,E656))</f>
        <v/>
      </c>
    </row>
    <row r="657" spans="2:13" x14ac:dyDescent="0.2">
      <c r="B657" s="10"/>
      <c r="C657" s="7"/>
      <c r="D657" s="11"/>
      <c r="E657" s="6"/>
      <c r="F657" s="12" t="str">
        <f t="shared" si="20"/>
        <v/>
      </c>
      <c r="G657" s="13" t="str">
        <f t="shared" si="21"/>
        <v/>
      </c>
      <c r="H657" s="9"/>
      <c r="I657" s="9"/>
      <c r="J657" s="14" t="str">
        <f>IF(E657="","",IFERROR(VLOOKUP(E657,TabProd,5,FALSE),0)+SUMIFS($H$5:H657,$E$5:E657,E657)-SUMIFS($I$5:I657,$E$5:E657,E657))</f>
        <v/>
      </c>
      <c r="K657" s="7"/>
      <c r="L657" s="7"/>
      <c r="M657" s="1" t="str">
        <f>IF(E657="","",E657&amp;"|"&amp;COUNTIF($E$5:E657,E657))</f>
        <v/>
      </c>
    </row>
    <row r="658" spans="2:13" x14ac:dyDescent="0.2">
      <c r="B658" s="10"/>
      <c r="C658" s="7"/>
      <c r="D658" s="11"/>
      <c r="E658" s="6"/>
      <c r="F658" s="12" t="str">
        <f t="shared" si="20"/>
        <v/>
      </c>
      <c r="G658" s="13" t="str">
        <f t="shared" si="21"/>
        <v/>
      </c>
      <c r="H658" s="9"/>
      <c r="I658" s="9"/>
      <c r="J658" s="14" t="str">
        <f>IF(E658="","",IFERROR(VLOOKUP(E658,TabProd,5,FALSE),0)+SUMIFS($H$5:H658,$E$5:E658,E658)-SUMIFS($I$5:I658,$E$5:E658,E658))</f>
        <v/>
      </c>
      <c r="K658" s="7"/>
      <c r="L658" s="7"/>
      <c r="M658" s="1" t="str">
        <f>IF(E658="","",E658&amp;"|"&amp;COUNTIF($E$5:E658,E658))</f>
        <v/>
      </c>
    </row>
    <row r="659" spans="2:13" x14ac:dyDescent="0.2">
      <c r="B659" s="10"/>
      <c r="C659" s="7"/>
      <c r="D659" s="11"/>
      <c r="E659" s="6"/>
      <c r="F659" s="12" t="str">
        <f t="shared" si="20"/>
        <v/>
      </c>
      <c r="G659" s="13" t="str">
        <f t="shared" si="21"/>
        <v/>
      </c>
      <c r="H659" s="9"/>
      <c r="I659" s="9"/>
      <c r="J659" s="14" t="str">
        <f>IF(E659="","",IFERROR(VLOOKUP(E659,TabProd,5,FALSE),0)+SUMIFS($H$5:H659,$E$5:E659,E659)-SUMIFS($I$5:I659,$E$5:E659,E659))</f>
        <v/>
      </c>
      <c r="K659" s="7"/>
      <c r="L659" s="7"/>
      <c r="M659" s="1" t="str">
        <f>IF(E659="","",E659&amp;"|"&amp;COUNTIF($E$5:E659,E659))</f>
        <v/>
      </c>
    </row>
    <row r="660" spans="2:13" x14ac:dyDescent="0.2">
      <c r="B660" s="10"/>
      <c r="C660" s="7"/>
      <c r="D660" s="11"/>
      <c r="E660" s="6"/>
      <c r="F660" s="12" t="str">
        <f t="shared" si="20"/>
        <v/>
      </c>
      <c r="G660" s="13" t="str">
        <f t="shared" si="21"/>
        <v/>
      </c>
      <c r="H660" s="9"/>
      <c r="I660" s="9"/>
      <c r="J660" s="14" t="str">
        <f>IF(E660="","",IFERROR(VLOOKUP(E660,TabProd,5,FALSE),0)+SUMIFS($H$5:H660,$E$5:E660,E660)-SUMIFS($I$5:I660,$E$5:E660,E660))</f>
        <v/>
      </c>
      <c r="K660" s="7"/>
      <c r="L660" s="7"/>
      <c r="M660" s="1" t="str">
        <f>IF(E660="","",E660&amp;"|"&amp;COUNTIF($E$5:E660,E660))</f>
        <v/>
      </c>
    </row>
    <row r="661" spans="2:13" x14ac:dyDescent="0.2">
      <c r="B661" s="10"/>
      <c r="C661" s="7"/>
      <c r="D661" s="11"/>
      <c r="E661" s="6"/>
      <c r="F661" s="12" t="str">
        <f t="shared" si="20"/>
        <v/>
      </c>
      <c r="G661" s="13" t="str">
        <f t="shared" si="21"/>
        <v/>
      </c>
      <c r="H661" s="9"/>
      <c r="I661" s="9"/>
      <c r="J661" s="14" t="str">
        <f>IF(E661="","",IFERROR(VLOOKUP(E661,TabProd,5,FALSE),0)+SUMIFS($H$5:H661,$E$5:E661,E661)-SUMIFS($I$5:I661,$E$5:E661,E661))</f>
        <v/>
      </c>
      <c r="K661" s="7"/>
      <c r="L661" s="7"/>
      <c r="M661" s="1" t="str">
        <f>IF(E661="","",E661&amp;"|"&amp;COUNTIF($E$5:E661,E661))</f>
        <v/>
      </c>
    </row>
    <row r="662" spans="2:13" x14ac:dyDescent="0.2">
      <c r="B662" s="10"/>
      <c r="C662" s="7"/>
      <c r="D662" s="11"/>
      <c r="E662" s="6"/>
      <c r="F662" s="12" t="str">
        <f t="shared" si="20"/>
        <v/>
      </c>
      <c r="G662" s="13" t="str">
        <f t="shared" si="21"/>
        <v/>
      </c>
      <c r="H662" s="9"/>
      <c r="I662" s="9"/>
      <c r="J662" s="14" t="str">
        <f>IF(E662="","",IFERROR(VLOOKUP(E662,TabProd,5,FALSE),0)+SUMIFS($H$5:H662,$E$5:E662,E662)-SUMIFS($I$5:I662,$E$5:E662,E662))</f>
        <v/>
      </c>
      <c r="K662" s="7"/>
      <c r="L662" s="7"/>
      <c r="M662" s="1" t="str">
        <f>IF(E662="","",E662&amp;"|"&amp;COUNTIF($E$5:E662,E662))</f>
        <v/>
      </c>
    </row>
    <row r="663" spans="2:13" x14ac:dyDescent="0.2">
      <c r="B663" s="10"/>
      <c r="C663" s="7"/>
      <c r="D663" s="11"/>
      <c r="E663" s="6"/>
      <c r="F663" s="12" t="str">
        <f t="shared" si="20"/>
        <v/>
      </c>
      <c r="G663" s="13" t="str">
        <f t="shared" si="21"/>
        <v/>
      </c>
      <c r="H663" s="9"/>
      <c r="I663" s="9"/>
      <c r="J663" s="14" t="str">
        <f>IF(E663="","",IFERROR(VLOOKUP(E663,TabProd,5,FALSE),0)+SUMIFS($H$5:H663,$E$5:E663,E663)-SUMIFS($I$5:I663,$E$5:E663,E663))</f>
        <v/>
      </c>
      <c r="K663" s="7"/>
      <c r="L663" s="7"/>
      <c r="M663" s="1" t="str">
        <f>IF(E663="","",E663&amp;"|"&amp;COUNTIF($E$5:E663,E663))</f>
        <v/>
      </c>
    </row>
    <row r="664" spans="2:13" x14ac:dyDescent="0.2">
      <c r="B664" s="10"/>
      <c r="C664" s="7"/>
      <c r="D664" s="11"/>
      <c r="E664" s="6"/>
      <c r="F664" s="12" t="str">
        <f t="shared" si="20"/>
        <v/>
      </c>
      <c r="G664" s="13" t="str">
        <f t="shared" si="21"/>
        <v/>
      </c>
      <c r="H664" s="9"/>
      <c r="I664" s="9"/>
      <c r="J664" s="14" t="str">
        <f>IF(E664="","",IFERROR(VLOOKUP(E664,TabProd,5,FALSE),0)+SUMIFS($H$5:H664,$E$5:E664,E664)-SUMIFS($I$5:I664,$E$5:E664,E664))</f>
        <v/>
      </c>
      <c r="K664" s="7"/>
      <c r="L664" s="7"/>
      <c r="M664" s="1" t="str">
        <f>IF(E664="","",E664&amp;"|"&amp;COUNTIF($E$5:E664,E664))</f>
        <v/>
      </c>
    </row>
    <row r="665" spans="2:13" x14ac:dyDescent="0.2">
      <c r="B665" s="10"/>
      <c r="C665" s="7"/>
      <c r="D665" s="11"/>
      <c r="E665" s="6"/>
      <c r="F665" s="12" t="str">
        <f t="shared" si="20"/>
        <v/>
      </c>
      <c r="G665" s="13" t="str">
        <f t="shared" si="21"/>
        <v/>
      </c>
      <c r="H665" s="9"/>
      <c r="I665" s="9"/>
      <c r="J665" s="14" t="str">
        <f>IF(E665="","",IFERROR(VLOOKUP(E665,TabProd,5,FALSE),0)+SUMIFS($H$5:H665,$E$5:E665,E665)-SUMIFS($I$5:I665,$E$5:E665,E665))</f>
        <v/>
      </c>
      <c r="K665" s="7"/>
      <c r="L665" s="7"/>
      <c r="M665" s="1" t="str">
        <f>IF(E665="","",E665&amp;"|"&amp;COUNTIF($E$5:E665,E665))</f>
        <v/>
      </c>
    </row>
    <row r="666" spans="2:13" x14ac:dyDescent="0.2">
      <c r="B666" s="10"/>
      <c r="C666" s="7"/>
      <c r="D666" s="11"/>
      <c r="E666" s="6"/>
      <c r="F666" s="12" t="str">
        <f t="shared" si="20"/>
        <v/>
      </c>
      <c r="G666" s="13" t="str">
        <f t="shared" si="21"/>
        <v/>
      </c>
      <c r="H666" s="9"/>
      <c r="I666" s="9"/>
      <c r="J666" s="14" t="str">
        <f>IF(E666="","",IFERROR(VLOOKUP(E666,TabProd,5,FALSE),0)+SUMIFS($H$5:H666,$E$5:E666,E666)-SUMIFS($I$5:I666,$E$5:E666,E666))</f>
        <v/>
      </c>
      <c r="K666" s="7"/>
      <c r="L666" s="7"/>
      <c r="M666" s="1" t="str">
        <f>IF(E666="","",E666&amp;"|"&amp;COUNTIF($E$5:E666,E666))</f>
        <v/>
      </c>
    </row>
    <row r="667" spans="2:13" x14ac:dyDescent="0.2">
      <c r="B667" s="10"/>
      <c r="C667" s="7"/>
      <c r="D667" s="11"/>
      <c r="E667" s="6"/>
      <c r="F667" s="12" t="str">
        <f t="shared" si="20"/>
        <v/>
      </c>
      <c r="G667" s="13" t="str">
        <f t="shared" si="21"/>
        <v/>
      </c>
      <c r="H667" s="9"/>
      <c r="I667" s="9"/>
      <c r="J667" s="14" t="str">
        <f>IF(E667="","",IFERROR(VLOOKUP(E667,TabProd,5,FALSE),0)+SUMIFS($H$5:H667,$E$5:E667,E667)-SUMIFS($I$5:I667,$E$5:E667,E667))</f>
        <v/>
      </c>
      <c r="K667" s="7"/>
      <c r="L667" s="7"/>
      <c r="M667" s="1" t="str">
        <f>IF(E667="","",E667&amp;"|"&amp;COUNTIF($E$5:E667,E667))</f>
        <v/>
      </c>
    </row>
    <row r="668" spans="2:13" x14ac:dyDescent="0.2">
      <c r="B668" s="10"/>
      <c r="C668" s="7"/>
      <c r="D668" s="11"/>
      <c r="E668" s="6"/>
      <c r="F668" s="12" t="str">
        <f t="shared" si="20"/>
        <v/>
      </c>
      <c r="G668" s="13" t="str">
        <f t="shared" si="21"/>
        <v/>
      </c>
      <c r="H668" s="9"/>
      <c r="I668" s="9"/>
      <c r="J668" s="14" t="str">
        <f>IF(E668="","",IFERROR(VLOOKUP(E668,TabProd,5,FALSE),0)+SUMIFS($H$5:H668,$E$5:E668,E668)-SUMIFS($I$5:I668,$E$5:E668,E668))</f>
        <v/>
      </c>
      <c r="K668" s="7"/>
      <c r="L668" s="7"/>
      <c r="M668" s="1" t="str">
        <f>IF(E668="","",E668&amp;"|"&amp;COUNTIF($E$5:E668,E668))</f>
        <v/>
      </c>
    </row>
    <row r="669" spans="2:13" x14ac:dyDescent="0.2">
      <c r="B669" s="10"/>
      <c r="C669" s="7"/>
      <c r="D669" s="11"/>
      <c r="E669" s="6"/>
      <c r="F669" s="12" t="str">
        <f t="shared" si="20"/>
        <v/>
      </c>
      <c r="G669" s="13" t="str">
        <f t="shared" si="21"/>
        <v/>
      </c>
      <c r="H669" s="9"/>
      <c r="I669" s="9"/>
      <c r="J669" s="14" t="str">
        <f>IF(E669="","",IFERROR(VLOOKUP(E669,TabProd,5,FALSE),0)+SUMIFS($H$5:H669,$E$5:E669,E669)-SUMIFS($I$5:I669,$E$5:E669,E669))</f>
        <v/>
      </c>
      <c r="K669" s="7"/>
      <c r="L669" s="7"/>
      <c r="M669" s="1" t="str">
        <f>IF(E669="","",E669&amp;"|"&amp;COUNTIF($E$5:E669,E669))</f>
        <v/>
      </c>
    </row>
    <row r="670" spans="2:13" x14ac:dyDescent="0.2">
      <c r="B670" s="10"/>
      <c r="C670" s="7"/>
      <c r="D670" s="11"/>
      <c r="E670" s="6"/>
      <c r="F670" s="12" t="str">
        <f t="shared" si="20"/>
        <v/>
      </c>
      <c r="G670" s="13" t="str">
        <f t="shared" si="21"/>
        <v/>
      </c>
      <c r="H670" s="9"/>
      <c r="I670" s="9"/>
      <c r="J670" s="14" t="str">
        <f>IF(E670="","",IFERROR(VLOOKUP(E670,TabProd,5,FALSE),0)+SUMIFS($H$5:H670,$E$5:E670,E670)-SUMIFS($I$5:I670,$E$5:E670,E670))</f>
        <v/>
      </c>
      <c r="K670" s="7"/>
      <c r="L670" s="7"/>
      <c r="M670" s="1" t="str">
        <f>IF(E670="","",E670&amp;"|"&amp;COUNTIF($E$5:E670,E670))</f>
        <v/>
      </c>
    </row>
    <row r="671" spans="2:13" x14ac:dyDescent="0.2">
      <c r="B671" s="10"/>
      <c r="C671" s="7"/>
      <c r="D671" s="11"/>
      <c r="E671" s="6"/>
      <c r="F671" s="12" t="str">
        <f t="shared" si="20"/>
        <v/>
      </c>
      <c r="G671" s="13" t="str">
        <f t="shared" si="21"/>
        <v/>
      </c>
      <c r="H671" s="9"/>
      <c r="I671" s="9"/>
      <c r="J671" s="14" t="str">
        <f>IF(E671="","",IFERROR(VLOOKUP(E671,TabProd,5,FALSE),0)+SUMIFS($H$5:H671,$E$5:E671,E671)-SUMIFS($I$5:I671,$E$5:E671,E671))</f>
        <v/>
      </c>
      <c r="K671" s="7"/>
      <c r="L671" s="7"/>
      <c r="M671" s="1" t="str">
        <f>IF(E671="","",E671&amp;"|"&amp;COUNTIF($E$5:E671,E671))</f>
        <v/>
      </c>
    </row>
    <row r="672" spans="2:13" x14ac:dyDescent="0.2">
      <c r="B672" s="10"/>
      <c r="C672" s="7"/>
      <c r="D672" s="11"/>
      <c r="E672" s="6"/>
      <c r="F672" s="12" t="str">
        <f t="shared" si="20"/>
        <v/>
      </c>
      <c r="G672" s="13" t="str">
        <f t="shared" si="21"/>
        <v/>
      </c>
      <c r="H672" s="9"/>
      <c r="I672" s="9"/>
      <c r="J672" s="14" t="str">
        <f>IF(E672="","",IFERROR(VLOOKUP(E672,TabProd,5,FALSE),0)+SUMIFS($H$5:H672,$E$5:E672,E672)-SUMIFS($I$5:I672,$E$5:E672,E672))</f>
        <v/>
      </c>
      <c r="K672" s="7"/>
      <c r="L672" s="7"/>
      <c r="M672" s="1" t="str">
        <f>IF(E672="","",E672&amp;"|"&amp;COUNTIF($E$5:E672,E672))</f>
        <v/>
      </c>
    </row>
    <row r="673" spans="2:13" x14ac:dyDescent="0.2">
      <c r="B673" s="10"/>
      <c r="C673" s="7"/>
      <c r="D673" s="11"/>
      <c r="E673" s="6"/>
      <c r="F673" s="12" t="str">
        <f t="shared" si="20"/>
        <v/>
      </c>
      <c r="G673" s="13" t="str">
        <f t="shared" si="21"/>
        <v/>
      </c>
      <c r="H673" s="9"/>
      <c r="I673" s="9"/>
      <c r="J673" s="14" t="str">
        <f>IF(E673="","",IFERROR(VLOOKUP(E673,TabProd,5,FALSE),0)+SUMIFS($H$5:H673,$E$5:E673,E673)-SUMIFS($I$5:I673,$E$5:E673,E673))</f>
        <v/>
      </c>
      <c r="K673" s="7"/>
      <c r="L673" s="7"/>
      <c r="M673" s="1" t="str">
        <f>IF(E673="","",E673&amp;"|"&amp;COUNTIF($E$5:E673,E673))</f>
        <v/>
      </c>
    </row>
    <row r="674" spans="2:13" x14ac:dyDescent="0.2">
      <c r="B674" s="10"/>
      <c r="C674" s="7"/>
      <c r="D674" s="11"/>
      <c r="E674" s="6"/>
      <c r="F674" s="12" t="str">
        <f t="shared" si="20"/>
        <v/>
      </c>
      <c r="G674" s="13" t="str">
        <f t="shared" si="21"/>
        <v/>
      </c>
      <c r="H674" s="9"/>
      <c r="I674" s="9"/>
      <c r="J674" s="14" t="str">
        <f>IF(E674="","",IFERROR(VLOOKUP(E674,TabProd,5,FALSE),0)+SUMIFS($H$5:H674,$E$5:E674,E674)-SUMIFS($I$5:I674,$E$5:E674,E674))</f>
        <v/>
      </c>
      <c r="K674" s="7"/>
      <c r="L674" s="7"/>
      <c r="M674" s="1" t="str">
        <f>IF(E674="","",E674&amp;"|"&amp;COUNTIF($E$5:E674,E674))</f>
        <v/>
      </c>
    </row>
    <row r="675" spans="2:13" x14ac:dyDescent="0.2">
      <c r="B675" s="10"/>
      <c r="C675" s="7"/>
      <c r="D675" s="11"/>
      <c r="E675" s="6"/>
      <c r="F675" s="12" t="str">
        <f t="shared" si="20"/>
        <v/>
      </c>
      <c r="G675" s="13" t="str">
        <f t="shared" si="21"/>
        <v/>
      </c>
      <c r="H675" s="9"/>
      <c r="I675" s="9"/>
      <c r="J675" s="14" t="str">
        <f>IF(E675="","",IFERROR(VLOOKUP(E675,TabProd,5,FALSE),0)+SUMIFS($H$5:H675,$E$5:E675,E675)-SUMIFS($I$5:I675,$E$5:E675,E675))</f>
        <v/>
      </c>
      <c r="K675" s="7"/>
      <c r="L675" s="7"/>
      <c r="M675" s="1" t="str">
        <f>IF(E675="","",E675&amp;"|"&amp;COUNTIF($E$5:E675,E675))</f>
        <v/>
      </c>
    </row>
    <row r="676" spans="2:13" x14ac:dyDescent="0.2">
      <c r="B676" s="10"/>
      <c r="C676" s="7"/>
      <c r="D676" s="11"/>
      <c r="E676" s="6"/>
      <c r="F676" s="12" t="str">
        <f t="shared" si="20"/>
        <v/>
      </c>
      <c r="G676" s="13" t="str">
        <f t="shared" si="21"/>
        <v/>
      </c>
      <c r="H676" s="9"/>
      <c r="I676" s="9"/>
      <c r="J676" s="14" t="str">
        <f>IF(E676="","",IFERROR(VLOOKUP(E676,TabProd,5,FALSE),0)+SUMIFS($H$5:H676,$E$5:E676,E676)-SUMIFS($I$5:I676,$E$5:E676,E676))</f>
        <v/>
      </c>
      <c r="K676" s="7"/>
      <c r="L676" s="7"/>
      <c r="M676" s="1" t="str">
        <f>IF(E676="","",E676&amp;"|"&amp;COUNTIF($E$5:E676,E676))</f>
        <v/>
      </c>
    </row>
    <row r="677" spans="2:13" x14ac:dyDescent="0.2">
      <c r="B677" s="10"/>
      <c r="C677" s="7"/>
      <c r="D677" s="11"/>
      <c r="E677" s="6"/>
      <c r="F677" s="12" t="str">
        <f t="shared" si="20"/>
        <v/>
      </c>
      <c r="G677" s="13" t="str">
        <f t="shared" si="21"/>
        <v/>
      </c>
      <c r="H677" s="9"/>
      <c r="I677" s="9"/>
      <c r="J677" s="14" t="str">
        <f>IF(E677="","",IFERROR(VLOOKUP(E677,TabProd,5,FALSE),0)+SUMIFS($H$5:H677,$E$5:E677,E677)-SUMIFS($I$5:I677,$E$5:E677,E677))</f>
        <v/>
      </c>
      <c r="K677" s="7"/>
      <c r="L677" s="7"/>
      <c r="M677" s="1" t="str">
        <f>IF(E677="","",E677&amp;"|"&amp;COUNTIF($E$5:E677,E677))</f>
        <v/>
      </c>
    </row>
    <row r="678" spans="2:13" x14ac:dyDescent="0.2">
      <c r="B678" s="10"/>
      <c r="C678" s="7"/>
      <c r="D678" s="11"/>
      <c r="E678" s="6"/>
      <c r="F678" s="12" t="str">
        <f t="shared" si="20"/>
        <v/>
      </c>
      <c r="G678" s="13" t="str">
        <f t="shared" si="21"/>
        <v/>
      </c>
      <c r="H678" s="9"/>
      <c r="I678" s="9"/>
      <c r="J678" s="14" t="str">
        <f>IF(E678="","",IFERROR(VLOOKUP(E678,TabProd,5,FALSE),0)+SUMIFS($H$5:H678,$E$5:E678,E678)-SUMIFS($I$5:I678,$E$5:E678,E678))</f>
        <v/>
      </c>
      <c r="K678" s="7"/>
      <c r="L678" s="7"/>
      <c r="M678" s="1" t="str">
        <f>IF(E678="","",E678&amp;"|"&amp;COUNTIF($E$5:E678,E678))</f>
        <v/>
      </c>
    </row>
    <row r="679" spans="2:13" x14ac:dyDescent="0.2">
      <c r="B679" s="10"/>
      <c r="C679" s="7"/>
      <c r="D679" s="11"/>
      <c r="E679" s="6"/>
      <c r="F679" s="12" t="str">
        <f t="shared" si="20"/>
        <v/>
      </c>
      <c r="G679" s="13" t="str">
        <f t="shared" si="21"/>
        <v/>
      </c>
      <c r="H679" s="9"/>
      <c r="I679" s="9"/>
      <c r="J679" s="14" t="str">
        <f>IF(E679="","",IFERROR(VLOOKUP(E679,TabProd,5,FALSE),0)+SUMIFS($H$5:H679,$E$5:E679,E679)-SUMIFS($I$5:I679,$E$5:E679,E679))</f>
        <v/>
      </c>
      <c r="K679" s="7"/>
      <c r="L679" s="7"/>
      <c r="M679" s="1" t="str">
        <f>IF(E679="","",E679&amp;"|"&amp;COUNTIF($E$5:E679,E679))</f>
        <v/>
      </c>
    </row>
    <row r="680" spans="2:13" x14ac:dyDescent="0.2">
      <c r="B680" s="10"/>
      <c r="C680" s="7"/>
      <c r="D680" s="11"/>
      <c r="E680" s="6"/>
      <c r="F680" s="12" t="str">
        <f t="shared" si="20"/>
        <v/>
      </c>
      <c r="G680" s="13" t="str">
        <f t="shared" si="21"/>
        <v/>
      </c>
      <c r="H680" s="9"/>
      <c r="I680" s="9"/>
      <c r="J680" s="14" t="str">
        <f>IF(E680="","",IFERROR(VLOOKUP(E680,TabProd,5,FALSE),0)+SUMIFS($H$5:H680,$E$5:E680,E680)-SUMIFS($I$5:I680,$E$5:E680,E680))</f>
        <v/>
      </c>
      <c r="K680" s="7"/>
      <c r="L680" s="7"/>
      <c r="M680" s="1" t="str">
        <f>IF(E680="","",E680&amp;"|"&amp;COUNTIF($E$5:E680,E680))</f>
        <v/>
      </c>
    </row>
    <row r="681" spans="2:13" x14ac:dyDescent="0.2">
      <c r="B681" s="10"/>
      <c r="C681" s="7"/>
      <c r="D681" s="11"/>
      <c r="E681" s="6"/>
      <c r="F681" s="12" t="str">
        <f t="shared" si="20"/>
        <v/>
      </c>
      <c r="G681" s="13" t="str">
        <f t="shared" si="21"/>
        <v/>
      </c>
      <c r="H681" s="9"/>
      <c r="I681" s="9"/>
      <c r="J681" s="14" t="str">
        <f>IF(E681="","",IFERROR(VLOOKUP(E681,TabProd,5,FALSE),0)+SUMIFS($H$5:H681,$E$5:E681,E681)-SUMIFS($I$5:I681,$E$5:E681,E681))</f>
        <v/>
      </c>
      <c r="K681" s="7"/>
      <c r="L681" s="7"/>
      <c r="M681" s="1" t="str">
        <f>IF(E681="","",E681&amp;"|"&amp;COUNTIF($E$5:E681,E681))</f>
        <v/>
      </c>
    </row>
    <row r="682" spans="2:13" x14ac:dyDescent="0.2">
      <c r="B682" s="10"/>
      <c r="C682" s="7"/>
      <c r="D682" s="11"/>
      <c r="E682" s="6"/>
      <c r="F682" s="12" t="str">
        <f t="shared" si="20"/>
        <v/>
      </c>
      <c r="G682" s="13" t="str">
        <f t="shared" si="21"/>
        <v/>
      </c>
      <c r="H682" s="9"/>
      <c r="I682" s="9"/>
      <c r="J682" s="14" t="str">
        <f>IF(E682="","",IFERROR(VLOOKUP(E682,TabProd,5,FALSE),0)+SUMIFS($H$5:H682,$E$5:E682,E682)-SUMIFS($I$5:I682,$E$5:E682,E682))</f>
        <v/>
      </c>
      <c r="K682" s="7"/>
      <c r="L682" s="7"/>
      <c r="M682" s="1" t="str">
        <f>IF(E682="","",E682&amp;"|"&amp;COUNTIF($E$5:E682,E682))</f>
        <v/>
      </c>
    </row>
    <row r="683" spans="2:13" x14ac:dyDescent="0.2">
      <c r="B683" s="10"/>
      <c r="C683" s="7"/>
      <c r="D683" s="11"/>
      <c r="E683" s="6"/>
      <c r="F683" s="12" t="str">
        <f t="shared" si="20"/>
        <v/>
      </c>
      <c r="G683" s="13" t="str">
        <f t="shared" si="21"/>
        <v/>
      </c>
      <c r="H683" s="9"/>
      <c r="I683" s="9"/>
      <c r="J683" s="14" t="str">
        <f>IF(E683="","",IFERROR(VLOOKUP(E683,TabProd,5,FALSE),0)+SUMIFS($H$5:H683,$E$5:E683,E683)-SUMIFS($I$5:I683,$E$5:E683,E683))</f>
        <v/>
      </c>
      <c r="K683" s="7"/>
      <c r="L683" s="7"/>
      <c r="M683" s="1" t="str">
        <f>IF(E683="","",E683&amp;"|"&amp;COUNTIF($E$5:E683,E683))</f>
        <v/>
      </c>
    </row>
    <row r="684" spans="2:13" x14ac:dyDescent="0.2">
      <c r="B684" s="10"/>
      <c r="C684" s="7"/>
      <c r="D684" s="11"/>
      <c r="E684" s="6"/>
      <c r="F684" s="12" t="str">
        <f t="shared" si="20"/>
        <v/>
      </c>
      <c r="G684" s="13" t="str">
        <f t="shared" si="21"/>
        <v/>
      </c>
      <c r="H684" s="9"/>
      <c r="I684" s="9"/>
      <c r="J684" s="14" t="str">
        <f>IF(E684="","",IFERROR(VLOOKUP(E684,TabProd,5,FALSE),0)+SUMIFS($H$5:H684,$E$5:E684,E684)-SUMIFS($I$5:I684,$E$5:E684,E684))</f>
        <v/>
      </c>
      <c r="K684" s="7"/>
      <c r="L684" s="7"/>
      <c r="M684" s="1" t="str">
        <f>IF(E684="","",E684&amp;"|"&amp;COUNTIF($E$5:E684,E684))</f>
        <v/>
      </c>
    </row>
    <row r="685" spans="2:13" x14ac:dyDescent="0.2">
      <c r="B685" s="10"/>
      <c r="C685" s="7"/>
      <c r="D685" s="11"/>
      <c r="E685" s="6"/>
      <c r="F685" s="12" t="str">
        <f t="shared" si="20"/>
        <v/>
      </c>
      <c r="G685" s="13" t="str">
        <f t="shared" si="21"/>
        <v/>
      </c>
      <c r="H685" s="9"/>
      <c r="I685" s="9"/>
      <c r="J685" s="14" t="str">
        <f>IF(E685="","",IFERROR(VLOOKUP(E685,TabProd,5,FALSE),0)+SUMIFS($H$5:H685,$E$5:E685,E685)-SUMIFS($I$5:I685,$E$5:E685,E685))</f>
        <v/>
      </c>
      <c r="K685" s="7"/>
      <c r="L685" s="7"/>
      <c r="M685" s="1" t="str">
        <f>IF(E685="","",E685&amp;"|"&amp;COUNTIF($E$5:E685,E685))</f>
        <v/>
      </c>
    </row>
    <row r="686" spans="2:13" x14ac:dyDescent="0.2">
      <c r="B686" s="10"/>
      <c r="C686" s="7"/>
      <c r="D686" s="11"/>
      <c r="E686" s="6"/>
      <c r="F686" s="12" t="str">
        <f t="shared" si="20"/>
        <v/>
      </c>
      <c r="G686" s="13" t="str">
        <f t="shared" si="21"/>
        <v/>
      </c>
      <c r="H686" s="9"/>
      <c r="I686" s="9"/>
      <c r="J686" s="14" t="str">
        <f>IF(E686="","",IFERROR(VLOOKUP(E686,TabProd,5,FALSE),0)+SUMIFS($H$5:H686,$E$5:E686,E686)-SUMIFS($I$5:I686,$E$5:E686,E686))</f>
        <v/>
      </c>
      <c r="K686" s="7"/>
      <c r="L686" s="7"/>
      <c r="M686" s="1" t="str">
        <f>IF(E686="","",E686&amp;"|"&amp;COUNTIF($E$5:E686,E686))</f>
        <v/>
      </c>
    </row>
    <row r="687" spans="2:13" x14ac:dyDescent="0.2">
      <c r="B687" s="10"/>
      <c r="C687" s="7"/>
      <c r="D687" s="11"/>
      <c r="E687" s="6"/>
      <c r="F687" s="12" t="str">
        <f t="shared" si="20"/>
        <v/>
      </c>
      <c r="G687" s="13" t="str">
        <f t="shared" si="21"/>
        <v/>
      </c>
      <c r="H687" s="9"/>
      <c r="I687" s="9"/>
      <c r="J687" s="14" t="str">
        <f>IF(E687="","",IFERROR(VLOOKUP(E687,TabProd,5,FALSE),0)+SUMIFS($H$5:H687,$E$5:E687,E687)-SUMIFS($I$5:I687,$E$5:E687,E687))</f>
        <v/>
      </c>
      <c r="K687" s="7"/>
      <c r="L687" s="7"/>
      <c r="M687" s="1" t="str">
        <f>IF(E687="","",E687&amp;"|"&amp;COUNTIF($E$5:E687,E687))</f>
        <v/>
      </c>
    </row>
    <row r="688" spans="2:13" x14ac:dyDescent="0.2">
      <c r="B688" s="10"/>
      <c r="C688" s="7"/>
      <c r="D688" s="11"/>
      <c r="E688" s="6"/>
      <c r="F688" s="12" t="str">
        <f t="shared" si="20"/>
        <v/>
      </c>
      <c r="G688" s="13" t="str">
        <f t="shared" si="21"/>
        <v/>
      </c>
      <c r="H688" s="9"/>
      <c r="I688" s="9"/>
      <c r="J688" s="14" t="str">
        <f>IF(E688="","",IFERROR(VLOOKUP(E688,TabProd,5,FALSE),0)+SUMIFS($H$5:H688,$E$5:E688,E688)-SUMIFS($I$5:I688,$E$5:E688,E688))</f>
        <v/>
      </c>
      <c r="K688" s="7"/>
      <c r="L688" s="7"/>
      <c r="M688" s="1" t="str">
        <f>IF(E688="","",E688&amp;"|"&amp;COUNTIF($E$5:E688,E688))</f>
        <v/>
      </c>
    </row>
    <row r="689" spans="2:13" x14ac:dyDescent="0.2">
      <c r="B689" s="10"/>
      <c r="C689" s="7"/>
      <c r="D689" s="11"/>
      <c r="E689" s="6"/>
      <c r="F689" s="12" t="str">
        <f t="shared" si="20"/>
        <v/>
      </c>
      <c r="G689" s="13" t="str">
        <f t="shared" si="21"/>
        <v/>
      </c>
      <c r="H689" s="9"/>
      <c r="I689" s="9"/>
      <c r="J689" s="14" t="str">
        <f>IF(E689="","",IFERROR(VLOOKUP(E689,TabProd,5,FALSE),0)+SUMIFS($H$5:H689,$E$5:E689,E689)-SUMIFS($I$5:I689,$E$5:E689,E689))</f>
        <v/>
      </c>
      <c r="K689" s="7"/>
      <c r="L689" s="7"/>
      <c r="M689" s="1" t="str">
        <f>IF(E689="","",E689&amp;"|"&amp;COUNTIF($E$5:E689,E689))</f>
        <v/>
      </c>
    </row>
    <row r="690" spans="2:13" x14ac:dyDescent="0.2">
      <c r="B690" s="10"/>
      <c r="C690" s="7"/>
      <c r="D690" s="11"/>
      <c r="E690" s="6"/>
      <c r="F690" s="12" t="str">
        <f t="shared" si="20"/>
        <v/>
      </c>
      <c r="G690" s="13" t="str">
        <f t="shared" si="21"/>
        <v/>
      </c>
      <c r="H690" s="9"/>
      <c r="I690" s="9"/>
      <c r="J690" s="14" t="str">
        <f>IF(E690="","",IFERROR(VLOOKUP(E690,TabProd,5,FALSE),0)+SUMIFS($H$5:H690,$E$5:E690,E690)-SUMIFS($I$5:I690,$E$5:E690,E690))</f>
        <v/>
      </c>
      <c r="K690" s="7"/>
      <c r="L690" s="7"/>
      <c r="M690" s="1" t="str">
        <f>IF(E690="","",E690&amp;"|"&amp;COUNTIF($E$5:E690,E690))</f>
        <v/>
      </c>
    </row>
    <row r="691" spans="2:13" x14ac:dyDescent="0.2">
      <c r="B691" s="10"/>
      <c r="C691" s="7"/>
      <c r="D691" s="11"/>
      <c r="E691" s="6"/>
      <c r="F691" s="12" t="str">
        <f t="shared" si="20"/>
        <v/>
      </c>
      <c r="G691" s="13" t="str">
        <f t="shared" si="21"/>
        <v/>
      </c>
      <c r="H691" s="9"/>
      <c r="I691" s="9"/>
      <c r="J691" s="14" t="str">
        <f>IF(E691="","",IFERROR(VLOOKUP(E691,TabProd,5,FALSE),0)+SUMIFS($H$5:H691,$E$5:E691,E691)-SUMIFS($I$5:I691,$E$5:E691,E691))</f>
        <v/>
      </c>
      <c r="K691" s="7"/>
      <c r="L691" s="7"/>
      <c r="M691" s="1" t="str">
        <f>IF(E691="","",E691&amp;"|"&amp;COUNTIF($E$5:E691,E691))</f>
        <v/>
      </c>
    </row>
    <row r="692" spans="2:13" x14ac:dyDescent="0.2">
      <c r="B692" s="10"/>
      <c r="C692" s="7"/>
      <c r="D692" s="11"/>
      <c r="E692" s="6"/>
      <c r="F692" s="12" t="str">
        <f t="shared" si="20"/>
        <v/>
      </c>
      <c r="G692" s="13" t="str">
        <f t="shared" si="21"/>
        <v/>
      </c>
      <c r="H692" s="9"/>
      <c r="I692" s="9"/>
      <c r="J692" s="14" t="str">
        <f>IF(E692="","",IFERROR(VLOOKUP(E692,TabProd,5,FALSE),0)+SUMIFS($H$5:H692,$E$5:E692,E692)-SUMIFS($I$5:I692,$E$5:E692,E692))</f>
        <v/>
      </c>
      <c r="K692" s="7"/>
      <c r="L692" s="7"/>
      <c r="M692" s="1" t="str">
        <f>IF(E692="","",E692&amp;"|"&amp;COUNTIF($E$5:E692,E692))</f>
        <v/>
      </c>
    </row>
    <row r="693" spans="2:13" x14ac:dyDescent="0.2">
      <c r="B693" s="10"/>
      <c r="C693" s="7"/>
      <c r="D693" s="11"/>
      <c r="E693" s="6"/>
      <c r="F693" s="12" t="str">
        <f t="shared" si="20"/>
        <v/>
      </c>
      <c r="G693" s="13" t="str">
        <f t="shared" si="21"/>
        <v/>
      </c>
      <c r="H693" s="9"/>
      <c r="I693" s="9"/>
      <c r="J693" s="14" t="str">
        <f>IF(E693="","",IFERROR(VLOOKUP(E693,TabProd,5,FALSE),0)+SUMIFS($H$5:H693,$E$5:E693,E693)-SUMIFS($I$5:I693,$E$5:E693,E693))</f>
        <v/>
      </c>
      <c r="K693" s="7"/>
      <c r="L693" s="7"/>
      <c r="M693" s="1" t="str">
        <f>IF(E693="","",E693&amp;"|"&amp;COUNTIF($E$5:E693,E693))</f>
        <v/>
      </c>
    </row>
    <row r="694" spans="2:13" x14ac:dyDescent="0.2">
      <c r="B694" s="10"/>
      <c r="C694" s="7"/>
      <c r="D694" s="11"/>
      <c r="E694" s="6"/>
      <c r="F694" s="12" t="str">
        <f t="shared" si="20"/>
        <v/>
      </c>
      <c r="G694" s="13" t="str">
        <f t="shared" si="21"/>
        <v/>
      </c>
      <c r="H694" s="9"/>
      <c r="I694" s="9"/>
      <c r="J694" s="14" t="str">
        <f>IF(E694="","",IFERROR(VLOOKUP(E694,TabProd,5,FALSE),0)+SUMIFS($H$5:H694,$E$5:E694,E694)-SUMIFS($I$5:I694,$E$5:E694,E694))</f>
        <v/>
      </c>
      <c r="K694" s="7"/>
      <c r="L694" s="7"/>
      <c r="M694" s="1" t="str">
        <f>IF(E694="","",E694&amp;"|"&amp;COUNTIF($E$5:E694,E694))</f>
        <v/>
      </c>
    </row>
    <row r="695" spans="2:13" x14ac:dyDescent="0.2">
      <c r="B695" s="10"/>
      <c r="C695" s="7"/>
      <c r="D695" s="11"/>
      <c r="E695" s="6"/>
      <c r="F695" s="12" t="str">
        <f t="shared" si="20"/>
        <v/>
      </c>
      <c r="G695" s="13" t="str">
        <f t="shared" si="21"/>
        <v/>
      </c>
      <c r="H695" s="9"/>
      <c r="I695" s="9"/>
      <c r="J695" s="14" t="str">
        <f>IF(E695="","",IFERROR(VLOOKUP(E695,TabProd,5,FALSE),0)+SUMIFS($H$5:H695,$E$5:E695,E695)-SUMIFS($I$5:I695,$E$5:E695,E695))</f>
        <v/>
      </c>
      <c r="K695" s="7"/>
      <c r="L695" s="7"/>
      <c r="M695" s="1" t="str">
        <f>IF(E695="","",E695&amp;"|"&amp;COUNTIF($E$5:E695,E695))</f>
        <v/>
      </c>
    </row>
    <row r="696" spans="2:13" x14ac:dyDescent="0.2">
      <c r="B696" s="10"/>
      <c r="C696" s="7"/>
      <c r="D696" s="11"/>
      <c r="E696" s="6"/>
      <c r="F696" s="12" t="str">
        <f t="shared" si="20"/>
        <v/>
      </c>
      <c r="G696" s="13" t="str">
        <f t="shared" si="21"/>
        <v/>
      </c>
      <c r="H696" s="9"/>
      <c r="I696" s="9"/>
      <c r="J696" s="14" t="str">
        <f>IF(E696="","",IFERROR(VLOOKUP(E696,TabProd,5,FALSE),0)+SUMIFS($H$5:H696,$E$5:E696,E696)-SUMIFS($I$5:I696,$E$5:E696,E696))</f>
        <v/>
      </c>
      <c r="K696" s="7"/>
      <c r="L696" s="7"/>
      <c r="M696" s="1" t="str">
        <f>IF(E696="","",E696&amp;"|"&amp;COUNTIF($E$5:E696,E696))</f>
        <v/>
      </c>
    </row>
    <row r="697" spans="2:13" x14ac:dyDescent="0.2">
      <c r="B697" s="10"/>
      <c r="C697" s="7"/>
      <c r="D697" s="11"/>
      <c r="E697" s="6"/>
      <c r="F697" s="12" t="str">
        <f t="shared" si="20"/>
        <v/>
      </c>
      <c r="G697" s="13" t="str">
        <f t="shared" si="21"/>
        <v/>
      </c>
      <c r="H697" s="9"/>
      <c r="I697" s="9"/>
      <c r="J697" s="14" t="str">
        <f>IF(E697="","",IFERROR(VLOOKUP(E697,TabProd,5,FALSE),0)+SUMIFS($H$5:H697,$E$5:E697,E697)-SUMIFS($I$5:I697,$E$5:E697,E697))</f>
        <v/>
      </c>
      <c r="K697" s="7"/>
      <c r="L697" s="7"/>
      <c r="M697" s="1" t="str">
        <f>IF(E697="","",E697&amp;"|"&amp;COUNTIF($E$5:E697,E697))</f>
        <v/>
      </c>
    </row>
    <row r="698" spans="2:13" x14ac:dyDescent="0.2">
      <c r="B698" s="10"/>
      <c r="C698" s="7"/>
      <c r="D698" s="11"/>
      <c r="E698" s="6"/>
      <c r="F698" s="12" t="str">
        <f t="shared" si="20"/>
        <v/>
      </c>
      <c r="G698" s="13" t="str">
        <f t="shared" si="21"/>
        <v/>
      </c>
      <c r="H698" s="9"/>
      <c r="I698" s="9"/>
      <c r="J698" s="14" t="str">
        <f>IF(E698="","",IFERROR(VLOOKUP(E698,TabProd,5,FALSE),0)+SUMIFS($H$5:H698,$E$5:E698,E698)-SUMIFS($I$5:I698,$E$5:E698,E698))</f>
        <v/>
      </c>
      <c r="K698" s="7"/>
      <c r="L698" s="7"/>
      <c r="M698" s="1" t="str">
        <f>IF(E698="","",E698&amp;"|"&amp;COUNTIF($E$5:E698,E698))</f>
        <v/>
      </c>
    </row>
    <row r="699" spans="2:13" x14ac:dyDescent="0.2">
      <c r="B699" s="10"/>
      <c r="C699" s="7"/>
      <c r="D699" s="11"/>
      <c r="E699" s="6"/>
      <c r="F699" s="12" t="str">
        <f t="shared" si="20"/>
        <v/>
      </c>
      <c r="G699" s="13" t="str">
        <f t="shared" si="21"/>
        <v/>
      </c>
      <c r="H699" s="9"/>
      <c r="I699" s="9"/>
      <c r="J699" s="14" t="str">
        <f>IF(E699="","",IFERROR(VLOOKUP(E699,TabProd,5,FALSE),0)+SUMIFS($H$5:H699,$E$5:E699,E699)-SUMIFS($I$5:I699,$E$5:E699,E699))</f>
        <v/>
      </c>
      <c r="K699" s="7"/>
      <c r="L699" s="7"/>
      <c r="M699" s="1" t="str">
        <f>IF(E699="","",E699&amp;"|"&amp;COUNTIF($E$5:E699,E699))</f>
        <v/>
      </c>
    </row>
    <row r="700" spans="2:13" x14ac:dyDescent="0.2">
      <c r="B700" s="10"/>
      <c r="C700" s="7"/>
      <c r="D700" s="11"/>
      <c r="E700" s="6"/>
      <c r="F700" s="12" t="str">
        <f t="shared" si="20"/>
        <v/>
      </c>
      <c r="G700" s="13" t="str">
        <f t="shared" si="21"/>
        <v/>
      </c>
      <c r="H700" s="9"/>
      <c r="I700" s="9"/>
      <c r="J700" s="14" t="str">
        <f>IF(E700="","",IFERROR(VLOOKUP(E700,TabProd,5,FALSE),0)+SUMIFS($H$5:H700,$E$5:E700,E700)-SUMIFS($I$5:I700,$E$5:E700,E700))</f>
        <v/>
      </c>
      <c r="K700" s="7"/>
      <c r="L700" s="7"/>
      <c r="M700" s="1" t="str">
        <f>IF(E700="","",E700&amp;"|"&amp;COUNTIF($E$5:E700,E700))</f>
        <v/>
      </c>
    </row>
    <row r="701" spans="2:13" x14ac:dyDescent="0.2">
      <c r="B701" s="10"/>
      <c r="C701" s="7"/>
      <c r="D701" s="11"/>
      <c r="E701" s="6"/>
      <c r="F701" s="12" t="str">
        <f t="shared" si="20"/>
        <v/>
      </c>
      <c r="G701" s="13" t="str">
        <f t="shared" si="21"/>
        <v/>
      </c>
      <c r="H701" s="9"/>
      <c r="I701" s="9"/>
      <c r="J701" s="14" t="str">
        <f>IF(E701="","",IFERROR(VLOOKUP(E701,TabProd,5,FALSE),0)+SUMIFS($H$5:H701,$E$5:E701,E701)-SUMIFS($I$5:I701,$E$5:E701,E701))</f>
        <v/>
      </c>
      <c r="K701" s="7"/>
      <c r="L701" s="7"/>
      <c r="M701" s="1" t="str">
        <f>IF(E701="","",E701&amp;"|"&amp;COUNTIF($E$5:E701,E701))</f>
        <v/>
      </c>
    </row>
    <row r="702" spans="2:13" x14ac:dyDescent="0.2">
      <c r="B702" s="10"/>
      <c r="C702" s="7"/>
      <c r="D702" s="11"/>
      <c r="E702" s="6"/>
      <c r="F702" s="12" t="str">
        <f t="shared" si="20"/>
        <v/>
      </c>
      <c r="G702" s="13" t="str">
        <f t="shared" si="21"/>
        <v/>
      </c>
      <c r="H702" s="9"/>
      <c r="I702" s="9"/>
      <c r="J702" s="14" t="str">
        <f>IF(E702="","",IFERROR(VLOOKUP(E702,TabProd,5,FALSE),0)+SUMIFS($H$5:H702,$E$5:E702,E702)-SUMIFS($I$5:I702,$E$5:E702,E702))</f>
        <v/>
      </c>
      <c r="K702" s="7"/>
      <c r="L702" s="7"/>
      <c r="M702" s="1" t="str">
        <f>IF(E702="","",E702&amp;"|"&amp;COUNTIF($E$5:E702,E702))</f>
        <v/>
      </c>
    </row>
    <row r="703" spans="2:13" x14ac:dyDescent="0.2">
      <c r="B703" s="10"/>
      <c r="C703" s="7"/>
      <c r="D703" s="11"/>
      <c r="E703" s="6"/>
      <c r="F703" s="12" t="str">
        <f t="shared" si="20"/>
        <v/>
      </c>
      <c r="G703" s="13" t="str">
        <f t="shared" si="21"/>
        <v/>
      </c>
      <c r="H703" s="9"/>
      <c r="I703" s="9"/>
      <c r="J703" s="14" t="str">
        <f>IF(E703="","",IFERROR(VLOOKUP(E703,TabProd,5,FALSE),0)+SUMIFS($H$5:H703,$E$5:E703,E703)-SUMIFS($I$5:I703,$E$5:E703,E703))</f>
        <v/>
      </c>
      <c r="K703" s="7"/>
      <c r="L703" s="7"/>
      <c r="M703" s="1" t="str">
        <f>IF(E703="","",E703&amp;"|"&amp;COUNTIF($E$5:E703,E703))</f>
        <v/>
      </c>
    </row>
    <row r="704" spans="2:13" x14ac:dyDescent="0.2">
      <c r="B704" s="10"/>
      <c r="C704" s="7"/>
      <c r="D704" s="11"/>
      <c r="E704" s="6"/>
      <c r="F704" s="12" t="str">
        <f t="shared" si="20"/>
        <v/>
      </c>
      <c r="G704" s="13" t="str">
        <f t="shared" si="21"/>
        <v/>
      </c>
      <c r="H704" s="9"/>
      <c r="I704" s="9"/>
      <c r="J704" s="14" t="str">
        <f>IF(E704="","",IFERROR(VLOOKUP(E704,TabProd,5,FALSE),0)+SUMIFS($H$5:H704,$E$5:E704,E704)-SUMIFS($I$5:I704,$E$5:E704,E704))</f>
        <v/>
      </c>
      <c r="K704" s="7"/>
      <c r="L704" s="7"/>
      <c r="M704" s="1" t="str">
        <f>IF(E704="","",E704&amp;"|"&amp;COUNTIF($E$5:E704,E704))</f>
        <v/>
      </c>
    </row>
    <row r="705" spans="2:13" x14ac:dyDescent="0.2">
      <c r="B705" s="10"/>
      <c r="C705" s="7"/>
      <c r="D705" s="11"/>
      <c r="E705" s="6"/>
      <c r="F705" s="12" t="str">
        <f t="shared" si="20"/>
        <v/>
      </c>
      <c r="G705" s="13" t="str">
        <f t="shared" si="21"/>
        <v/>
      </c>
      <c r="H705" s="9"/>
      <c r="I705" s="9"/>
      <c r="J705" s="14" t="str">
        <f>IF(E705="","",IFERROR(VLOOKUP(E705,TabProd,5,FALSE),0)+SUMIFS($H$5:H705,$E$5:E705,E705)-SUMIFS($I$5:I705,$E$5:E705,E705))</f>
        <v/>
      </c>
      <c r="K705" s="7"/>
      <c r="L705" s="7"/>
      <c r="M705" s="1" t="str">
        <f>IF(E705="","",E705&amp;"|"&amp;COUNTIF($E$5:E705,E705))</f>
        <v/>
      </c>
    </row>
    <row r="706" spans="2:13" x14ac:dyDescent="0.2">
      <c r="B706" s="10"/>
      <c r="C706" s="7"/>
      <c r="D706" s="11"/>
      <c r="E706" s="6"/>
      <c r="F706" s="12" t="str">
        <f t="shared" si="20"/>
        <v/>
      </c>
      <c r="G706" s="13" t="str">
        <f t="shared" si="21"/>
        <v/>
      </c>
      <c r="H706" s="9"/>
      <c r="I706" s="9"/>
      <c r="J706" s="14" t="str">
        <f>IF(E706="","",IFERROR(VLOOKUP(E706,TabProd,5,FALSE),0)+SUMIFS($H$5:H706,$E$5:E706,E706)-SUMIFS($I$5:I706,$E$5:E706,E706))</f>
        <v/>
      </c>
      <c r="K706" s="7"/>
      <c r="L706" s="7"/>
      <c r="M706" s="1" t="str">
        <f>IF(E706="","",E706&amp;"|"&amp;COUNTIF($E$5:E706,E706))</f>
        <v/>
      </c>
    </row>
    <row r="707" spans="2:13" x14ac:dyDescent="0.2">
      <c r="B707" s="10"/>
      <c r="C707" s="7"/>
      <c r="D707" s="11"/>
      <c r="E707" s="6"/>
      <c r="F707" s="12" t="str">
        <f t="shared" si="20"/>
        <v/>
      </c>
      <c r="G707" s="13" t="str">
        <f t="shared" si="21"/>
        <v/>
      </c>
      <c r="H707" s="9"/>
      <c r="I707" s="9"/>
      <c r="J707" s="14" t="str">
        <f>IF(E707="","",IFERROR(VLOOKUP(E707,TabProd,5,FALSE),0)+SUMIFS($H$5:H707,$E$5:E707,E707)-SUMIFS($I$5:I707,$E$5:E707,E707))</f>
        <v/>
      </c>
      <c r="K707" s="7"/>
      <c r="L707" s="7"/>
      <c r="M707" s="1" t="str">
        <f>IF(E707="","",E707&amp;"|"&amp;COUNTIF($E$5:E707,E707))</f>
        <v/>
      </c>
    </row>
    <row r="708" spans="2:13" x14ac:dyDescent="0.2">
      <c r="B708" s="10"/>
      <c r="C708" s="7"/>
      <c r="D708" s="11"/>
      <c r="E708" s="6"/>
      <c r="F708" s="12" t="str">
        <f t="shared" si="20"/>
        <v/>
      </c>
      <c r="G708" s="13" t="str">
        <f t="shared" si="21"/>
        <v/>
      </c>
      <c r="H708" s="9"/>
      <c r="I708" s="9"/>
      <c r="J708" s="14" t="str">
        <f>IF(E708="","",IFERROR(VLOOKUP(E708,TabProd,5,FALSE),0)+SUMIFS($H$5:H708,$E$5:E708,E708)-SUMIFS($I$5:I708,$E$5:E708,E708))</f>
        <v/>
      </c>
      <c r="K708" s="7"/>
      <c r="L708" s="7"/>
      <c r="M708" s="1" t="str">
        <f>IF(E708="","",E708&amp;"|"&amp;COUNTIF($E$5:E708,E708))</f>
        <v/>
      </c>
    </row>
    <row r="709" spans="2:13" x14ac:dyDescent="0.2">
      <c r="B709" s="10"/>
      <c r="C709" s="7"/>
      <c r="D709" s="11"/>
      <c r="E709" s="6"/>
      <c r="F709" s="12" t="str">
        <f t="shared" ref="F709:F772" si="22">IF(E709="","",IFERROR(VLOOKUP(E709,TabProd,2,FALSE),"Cod inexistent"))</f>
        <v/>
      </c>
      <c r="G709" s="13" t="str">
        <f t="shared" ref="G709:G772" si="23">IF(E709="","",IFERROR(VLOOKUP(E709,TabProd,3,FALSE),""))</f>
        <v/>
      </c>
      <c r="H709" s="9"/>
      <c r="I709" s="9"/>
      <c r="J709" s="14" t="str">
        <f>IF(E709="","",IFERROR(VLOOKUP(E709,TabProd,5,FALSE),0)+SUMIFS($H$5:H709,$E$5:E709,E709)-SUMIFS($I$5:I709,$E$5:E709,E709))</f>
        <v/>
      </c>
      <c r="K709" s="7"/>
      <c r="L709" s="7"/>
      <c r="M709" s="1" t="str">
        <f>IF(E709="","",E709&amp;"|"&amp;COUNTIF($E$5:E709,E709))</f>
        <v/>
      </c>
    </row>
    <row r="710" spans="2:13" x14ac:dyDescent="0.2">
      <c r="B710" s="10"/>
      <c r="C710" s="7"/>
      <c r="D710" s="11"/>
      <c r="E710" s="6"/>
      <c r="F710" s="12" t="str">
        <f t="shared" si="22"/>
        <v/>
      </c>
      <c r="G710" s="13" t="str">
        <f t="shared" si="23"/>
        <v/>
      </c>
      <c r="H710" s="9"/>
      <c r="I710" s="9"/>
      <c r="J710" s="14" t="str">
        <f>IF(E710="","",IFERROR(VLOOKUP(E710,TabProd,5,FALSE),0)+SUMIFS($H$5:H710,$E$5:E710,E710)-SUMIFS($I$5:I710,$E$5:E710,E710))</f>
        <v/>
      </c>
      <c r="K710" s="7"/>
      <c r="L710" s="7"/>
      <c r="M710" s="1" t="str">
        <f>IF(E710="","",E710&amp;"|"&amp;COUNTIF($E$5:E710,E710))</f>
        <v/>
      </c>
    </row>
    <row r="711" spans="2:13" x14ac:dyDescent="0.2">
      <c r="B711" s="10"/>
      <c r="C711" s="7"/>
      <c r="D711" s="11"/>
      <c r="E711" s="6"/>
      <c r="F711" s="12" t="str">
        <f t="shared" si="22"/>
        <v/>
      </c>
      <c r="G711" s="13" t="str">
        <f t="shared" si="23"/>
        <v/>
      </c>
      <c r="H711" s="9"/>
      <c r="I711" s="9"/>
      <c r="J711" s="14" t="str">
        <f>IF(E711="","",IFERROR(VLOOKUP(E711,TabProd,5,FALSE),0)+SUMIFS($H$5:H711,$E$5:E711,E711)-SUMIFS($I$5:I711,$E$5:E711,E711))</f>
        <v/>
      </c>
      <c r="K711" s="7"/>
      <c r="L711" s="7"/>
      <c r="M711" s="1" t="str">
        <f>IF(E711="","",E711&amp;"|"&amp;COUNTIF($E$5:E711,E711))</f>
        <v/>
      </c>
    </row>
    <row r="712" spans="2:13" x14ac:dyDescent="0.2">
      <c r="B712" s="10"/>
      <c r="C712" s="7"/>
      <c r="D712" s="11"/>
      <c r="E712" s="6"/>
      <c r="F712" s="12" t="str">
        <f t="shared" si="22"/>
        <v/>
      </c>
      <c r="G712" s="13" t="str">
        <f t="shared" si="23"/>
        <v/>
      </c>
      <c r="H712" s="9"/>
      <c r="I712" s="9"/>
      <c r="J712" s="14" t="str">
        <f>IF(E712="","",IFERROR(VLOOKUP(E712,TabProd,5,FALSE),0)+SUMIFS($H$5:H712,$E$5:E712,E712)-SUMIFS($I$5:I712,$E$5:E712,E712))</f>
        <v/>
      </c>
      <c r="K712" s="7"/>
      <c r="L712" s="7"/>
      <c r="M712" s="1" t="str">
        <f>IF(E712="","",E712&amp;"|"&amp;COUNTIF($E$5:E712,E712))</f>
        <v/>
      </c>
    </row>
    <row r="713" spans="2:13" x14ac:dyDescent="0.2">
      <c r="B713" s="10"/>
      <c r="C713" s="7"/>
      <c r="D713" s="11"/>
      <c r="E713" s="6"/>
      <c r="F713" s="12" t="str">
        <f t="shared" si="22"/>
        <v/>
      </c>
      <c r="G713" s="13" t="str">
        <f t="shared" si="23"/>
        <v/>
      </c>
      <c r="H713" s="9"/>
      <c r="I713" s="9"/>
      <c r="J713" s="14" t="str">
        <f>IF(E713="","",IFERROR(VLOOKUP(E713,TabProd,5,FALSE),0)+SUMIFS($H$5:H713,$E$5:E713,E713)-SUMIFS($I$5:I713,$E$5:E713,E713))</f>
        <v/>
      </c>
      <c r="K713" s="7"/>
      <c r="L713" s="7"/>
      <c r="M713" s="1" t="str">
        <f>IF(E713="","",E713&amp;"|"&amp;COUNTIF($E$5:E713,E713))</f>
        <v/>
      </c>
    </row>
    <row r="714" spans="2:13" x14ac:dyDescent="0.2">
      <c r="B714" s="10"/>
      <c r="C714" s="7"/>
      <c r="D714" s="11"/>
      <c r="E714" s="6"/>
      <c r="F714" s="12" t="str">
        <f t="shared" si="22"/>
        <v/>
      </c>
      <c r="G714" s="13" t="str">
        <f t="shared" si="23"/>
        <v/>
      </c>
      <c r="H714" s="9"/>
      <c r="I714" s="9"/>
      <c r="J714" s="14" t="str">
        <f>IF(E714="","",IFERROR(VLOOKUP(E714,TabProd,5,FALSE),0)+SUMIFS($H$5:H714,$E$5:E714,E714)-SUMIFS($I$5:I714,$E$5:E714,E714))</f>
        <v/>
      </c>
      <c r="K714" s="7"/>
      <c r="L714" s="7"/>
      <c r="M714" s="1" t="str">
        <f>IF(E714="","",E714&amp;"|"&amp;COUNTIF($E$5:E714,E714))</f>
        <v/>
      </c>
    </row>
    <row r="715" spans="2:13" x14ac:dyDescent="0.2">
      <c r="B715" s="10"/>
      <c r="C715" s="7"/>
      <c r="D715" s="11"/>
      <c r="E715" s="6"/>
      <c r="F715" s="12" t="str">
        <f t="shared" si="22"/>
        <v/>
      </c>
      <c r="G715" s="13" t="str">
        <f t="shared" si="23"/>
        <v/>
      </c>
      <c r="H715" s="9"/>
      <c r="I715" s="9"/>
      <c r="J715" s="14" t="str">
        <f>IF(E715="","",IFERROR(VLOOKUP(E715,TabProd,5,FALSE),0)+SUMIFS($H$5:H715,$E$5:E715,E715)-SUMIFS($I$5:I715,$E$5:E715,E715))</f>
        <v/>
      </c>
      <c r="K715" s="7"/>
      <c r="L715" s="7"/>
      <c r="M715" s="1" t="str">
        <f>IF(E715="","",E715&amp;"|"&amp;COUNTIF($E$5:E715,E715))</f>
        <v/>
      </c>
    </row>
    <row r="716" spans="2:13" x14ac:dyDescent="0.2">
      <c r="B716" s="10"/>
      <c r="C716" s="7"/>
      <c r="D716" s="11"/>
      <c r="E716" s="6"/>
      <c r="F716" s="12" t="str">
        <f t="shared" si="22"/>
        <v/>
      </c>
      <c r="G716" s="13" t="str">
        <f t="shared" si="23"/>
        <v/>
      </c>
      <c r="H716" s="9"/>
      <c r="I716" s="9"/>
      <c r="J716" s="14" t="str">
        <f>IF(E716="","",IFERROR(VLOOKUP(E716,TabProd,5,FALSE),0)+SUMIFS($H$5:H716,$E$5:E716,E716)-SUMIFS($I$5:I716,$E$5:E716,E716))</f>
        <v/>
      </c>
      <c r="K716" s="7"/>
      <c r="L716" s="7"/>
      <c r="M716" s="1" t="str">
        <f>IF(E716="","",E716&amp;"|"&amp;COUNTIF($E$5:E716,E716))</f>
        <v/>
      </c>
    </row>
    <row r="717" spans="2:13" x14ac:dyDescent="0.2">
      <c r="B717" s="10"/>
      <c r="C717" s="7"/>
      <c r="D717" s="11"/>
      <c r="E717" s="6"/>
      <c r="F717" s="12" t="str">
        <f t="shared" si="22"/>
        <v/>
      </c>
      <c r="G717" s="13" t="str">
        <f t="shared" si="23"/>
        <v/>
      </c>
      <c r="H717" s="9"/>
      <c r="I717" s="9"/>
      <c r="J717" s="14" t="str">
        <f>IF(E717="","",IFERROR(VLOOKUP(E717,TabProd,5,FALSE),0)+SUMIFS($H$5:H717,$E$5:E717,E717)-SUMIFS($I$5:I717,$E$5:E717,E717))</f>
        <v/>
      </c>
      <c r="K717" s="7"/>
      <c r="L717" s="7"/>
      <c r="M717" s="1" t="str">
        <f>IF(E717="","",E717&amp;"|"&amp;COUNTIF($E$5:E717,E717))</f>
        <v/>
      </c>
    </row>
    <row r="718" spans="2:13" x14ac:dyDescent="0.2">
      <c r="B718" s="10"/>
      <c r="C718" s="7"/>
      <c r="D718" s="11"/>
      <c r="E718" s="6"/>
      <c r="F718" s="12" t="str">
        <f t="shared" si="22"/>
        <v/>
      </c>
      <c r="G718" s="13" t="str">
        <f t="shared" si="23"/>
        <v/>
      </c>
      <c r="H718" s="9"/>
      <c r="I718" s="9"/>
      <c r="J718" s="14" t="str">
        <f>IF(E718="","",IFERROR(VLOOKUP(E718,TabProd,5,FALSE),0)+SUMIFS($H$5:H718,$E$5:E718,E718)-SUMIFS($I$5:I718,$E$5:E718,E718))</f>
        <v/>
      </c>
      <c r="K718" s="7"/>
      <c r="L718" s="7"/>
      <c r="M718" s="1" t="str">
        <f>IF(E718="","",E718&amp;"|"&amp;COUNTIF($E$5:E718,E718))</f>
        <v/>
      </c>
    </row>
    <row r="719" spans="2:13" x14ac:dyDescent="0.2">
      <c r="B719" s="10"/>
      <c r="C719" s="7"/>
      <c r="D719" s="11"/>
      <c r="E719" s="6"/>
      <c r="F719" s="12" t="str">
        <f t="shared" si="22"/>
        <v/>
      </c>
      <c r="G719" s="13" t="str">
        <f t="shared" si="23"/>
        <v/>
      </c>
      <c r="H719" s="9"/>
      <c r="I719" s="9"/>
      <c r="J719" s="14" t="str">
        <f>IF(E719="","",IFERROR(VLOOKUP(E719,TabProd,5,FALSE),0)+SUMIFS($H$5:H719,$E$5:E719,E719)-SUMIFS($I$5:I719,$E$5:E719,E719))</f>
        <v/>
      </c>
      <c r="K719" s="7"/>
      <c r="L719" s="7"/>
      <c r="M719" s="1" t="str">
        <f>IF(E719="","",E719&amp;"|"&amp;COUNTIF($E$5:E719,E719))</f>
        <v/>
      </c>
    </row>
    <row r="720" spans="2:13" x14ac:dyDescent="0.2">
      <c r="B720" s="10"/>
      <c r="C720" s="7"/>
      <c r="D720" s="11"/>
      <c r="E720" s="6"/>
      <c r="F720" s="12" t="str">
        <f t="shared" si="22"/>
        <v/>
      </c>
      <c r="G720" s="13" t="str">
        <f t="shared" si="23"/>
        <v/>
      </c>
      <c r="H720" s="9"/>
      <c r="I720" s="9"/>
      <c r="J720" s="14" t="str">
        <f>IF(E720="","",IFERROR(VLOOKUP(E720,TabProd,5,FALSE),0)+SUMIFS($H$5:H720,$E$5:E720,E720)-SUMIFS($I$5:I720,$E$5:E720,E720))</f>
        <v/>
      </c>
      <c r="K720" s="7"/>
      <c r="L720" s="7"/>
      <c r="M720" s="1" t="str">
        <f>IF(E720="","",E720&amp;"|"&amp;COUNTIF($E$5:E720,E720))</f>
        <v/>
      </c>
    </row>
    <row r="721" spans="2:13" x14ac:dyDescent="0.2">
      <c r="B721" s="10"/>
      <c r="C721" s="7"/>
      <c r="D721" s="11"/>
      <c r="E721" s="6"/>
      <c r="F721" s="12" t="str">
        <f t="shared" si="22"/>
        <v/>
      </c>
      <c r="G721" s="13" t="str">
        <f t="shared" si="23"/>
        <v/>
      </c>
      <c r="H721" s="9"/>
      <c r="I721" s="9"/>
      <c r="J721" s="14" t="str">
        <f>IF(E721="","",IFERROR(VLOOKUP(E721,TabProd,5,FALSE),0)+SUMIFS($H$5:H721,$E$5:E721,E721)-SUMIFS($I$5:I721,$E$5:E721,E721))</f>
        <v/>
      </c>
      <c r="K721" s="7"/>
      <c r="L721" s="7"/>
      <c r="M721" s="1" t="str">
        <f>IF(E721="","",E721&amp;"|"&amp;COUNTIF($E$5:E721,E721))</f>
        <v/>
      </c>
    </row>
    <row r="722" spans="2:13" x14ac:dyDescent="0.2">
      <c r="B722" s="10"/>
      <c r="C722" s="7"/>
      <c r="D722" s="11"/>
      <c r="E722" s="6"/>
      <c r="F722" s="12" t="str">
        <f t="shared" si="22"/>
        <v/>
      </c>
      <c r="G722" s="13" t="str">
        <f t="shared" si="23"/>
        <v/>
      </c>
      <c r="H722" s="9"/>
      <c r="I722" s="9"/>
      <c r="J722" s="14" t="str">
        <f>IF(E722="","",IFERROR(VLOOKUP(E722,TabProd,5,FALSE),0)+SUMIFS($H$5:H722,$E$5:E722,E722)-SUMIFS($I$5:I722,$E$5:E722,E722))</f>
        <v/>
      </c>
      <c r="K722" s="7"/>
      <c r="L722" s="7"/>
      <c r="M722" s="1" t="str">
        <f>IF(E722="","",E722&amp;"|"&amp;COUNTIF($E$5:E722,E722))</f>
        <v/>
      </c>
    </row>
    <row r="723" spans="2:13" x14ac:dyDescent="0.2">
      <c r="B723" s="10"/>
      <c r="C723" s="7"/>
      <c r="D723" s="11"/>
      <c r="E723" s="6"/>
      <c r="F723" s="12" t="str">
        <f t="shared" si="22"/>
        <v/>
      </c>
      <c r="G723" s="13" t="str">
        <f t="shared" si="23"/>
        <v/>
      </c>
      <c r="H723" s="9"/>
      <c r="I723" s="9"/>
      <c r="J723" s="14" t="str">
        <f>IF(E723="","",IFERROR(VLOOKUP(E723,TabProd,5,FALSE),0)+SUMIFS($H$5:H723,$E$5:E723,E723)-SUMIFS($I$5:I723,$E$5:E723,E723))</f>
        <v/>
      </c>
      <c r="K723" s="7"/>
      <c r="L723" s="7"/>
      <c r="M723" s="1" t="str">
        <f>IF(E723="","",E723&amp;"|"&amp;COUNTIF($E$5:E723,E723))</f>
        <v/>
      </c>
    </row>
    <row r="724" spans="2:13" x14ac:dyDescent="0.2">
      <c r="B724" s="10"/>
      <c r="C724" s="7"/>
      <c r="D724" s="11"/>
      <c r="E724" s="6"/>
      <c r="F724" s="12" t="str">
        <f t="shared" si="22"/>
        <v/>
      </c>
      <c r="G724" s="13" t="str">
        <f t="shared" si="23"/>
        <v/>
      </c>
      <c r="H724" s="9"/>
      <c r="I724" s="9"/>
      <c r="J724" s="14" t="str">
        <f>IF(E724="","",IFERROR(VLOOKUP(E724,TabProd,5,FALSE),0)+SUMIFS($H$5:H724,$E$5:E724,E724)-SUMIFS($I$5:I724,$E$5:E724,E724))</f>
        <v/>
      </c>
      <c r="K724" s="7"/>
      <c r="L724" s="7"/>
      <c r="M724" s="1" t="str">
        <f>IF(E724="","",E724&amp;"|"&amp;COUNTIF($E$5:E724,E724))</f>
        <v/>
      </c>
    </row>
    <row r="725" spans="2:13" x14ac:dyDescent="0.2">
      <c r="B725" s="10"/>
      <c r="C725" s="7"/>
      <c r="D725" s="11"/>
      <c r="E725" s="6"/>
      <c r="F725" s="12" t="str">
        <f t="shared" si="22"/>
        <v/>
      </c>
      <c r="G725" s="13" t="str">
        <f t="shared" si="23"/>
        <v/>
      </c>
      <c r="H725" s="9"/>
      <c r="I725" s="9"/>
      <c r="J725" s="14" t="str">
        <f>IF(E725="","",IFERROR(VLOOKUP(E725,TabProd,5,FALSE),0)+SUMIFS($H$5:H725,$E$5:E725,E725)-SUMIFS($I$5:I725,$E$5:E725,E725))</f>
        <v/>
      </c>
      <c r="K725" s="7"/>
      <c r="L725" s="7"/>
      <c r="M725" s="1" t="str">
        <f>IF(E725="","",E725&amp;"|"&amp;COUNTIF($E$5:E725,E725))</f>
        <v/>
      </c>
    </row>
    <row r="726" spans="2:13" x14ac:dyDescent="0.2">
      <c r="B726" s="10"/>
      <c r="C726" s="7"/>
      <c r="D726" s="11"/>
      <c r="E726" s="6"/>
      <c r="F726" s="12" t="str">
        <f t="shared" si="22"/>
        <v/>
      </c>
      <c r="G726" s="13" t="str">
        <f t="shared" si="23"/>
        <v/>
      </c>
      <c r="H726" s="9"/>
      <c r="I726" s="9"/>
      <c r="J726" s="14" t="str">
        <f>IF(E726="","",IFERROR(VLOOKUP(E726,TabProd,5,FALSE),0)+SUMIFS($H$5:H726,$E$5:E726,E726)-SUMIFS($I$5:I726,$E$5:E726,E726))</f>
        <v/>
      </c>
      <c r="K726" s="7"/>
      <c r="L726" s="7"/>
      <c r="M726" s="1" t="str">
        <f>IF(E726="","",E726&amp;"|"&amp;COUNTIF($E$5:E726,E726))</f>
        <v/>
      </c>
    </row>
    <row r="727" spans="2:13" x14ac:dyDescent="0.2">
      <c r="B727" s="10"/>
      <c r="C727" s="7"/>
      <c r="D727" s="11"/>
      <c r="E727" s="6"/>
      <c r="F727" s="12" t="str">
        <f t="shared" si="22"/>
        <v/>
      </c>
      <c r="G727" s="13" t="str">
        <f t="shared" si="23"/>
        <v/>
      </c>
      <c r="H727" s="9"/>
      <c r="I727" s="9"/>
      <c r="J727" s="14" t="str">
        <f>IF(E727="","",IFERROR(VLOOKUP(E727,TabProd,5,FALSE),0)+SUMIFS($H$5:H727,$E$5:E727,E727)-SUMIFS($I$5:I727,$E$5:E727,E727))</f>
        <v/>
      </c>
      <c r="K727" s="7"/>
      <c r="L727" s="7"/>
      <c r="M727" s="1" t="str">
        <f>IF(E727="","",E727&amp;"|"&amp;COUNTIF($E$5:E727,E727))</f>
        <v/>
      </c>
    </row>
    <row r="728" spans="2:13" x14ac:dyDescent="0.2">
      <c r="B728" s="10"/>
      <c r="C728" s="7"/>
      <c r="D728" s="11"/>
      <c r="E728" s="6"/>
      <c r="F728" s="12" t="str">
        <f t="shared" si="22"/>
        <v/>
      </c>
      <c r="G728" s="13" t="str">
        <f t="shared" si="23"/>
        <v/>
      </c>
      <c r="H728" s="9"/>
      <c r="I728" s="9"/>
      <c r="J728" s="14" t="str">
        <f>IF(E728="","",IFERROR(VLOOKUP(E728,TabProd,5,FALSE),0)+SUMIFS($H$5:H728,$E$5:E728,E728)-SUMIFS($I$5:I728,$E$5:E728,E728))</f>
        <v/>
      </c>
      <c r="K728" s="7"/>
      <c r="L728" s="7"/>
      <c r="M728" s="1" t="str">
        <f>IF(E728="","",E728&amp;"|"&amp;COUNTIF($E$5:E728,E728))</f>
        <v/>
      </c>
    </row>
    <row r="729" spans="2:13" x14ac:dyDescent="0.2">
      <c r="B729" s="10"/>
      <c r="C729" s="7"/>
      <c r="D729" s="11"/>
      <c r="E729" s="6"/>
      <c r="F729" s="12" t="str">
        <f t="shared" si="22"/>
        <v/>
      </c>
      <c r="G729" s="13" t="str">
        <f t="shared" si="23"/>
        <v/>
      </c>
      <c r="H729" s="9"/>
      <c r="I729" s="9"/>
      <c r="J729" s="14" t="str">
        <f>IF(E729="","",IFERROR(VLOOKUP(E729,TabProd,5,FALSE),0)+SUMIFS($H$5:H729,$E$5:E729,E729)-SUMIFS($I$5:I729,$E$5:E729,E729))</f>
        <v/>
      </c>
      <c r="K729" s="7"/>
      <c r="L729" s="7"/>
      <c r="M729" s="1" t="str">
        <f>IF(E729="","",E729&amp;"|"&amp;COUNTIF($E$5:E729,E729))</f>
        <v/>
      </c>
    </row>
    <row r="730" spans="2:13" x14ac:dyDescent="0.2">
      <c r="B730" s="10"/>
      <c r="C730" s="7"/>
      <c r="D730" s="11"/>
      <c r="E730" s="6"/>
      <c r="F730" s="12" t="str">
        <f t="shared" si="22"/>
        <v/>
      </c>
      <c r="G730" s="13" t="str">
        <f t="shared" si="23"/>
        <v/>
      </c>
      <c r="H730" s="9"/>
      <c r="I730" s="9"/>
      <c r="J730" s="14" t="str">
        <f>IF(E730="","",IFERROR(VLOOKUP(E730,TabProd,5,FALSE),0)+SUMIFS($H$5:H730,$E$5:E730,E730)-SUMIFS($I$5:I730,$E$5:E730,E730))</f>
        <v/>
      </c>
      <c r="K730" s="7"/>
      <c r="L730" s="7"/>
      <c r="M730" s="1" t="str">
        <f>IF(E730="","",E730&amp;"|"&amp;COUNTIF($E$5:E730,E730))</f>
        <v/>
      </c>
    </row>
    <row r="731" spans="2:13" x14ac:dyDescent="0.2">
      <c r="B731" s="10"/>
      <c r="C731" s="7"/>
      <c r="D731" s="11"/>
      <c r="E731" s="6"/>
      <c r="F731" s="12" t="str">
        <f t="shared" si="22"/>
        <v/>
      </c>
      <c r="G731" s="13" t="str">
        <f t="shared" si="23"/>
        <v/>
      </c>
      <c r="H731" s="9"/>
      <c r="I731" s="9"/>
      <c r="J731" s="14" t="str">
        <f>IF(E731="","",IFERROR(VLOOKUP(E731,TabProd,5,FALSE),0)+SUMIFS($H$5:H731,$E$5:E731,E731)-SUMIFS($I$5:I731,$E$5:E731,E731))</f>
        <v/>
      </c>
      <c r="K731" s="7"/>
      <c r="L731" s="7"/>
      <c r="M731" s="1" t="str">
        <f>IF(E731="","",E731&amp;"|"&amp;COUNTIF($E$5:E731,E731))</f>
        <v/>
      </c>
    </row>
    <row r="732" spans="2:13" x14ac:dyDescent="0.2">
      <c r="B732" s="10"/>
      <c r="C732" s="7"/>
      <c r="D732" s="11"/>
      <c r="E732" s="6"/>
      <c r="F732" s="12" t="str">
        <f t="shared" si="22"/>
        <v/>
      </c>
      <c r="G732" s="13" t="str">
        <f t="shared" si="23"/>
        <v/>
      </c>
      <c r="H732" s="9"/>
      <c r="I732" s="9"/>
      <c r="J732" s="14" t="str">
        <f>IF(E732="","",IFERROR(VLOOKUP(E732,TabProd,5,FALSE),0)+SUMIFS($H$5:H732,$E$5:E732,E732)-SUMIFS($I$5:I732,$E$5:E732,E732))</f>
        <v/>
      </c>
      <c r="K732" s="7"/>
      <c r="L732" s="7"/>
      <c r="M732" s="1" t="str">
        <f>IF(E732="","",E732&amp;"|"&amp;COUNTIF($E$5:E732,E732))</f>
        <v/>
      </c>
    </row>
    <row r="733" spans="2:13" x14ac:dyDescent="0.2">
      <c r="B733" s="10"/>
      <c r="C733" s="7"/>
      <c r="D733" s="11"/>
      <c r="E733" s="6"/>
      <c r="F733" s="12" t="str">
        <f t="shared" si="22"/>
        <v/>
      </c>
      <c r="G733" s="13" t="str">
        <f t="shared" si="23"/>
        <v/>
      </c>
      <c r="H733" s="9"/>
      <c r="I733" s="9"/>
      <c r="J733" s="14" t="str">
        <f>IF(E733="","",IFERROR(VLOOKUP(E733,TabProd,5,FALSE),0)+SUMIFS($H$5:H733,$E$5:E733,E733)-SUMIFS($I$5:I733,$E$5:E733,E733))</f>
        <v/>
      </c>
      <c r="K733" s="7"/>
      <c r="L733" s="7"/>
      <c r="M733" s="1" t="str">
        <f>IF(E733="","",E733&amp;"|"&amp;COUNTIF($E$5:E733,E733))</f>
        <v/>
      </c>
    </row>
    <row r="734" spans="2:13" x14ac:dyDescent="0.2">
      <c r="B734" s="10"/>
      <c r="C734" s="7"/>
      <c r="D734" s="11"/>
      <c r="E734" s="6"/>
      <c r="F734" s="12" t="str">
        <f t="shared" si="22"/>
        <v/>
      </c>
      <c r="G734" s="13" t="str">
        <f t="shared" si="23"/>
        <v/>
      </c>
      <c r="H734" s="9"/>
      <c r="I734" s="9"/>
      <c r="J734" s="14" t="str">
        <f>IF(E734="","",IFERROR(VLOOKUP(E734,TabProd,5,FALSE),0)+SUMIFS($H$5:H734,$E$5:E734,E734)-SUMIFS($I$5:I734,$E$5:E734,E734))</f>
        <v/>
      </c>
      <c r="K734" s="7"/>
      <c r="L734" s="7"/>
      <c r="M734" s="1" t="str">
        <f>IF(E734="","",E734&amp;"|"&amp;COUNTIF($E$5:E734,E734))</f>
        <v/>
      </c>
    </row>
    <row r="735" spans="2:13" x14ac:dyDescent="0.2">
      <c r="B735" s="10"/>
      <c r="C735" s="7"/>
      <c r="D735" s="11"/>
      <c r="E735" s="6"/>
      <c r="F735" s="12" t="str">
        <f t="shared" si="22"/>
        <v/>
      </c>
      <c r="G735" s="13" t="str">
        <f t="shared" si="23"/>
        <v/>
      </c>
      <c r="H735" s="9"/>
      <c r="I735" s="9"/>
      <c r="J735" s="14" t="str">
        <f>IF(E735="","",IFERROR(VLOOKUP(E735,TabProd,5,FALSE),0)+SUMIFS($H$5:H735,$E$5:E735,E735)-SUMIFS($I$5:I735,$E$5:E735,E735))</f>
        <v/>
      </c>
      <c r="K735" s="7"/>
      <c r="L735" s="7"/>
      <c r="M735" s="1" t="str">
        <f>IF(E735="","",E735&amp;"|"&amp;COUNTIF($E$5:E735,E735))</f>
        <v/>
      </c>
    </row>
    <row r="736" spans="2:13" x14ac:dyDescent="0.2">
      <c r="B736" s="10"/>
      <c r="C736" s="7"/>
      <c r="D736" s="11"/>
      <c r="E736" s="6"/>
      <c r="F736" s="12" t="str">
        <f t="shared" si="22"/>
        <v/>
      </c>
      <c r="G736" s="13" t="str">
        <f t="shared" si="23"/>
        <v/>
      </c>
      <c r="H736" s="9"/>
      <c r="I736" s="9"/>
      <c r="J736" s="14" t="str">
        <f>IF(E736="","",IFERROR(VLOOKUP(E736,TabProd,5,FALSE),0)+SUMIFS($H$5:H736,$E$5:E736,E736)-SUMIFS($I$5:I736,$E$5:E736,E736))</f>
        <v/>
      </c>
      <c r="K736" s="7"/>
      <c r="L736" s="7"/>
      <c r="M736" s="1" t="str">
        <f>IF(E736="","",E736&amp;"|"&amp;COUNTIF($E$5:E736,E736))</f>
        <v/>
      </c>
    </row>
    <row r="737" spans="2:13" x14ac:dyDescent="0.2">
      <c r="B737" s="10"/>
      <c r="C737" s="7"/>
      <c r="D737" s="11"/>
      <c r="E737" s="6"/>
      <c r="F737" s="12" t="str">
        <f t="shared" si="22"/>
        <v/>
      </c>
      <c r="G737" s="13" t="str">
        <f t="shared" si="23"/>
        <v/>
      </c>
      <c r="H737" s="9"/>
      <c r="I737" s="9"/>
      <c r="J737" s="14" t="str">
        <f>IF(E737="","",IFERROR(VLOOKUP(E737,TabProd,5,FALSE),0)+SUMIFS($H$5:H737,$E$5:E737,E737)-SUMIFS($I$5:I737,$E$5:E737,E737))</f>
        <v/>
      </c>
      <c r="K737" s="7"/>
      <c r="L737" s="7"/>
      <c r="M737" s="1" t="str">
        <f>IF(E737="","",E737&amp;"|"&amp;COUNTIF($E$5:E737,E737))</f>
        <v/>
      </c>
    </row>
    <row r="738" spans="2:13" x14ac:dyDescent="0.2">
      <c r="B738" s="10"/>
      <c r="C738" s="7"/>
      <c r="D738" s="11"/>
      <c r="E738" s="6"/>
      <c r="F738" s="12" t="str">
        <f t="shared" si="22"/>
        <v/>
      </c>
      <c r="G738" s="13" t="str">
        <f t="shared" si="23"/>
        <v/>
      </c>
      <c r="H738" s="9"/>
      <c r="I738" s="9"/>
      <c r="J738" s="14" t="str">
        <f>IF(E738="","",IFERROR(VLOOKUP(E738,TabProd,5,FALSE),0)+SUMIFS($H$5:H738,$E$5:E738,E738)-SUMIFS($I$5:I738,$E$5:E738,E738))</f>
        <v/>
      </c>
      <c r="K738" s="7"/>
      <c r="L738" s="7"/>
      <c r="M738" s="1" t="str">
        <f>IF(E738="","",E738&amp;"|"&amp;COUNTIF($E$5:E738,E738))</f>
        <v/>
      </c>
    </row>
    <row r="739" spans="2:13" x14ac:dyDescent="0.2">
      <c r="B739" s="10"/>
      <c r="C739" s="7"/>
      <c r="D739" s="11"/>
      <c r="E739" s="6"/>
      <c r="F739" s="12" t="str">
        <f t="shared" si="22"/>
        <v/>
      </c>
      <c r="G739" s="13" t="str">
        <f t="shared" si="23"/>
        <v/>
      </c>
      <c r="H739" s="9"/>
      <c r="I739" s="9"/>
      <c r="J739" s="14" t="str">
        <f>IF(E739="","",IFERROR(VLOOKUP(E739,TabProd,5,FALSE),0)+SUMIFS($H$5:H739,$E$5:E739,E739)-SUMIFS($I$5:I739,$E$5:E739,E739))</f>
        <v/>
      </c>
      <c r="K739" s="7"/>
      <c r="L739" s="7"/>
      <c r="M739" s="1" t="str">
        <f>IF(E739="","",E739&amp;"|"&amp;COUNTIF($E$5:E739,E739))</f>
        <v/>
      </c>
    </row>
    <row r="740" spans="2:13" x14ac:dyDescent="0.2">
      <c r="B740" s="10"/>
      <c r="C740" s="7"/>
      <c r="D740" s="11"/>
      <c r="E740" s="6"/>
      <c r="F740" s="12" t="str">
        <f t="shared" si="22"/>
        <v/>
      </c>
      <c r="G740" s="13" t="str">
        <f t="shared" si="23"/>
        <v/>
      </c>
      <c r="H740" s="9"/>
      <c r="I740" s="9"/>
      <c r="J740" s="14" t="str">
        <f>IF(E740="","",IFERROR(VLOOKUP(E740,TabProd,5,FALSE),0)+SUMIFS($H$5:H740,$E$5:E740,E740)-SUMIFS($I$5:I740,$E$5:E740,E740))</f>
        <v/>
      </c>
      <c r="K740" s="7"/>
      <c r="L740" s="7"/>
      <c r="M740" s="1" t="str">
        <f>IF(E740="","",E740&amp;"|"&amp;COUNTIF($E$5:E740,E740))</f>
        <v/>
      </c>
    </row>
    <row r="741" spans="2:13" x14ac:dyDescent="0.2">
      <c r="B741" s="10"/>
      <c r="C741" s="7"/>
      <c r="D741" s="11"/>
      <c r="E741" s="6"/>
      <c r="F741" s="12" t="str">
        <f t="shared" si="22"/>
        <v/>
      </c>
      <c r="G741" s="13" t="str">
        <f t="shared" si="23"/>
        <v/>
      </c>
      <c r="H741" s="9"/>
      <c r="I741" s="9"/>
      <c r="J741" s="14" t="str">
        <f>IF(E741="","",IFERROR(VLOOKUP(E741,TabProd,5,FALSE),0)+SUMIFS($H$5:H741,$E$5:E741,E741)-SUMIFS($I$5:I741,$E$5:E741,E741))</f>
        <v/>
      </c>
      <c r="K741" s="7"/>
      <c r="L741" s="7"/>
      <c r="M741" s="1" t="str">
        <f>IF(E741="","",E741&amp;"|"&amp;COUNTIF($E$5:E741,E741))</f>
        <v/>
      </c>
    </row>
    <row r="742" spans="2:13" x14ac:dyDescent="0.2">
      <c r="B742" s="10"/>
      <c r="C742" s="7"/>
      <c r="D742" s="11"/>
      <c r="E742" s="6"/>
      <c r="F742" s="12" t="str">
        <f t="shared" si="22"/>
        <v/>
      </c>
      <c r="G742" s="13" t="str">
        <f t="shared" si="23"/>
        <v/>
      </c>
      <c r="H742" s="9"/>
      <c r="I742" s="9"/>
      <c r="J742" s="14" t="str">
        <f>IF(E742="","",IFERROR(VLOOKUP(E742,TabProd,5,FALSE),0)+SUMIFS($H$5:H742,$E$5:E742,E742)-SUMIFS($I$5:I742,$E$5:E742,E742))</f>
        <v/>
      </c>
      <c r="K742" s="7"/>
      <c r="L742" s="7"/>
      <c r="M742" s="1" t="str">
        <f>IF(E742="","",E742&amp;"|"&amp;COUNTIF($E$5:E742,E742))</f>
        <v/>
      </c>
    </row>
    <row r="743" spans="2:13" x14ac:dyDescent="0.2">
      <c r="B743" s="10"/>
      <c r="C743" s="7"/>
      <c r="D743" s="11"/>
      <c r="E743" s="6"/>
      <c r="F743" s="12" t="str">
        <f t="shared" si="22"/>
        <v/>
      </c>
      <c r="G743" s="13" t="str">
        <f t="shared" si="23"/>
        <v/>
      </c>
      <c r="H743" s="9"/>
      <c r="I743" s="9"/>
      <c r="J743" s="14" t="str">
        <f>IF(E743="","",IFERROR(VLOOKUP(E743,TabProd,5,FALSE),0)+SUMIFS($H$5:H743,$E$5:E743,E743)-SUMIFS($I$5:I743,$E$5:E743,E743))</f>
        <v/>
      </c>
      <c r="K743" s="7"/>
      <c r="L743" s="7"/>
      <c r="M743" s="1" t="str">
        <f>IF(E743="","",E743&amp;"|"&amp;COUNTIF($E$5:E743,E743))</f>
        <v/>
      </c>
    </row>
    <row r="744" spans="2:13" x14ac:dyDescent="0.2">
      <c r="B744" s="10"/>
      <c r="C744" s="7"/>
      <c r="D744" s="11"/>
      <c r="E744" s="6"/>
      <c r="F744" s="12" t="str">
        <f t="shared" si="22"/>
        <v/>
      </c>
      <c r="G744" s="13" t="str">
        <f t="shared" si="23"/>
        <v/>
      </c>
      <c r="H744" s="9"/>
      <c r="I744" s="9"/>
      <c r="J744" s="14" t="str">
        <f>IF(E744="","",IFERROR(VLOOKUP(E744,TabProd,5,FALSE),0)+SUMIFS($H$5:H744,$E$5:E744,E744)-SUMIFS($I$5:I744,$E$5:E744,E744))</f>
        <v/>
      </c>
      <c r="K744" s="7"/>
      <c r="L744" s="7"/>
      <c r="M744" s="1" t="str">
        <f>IF(E744="","",E744&amp;"|"&amp;COUNTIF($E$5:E744,E744))</f>
        <v/>
      </c>
    </row>
    <row r="745" spans="2:13" x14ac:dyDescent="0.2">
      <c r="B745" s="10"/>
      <c r="C745" s="7"/>
      <c r="D745" s="11"/>
      <c r="E745" s="6"/>
      <c r="F745" s="12" t="str">
        <f t="shared" si="22"/>
        <v/>
      </c>
      <c r="G745" s="13" t="str">
        <f t="shared" si="23"/>
        <v/>
      </c>
      <c r="H745" s="9"/>
      <c r="I745" s="9"/>
      <c r="J745" s="14" t="str">
        <f>IF(E745="","",IFERROR(VLOOKUP(E745,TabProd,5,FALSE),0)+SUMIFS($H$5:H745,$E$5:E745,E745)-SUMIFS($I$5:I745,$E$5:E745,E745))</f>
        <v/>
      </c>
      <c r="K745" s="7"/>
      <c r="L745" s="7"/>
      <c r="M745" s="1" t="str">
        <f>IF(E745="","",E745&amp;"|"&amp;COUNTIF($E$5:E745,E745))</f>
        <v/>
      </c>
    </row>
    <row r="746" spans="2:13" x14ac:dyDescent="0.2">
      <c r="B746" s="10"/>
      <c r="C746" s="7"/>
      <c r="D746" s="11"/>
      <c r="E746" s="6"/>
      <c r="F746" s="12" t="str">
        <f t="shared" si="22"/>
        <v/>
      </c>
      <c r="G746" s="13" t="str">
        <f t="shared" si="23"/>
        <v/>
      </c>
      <c r="H746" s="9"/>
      <c r="I746" s="9"/>
      <c r="J746" s="14" t="str">
        <f>IF(E746="","",IFERROR(VLOOKUP(E746,TabProd,5,FALSE),0)+SUMIFS($H$5:H746,$E$5:E746,E746)-SUMIFS($I$5:I746,$E$5:E746,E746))</f>
        <v/>
      </c>
      <c r="K746" s="7"/>
      <c r="L746" s="7"/>
      <c r="M746" s="1" t="str">
        <f>IF(E746="","",E746&amp;"|"&amp;COUNTIF($E$5:E746,E746))</f>
        <v/>
      </c>
    </row>
    <row r="747" spans="2:13" x14ac:dyDescent="0.2">
      <c r="B747" s="10"/>
      <c r="C747" s="7"/>
      <c r="D747" s="11"/>
      <c r="E747" s="6"/>
      <c r="F747" s="12" t="str">
        <f t="shared" si="22"/>
        <v/>
      </c>
      <c r="G747" s="13" t="str">
        <f t="shared" si="23"/>
        <v/>
      </c>
      <c r="H747" s="9"/>
      <c r="I747" s="9"/>
      <c r="J747" s="14" t="str">
        <f>IF(E747="","",IFERROR(VLOOKUP(E747,TabProd,5,FALSE),0)+SUMIFS($H$5:H747,$E$5:E747,E747)-SUMIFS($I$5:I747,$E$5:E747,E747))</f>
        <v/>
      </c>
      <c r="K747" s="7"/>
      <c r="L747" s="7"/>
      <c r="M747" s="1" t="str">
        <f>IF(E747="","",E747&amp;"|"&amp;COUNTIF($E$5:E747,E747))</f>
        <v/>
      </c>
    </row>
    <row r="748" spans="2:13" x14ac:dyDescent="0.2">
      <c r="B748" s="10"/>
      <c r="C748" s="7"/>
      <c r="D748" s="11"/>
      <c r="E748" s="6"/>
      <c r="F748" s="12" t="str">
        <f t="shared" si="22"/>
        <v/>
      </c>
      <c r="G748" s="13" t="str">
        <f t="shared" si="23"/>
        <v/>
      </c>
      <c r="H748" s="9"/>
      <c r="I748" s="9"/>
      <c r="J748" s="14" t="str">
        <f>IF(E748="","",IFERROR(VLOOKUP(E748,TabProd,5,FALSE),0)+SUMIFS($H$5:H748,$E$5:E748,E748)-SUMIFS($I$5:I748,$E$5:E748,E748))</f>
        <v/>
      </c>
      <c r="K748" s="7"/>
      <c r="L748" s="7"/>
      <c r="M748" s="1" t="str">
        <f>IF(E748="","",E748&amp;"|"&amp;COUNTIF($E$5:E748,E748))</f>
        <v/>
      </c>
    </row>
    <row r="749" spans="2:13" x14ac:dyDescent="0.2">
      <c r="B749" s="10"/>
      <c r="C749" s="7"/>
      <c r="D749" s="11"/>
      <c r="E749" s="6"/>
      <c r="F749" s="12" t="str">
        <f t="shared" si="22"/>
        <v/>
      </c>
      <c r="G749" s="13" t="str">
        <f t="shared" si="23"/>
        <v/>
      </c>
      <c r="H749" s="9"/>
      <c r="I749" s="9"/>
      <c r="J749" s="14" t="str">
        <f>IF(E749="","",IFERROR(VLOOKUP(E749,TabProd,5,FALSE),0)+SUMIFS($H$5:H749,$E$5:E749,E749)-SUMIFS($I$5:I749,$E$5:E749,E749))</f>
        <v/>
      </c>
      <c r="K749" s="7"/>
      <c r="L749" s="7"/>
      <c r="M749" s="1" t="str">
        <f>IF(E749="","",E749&amp;"|"&amp;COUNTIF($E$5:E749,E749))</f>
        <v/>
      </c>
    </row>
    <row r="750" spans="2:13" x14ac:dyDescent="0.2">
      <c r="B750" s="10"/>
      <c r="C750" s="7"/>
      <c r="D750" s="11"/>
      <c r="E750" s="6"/>
      <c r="F750" s="12" t="str">
        <f t="shared" si="22"/>
        <v/>
      </c>
      <c r="G750" s="13" t="str">
        <f t="shared" si="23"/>
        <v/>
      </c>
      <c r="H750" s="9"/>
      <c r="I750" s="9"/>
      <c r="J750" s="14" t="str">
        <f>IF(E750="","",IFERROR(VLOOKUP(E750,TabProd,5,FALSE),0)+SUMIFS($H$5:H750,$E$5:E750,E750)-SUMIFS($I$5:I750,$E$5:E750,E750))</f>
        <v/>
      </c>
      <c r="K750" s="7"/>
      <c r="L750" s="7"/>
      <c r="M750" s="1" t="str">
        <f>IF(E750="","",E750&amp;"|"&amp;COUNTIF($E$5:E750,E750))</f>
        <v/>
      </c>
    </row>
    <row r="751" spans="2:13" x14ac:dyDescent="0.2">
      <c r="B751" s="10"/>
      <c r="C751" s="7"/>
      <c r="D751" s="11"/>
      <c r="E751" s="6"/>
      <c r="F751" s="12" t="str">
        <f t="shared" si="22"/>
        <v/>
      </c>
      <c r="G751" s="13" t="str">
        <f t="shared" si="23"/>
        <v/>
      </c>
      <c r="H751" s="9"/>
      <c r="I751" s="9"/>
      <c r="J751" s="14" t="str">
        <f>IF(E751="","",IFERROR(VLOOKUP(E751,TabProd,5,FALSE),0)+SUMIFS($H$5:H751,$E$5:E751,E751)-SUMIFS($I$5:I751,$E$5:E751,E751))</f>
        <v/>
      </c>
      <c r="K751" s="7"/>
      <c r="L751" s="7"/>
      <c r="M751" s="1" t="str">
        <f>IF(E751="","",E751&amp;"|"&amp;COUNTIF($E$5:E751,E751))</f>
        <v/>
      </c>
    </row>
    <row r="752" spans="2:13" x14ac:dyDescent="0.2">
      <c r="B752" s="10"/>
      <c r="C752" s="7"/>
      <c r="D752" s="11"/>
      <c r="E752" s="6"/>
      <c r="F752" s="12" t="str">
        <f t="shared" si="22"/>
        <v/>
      </c>
      <c r="G752" s="13" t="str">
        <f t="shared" si="23"/>
        <v/>
      </c>
      <c r="H752" s="9"/>
      <c r="I752" s="9"/>
      <c r="J752" s="14" t="str">
        <f>IF(E752="","",IFERROR(VLOOKUP(E752,TabProd,5,FALSE),0)+SUMIFS($H$5:H752,$E$5:E752,E752)-SUMIFS($I$5:I752,$E$5:E752,E752))</f>
        <v/>
      </c>
      <c r="K752" s="7"/>
      <c r="L752" s="7"/>
      <c r="M752" s="1" t="str">
        <f>IF(E752="","",E752&amp;"|"&amp;COUNTIF($E$5:E752,E752))</f>
        <v/>
      </c>
    </row>
    <row r="753" spans="2:13" x14ac:dyDescent="0.2">
      <c r="B753" s="10"/>
      <c r="C753" s="7"/>
      <c r="D753" s="11"/>
      <c r="E753" s="6"/>
      <c r="F753" s="12" t="str">
        <f t="shared" si="22"/>
        <v/>
      </c>
      <c r="G753" s="13" t="str">
        <f t="shared" si="23"/>
        <v/>
      </c>
      <c r="H753" s="9"/>
      <c r="I753" s="9"/>
      <c r="J753" s="14" t="str">
        <f>IF(E753="","",IFERROR(VLOOKUP(E753,TabProd,5,FALSE),0)+SUMIFS($H$5:H753,$E$5:E753,E753)-SUMIFS($I$5:I753,$E$5:E753,E753))</f>
        <v/>
      </c>
      <c r="K753" s="7"/>
      <c r="L753" s="7"/>
      <c r="M753" s="1" t="str">
        <f>IF(E753="","",E753&amp;"|"&amp;COUNTIF($E$5:E753,E753))</f>
        <v/>
      </c>
    </row>
    <row r="754" spans="2:13" x14ac:dyDescent="0.2">
      <c r="B754" s="10"/>
      <c r="C754" s="7"/>
      <c r="D754" s="11"/>
      <c r="E754" s="6"/>
      <c r="F754" s="12" t="str">
        <f t="shared" si="22"/>
        <v/>
      </c>
      <c r="G754" s="13" t="str">
        <f t="shared" si="23"/>
        <v/>
      </c>
      <c r="H754" s="9"/>
      <c r="I754" s="9"/>
      <c r="J754" s="14" t="str">
        <f>IF(E754="","",IFERROR(VLOOKUP(E754,TabProd,5,FALSE),0)+SUMIFS($H$5:H754,$E$5:E754,E754)-SUMIFS($I$5:I754,$E$5:E754,E754))</f>
        <v/>
      </c>
      <c r="K754" s="7"/>
      <c r="L754" s="7"/>
      <c r="M754" s="1" t="str">
        <f>IF(E754="","",E754&amp;"|"&amp;COUNTIF($E$5:E754,E754))</f>
        <v/>
      </c>
    </row>
    <row r="755" spans="2:13" x14ac:dyDescent="0.2">
      <c r="B755" s="10"/>
      <c r="C755" s="7"/>
      <c r="D755" s="11"/>
      <c r="E755" s="6"/>
      <c r="F755" s="12" t="str">
        <f t="shared" si="22"/>
        <v/>
      </c>
      <c r="G755" s="13" t="str">
        <f t="shared" si="23"/>
        <v/>
      </c>
      <c r="H755" s="9"/>
      <c r="I755" s="9"/>
      <c r="J755" s="14" t="str">
        <f>IF(E755="","",IFERROR(VLOOKUP(E755,TabProd,5,FALSE),0)+SUMIFS($H$5:H755,$E$5:E755,E755)-SUMIFS($I$5:I755,$E$5:E755,E755))</f>
        <v/>
      </c>
      <c r="K755" s="7"/>
      <c r="L755" s="7"/>
      <c r="M755" s="1" t="str">
        <f>IF(E755="","",E755&amp;"|"&amp;COUNTIF($E$5:E755,E755))</f>
        <v/>
      </c>
    </row>
    <row r="756" spans="2:13" x14ac:dyDescent="0.2">
      <c r="B756" s="10"/>
      <c r="C756" s="7"/>
      <c r="D756" s="11"/>
      <c r="E756" s="6"/>
      <c r="F756" s="12" t="str">
        <f t="shared" si="22"/>
        <v/>
      </c>
      <c r="G756" s="13" t="str">
        <f t="shared" si="23"/>
        <v/>
      </c>
      <c r="H756" s="9"/>
      <c r="I756" s="9"/>
      <c r="J756" s="14" t="str">
        <f>IF(E756="","",IFERROR(VLOOKUP(E756,TabProd,5,FALSE),0)+SUMIFS($H$5:H756,$E$5:E756,E756)-SUMIFS($I$5:I756,$E$5:E756,E756))</f>
        <v/>
      </c>
      <c r="K756" s="7"/>
      <c r="L756" s="7"/>
      <c r="M756" s="1" t="str">
        <f>IF(E756="","",E756&amp;"|"&amp;COUNTIF($E$5:E756,E756))</f>
        <v/>
      </c>
    </row>
    <row r="757" spans="2:13" x14ac:dyDescent="0.2">
      <c r="B757" s="10"/>
      <c r="C757" s="7"/>
      <c r="D757" s="11"/>
      <c r="E757" s="6"/>
      <c r="F757" s="12" t="str">
        <f t="shared" si="22"/>
        <v/>
      </c>
      <c r="G757" s="13" t="str">
        <f t="shared" si="23"/>
        <v/>
      </c>
      <c r="H757" s="9"/>
      <c r="I757" s="9"/>
      <c r="J757" s="14" t="str">
        <f>IF(E757="","",IFERROR(VLOOKUP(E757,TabProd,5,FALSE),0)+SUMIFS($H$5:H757,$E$5:E757,E757)-SUMIFS($I$5:I757,$E$5:E757,E757))</f>
        <v/>
      </c>
      <c r="K757" s="7"/>
      <c r="L757" s="7"/>
      <c r="M757" s="1" t="str">
        <f>IF(E757="","",E757&amp;"|"&amp;COUNTIF($E$5:E757,E757))</f>
        <v/>
      </c>
    </row>
    <row r="758" spans="2:13" x14ac:dyDescent="0.2">
      <c r="B758" s="10"/>
      <c r="C758" s="7"/>
      <c r="D758" s="11"/>
      <c r="E758" s="6"/>
      <c r="F758" s="12" t="str">
        <f t="shared" si="22"/>
        <v/>
      </c>
      <c r="G758" s="13" t="str">
        <f t="shared" si="23"/>
        <v/>
      </c>
      <c r="H758" s="9"/>
      <c r="I758" s="9"/>
      <c r="J758" s="14" t="str">
        <f>IF(E758="","",IFERROR(VLOOKUP(E758,TabProd,5,FALSE),0)+SUMIFS($H$5:H758,$E$5:E758,E758)-SUMIFS($I$5:I758,$E$5:E758,E758))</f>
        <v/>
      </c>
      <c r="K758" s="7"/>
      <c r="L758" s="7"/>
      <c r="M758" s="1" t="str">
        <f>IF(E758="","",E758&amp;"|"&amp;COUNTIF($E$5:E758,E758))</f>
        <v/>
      </c>
    </row>
    <row r="759" spans="2:13" x14ac:dyDescent="0.2">
      <c r="B759" s="10"/>
      <c r="C759" s="7"/>
      <c r="D759" s="11"/>
      <c r="E759" s="6"/>
      <c r="F759" s="12" t="str">
        <f t="shared" si="22"/>
        <v/>
      </c>
      <c r="G759" s="13" t="str">
        <f t="shared" si="23"/>
        <v/>
      </c>
      <c r="H759" s="9"/>
      <c r="I759" s="9"/>
      <c r="J759" s="14" t="str">
        <f>IF(E759="","",IFERROR(VLOOKUP(E759,TabProd,5,FALSE),0)+SUMIFS($H$5:H759,$E$5:E759,E759)-SUMIFS($I$5:I759,$E$5:E759,E759))</f>
        <v/>
      </c>
      <c r="K759" s="7"/>
      <c r="L759" s="7"/>
      <c r="M759" s="1" t="str">
        <f>IF(E759="","",E759&amp;"|"&amp;COUNTIF($E$5:E759,E759))</f>
        <v/>
      </c>
    </row>
    <row r="760" spans="2:13" x14ac:dyDescent="0.2">
      <c r="B760" s="10"/>
      <c r="C760" s="7"/>
      <c r="D760" s="11"/>
      <c r="E760" s="6"/>
      <c r="F760" s="12" t="str">
        <f t="shared" si="22"/>
        <v/>
      </c>
      <c r="G760" s="13" t="str">
        <f t="shared" si="23"/>
        <v/>
      </c>
      <c r="H760" s="9"/>
      <c r="I760" s="9"/>
      <c r="J760" s="14" t="str">
        <f>IF(E760="","",IFERROR(VLOOKUP(E760,TabProd,5,FALSE),0)+SUMIFS($H$5:H760,$E$5:E760,E760)-SUMIFS($I$5:I760,$E$5:E760,E760))</f>
        <v/>
      </c>
      <c r="K760" s="7"/>
      <c r="L760" s="7"/>
      <c r="M760" s="1" t="str">
        <f>IF(E760="","",E760&amp;"|"&amp;COUNTIF($E$5:E760,E760))</f>
        <v/>
      </c>
    </row>
    <row r="761" spans="2:13" x14ac:dyDescent="0.2">
      <c r="B761" s="10"/>
      <c r="C761" s="7"/>
      <c r="D761" s="11"/>
      <c r="E761" s="6"/>
      <c r="F761" s="12" t="str">
        <f t="shared" si="22"/>
        <v/>
      </c>
      <c r="G761" s="13" t="str">
        <f t="shared" si="23"/>
        <v/>
      </c>
      <c r="H761" s="9"/>
      <c r="I761" s="9"/>
      <c r="J761" s="14" t="str">
        <f>IF(E761="","",IFERROR(VLOOKUP(E761,TabProd,5,FALSE),0)+SUMIFS($H$5:H761,$E$5:E761,E761)-SUMIFS($I$5:I761,$E$5:E761,E761))</f>
        <v/>
      </c>
      <c r="K761" s="7"/>
      <c r="L761" s="7"/>
      <c r="M761" s="1" t="str">
        <f>IF(E761="","",E761&amp;"|"&amp;COUNTIF($E$5:E761,E761))</f>
        <v/>
      </c>
    </row>
    <row r="762" spans="2:13" x14ac:dyDescent="0.2">
      <c r="B762" s="10"/>
      <c r="C762" s="7"/>
      <c r="D762" s="11"/>
      <c r="E762" s="6"/>
      <c r="F762" s="12" t="str">
        <f t="shared" si="22"/>
        <v/>
      </c>
      <c r="G762" s="13" t="str">
        <f t="shared" si="23"/>
        <v/>
      </c>
      <c r="H762" s="9"/>
      <c r="I762" s="9"/>
      <c r="J762" s="14" t="str">
        <f>IF(E762="","",IFERROR(VLOOKUP(E762,TabProd,5,FALSE),0)+SUMIFS($H$5:H762,$E$5:E762,E762)-SUMIFS($I$5:I762,$E$5:E762,E762))</f>
        <v/>
      </c>
      <c r="K762" s="7"/>
      <c r="L762" s="7"/>
      <c r="M762" s="1" t="str">
        <f>IF(E762="","",E762&amp;"|"&amp;COUNTIF($E$5:E762,E762))</f>
        <v/>
      </c>
    </row>
    <row r="763" spans="2:13" x14ac:dyDescent="0.2">
      <c r="B763" s="10"/>
      <c r="C763" s="7"/>
      <c r="D763" s="11"/>
      <c r="E763" s="6"/>
      <c r="F763" s="12" t="str">
        <f t="shared" si="22"/>
        <v/>
      </c>
      <c r="G763" s="13" t="str">
        <f t="shared" si="23"/>
        <v/>
      </c>
      <c r="H763" s="9"/>
      <c r="I763" s="9"/>
      <c r="J763" s="14" t="str">
        <f>IF(E763="","",IFERROR(VLOOKUP(E763,TabProd,5,FALSE),0)+SUMIFS($H$5:H763,$E$5:E763,E763)-SUMIFS($I$5:I763,$E$5:E763,E763))</f>
        <v/>
      </c>
      <c r="K763" s="7"/>
      <c r="L763" s="7"/>
      <c r="M763" s="1" t="str">
        <f>IF(E763="","",E763&amp;"|"&amp;COUNTIF($E$5:E763,E763))</f>
        <v/>
      </c>
    </row>
    <row r="764" spans="2:13" x14ac:dyDescent="0.2">
      <c r="B764" s="10"/>
      <c r="C764" s="7"/>
      <c r="D764" s="11"/>
      <c r="E764" s="6"/>
      <c r="F764" s="12" t="str">
        <f t="shared" si="22"/>
        <v/>
      </c>
      <c r="G764" s="13" t="str">
        <f t="shared" si="23"/>
        <v/>
      </c>
      <c r="H764" s="9"/>
      <c r="I764" s="9"/>
      <c r="J764" s="14" t="str">
        <f>IF(E764="","",IFERROR(VLOOKUP(E764,TabProd,5,FALSE),0)+SUMIFS($H$5:H764,$E$5:E764,E764)-SUMIFS($I$5:I764,$E$5:E764,E764))</f>
        <v/>
      </c>
      <c r="K764" s="7"/>
      <c r="L764" s="7"/>
      <c r="M764" s="1" t="str">
        <f>IF(E764="","",E764&amp;"|"&amp;COUNTIF($E$5:E764,E764))</f>
        <v/>
      </c>
    </row>
    <row r="765" spans="2:13" x14ac:dyDescent="0.2">
      <c r="B765" s="10"/>
      <c r="C765" s="7"/>
      <c r="D765" s="11"/>
      <c r="E765" s="6"/>
      <c r="F765" s="12" t="str">
        <f t="shared" si="22"/>
        <v/>
      </c>
      <c r="G765" s="13" t="str">
        <f t="shared" si="23"/>
        <v/>
      </c>
      <c r="H765" s="9"/>
      <c r="I765" s="9"/>
      <c r="J765" s="14" t="str">
        <f>IF(E765="","",IFERROR(VLOOKUP(E765,TabProd,5,FALSE),0)+SUMIFS($H$5:H765,$E$5:E765,E765)-SUMIFS($I$5:I765,$E$5:E765,E765))</f>
        <v/>
      </c>
      <c r="K765" s="7"/>
      <c r="L765" s="7"/>
      <c r="M765" s="1" t="str">
        <f>IF(E765="","",E765&amp;"|"&amp;COUNTIF($E$5:E765,E765))</f>
        <v/>
      </c>
    </row>
    <row r="766" spans="2:13" x14ac:dyDescent="0.2">
      <c r="B766" s="10"/>
      <c r="C766" s="7"/>
      <c r="D766" s="11"/>
      <c r="E766" s="6"/>
      <c r="F766" s="12" t="str">
        <f t="shared" si="22"/>
        <v/>
      </c>
      <c r="G766" s="13" t="str">
        <f t="shared" si="23"/>
        <v/>
      </c>
      <c r="H766" s="9"/>
      <c r="I766" s="9"/>
      <c r="J766" s="14" t="str">
        <f>IF(E766="","",IFERROR(VLOOKUP(E766,TabProd,5,FALSE),0)+SUMIFS($H$5:H766,$E$5:E766,E766)-SUMIFS($I$5:I766,$E$5:E766,E766))</f>
        <v/>
      </c>
      <c r="K766" s="7"/>
      <c r="L766" s="7"/>
      <c r="M766" s="1" t="str">
        <f>IF(E766="","",E766&amp;"|"&amp;COUNTIF($E$5:E766,E766))</f>
        <v/>
      </c>
    </row>
    <row r="767" spans="2:13" x14ac:dyDescent="0.2">
      <c r="B767" s="10"/>
      <c r="C767" s="7"/>
      <c r="D767" s="11"/>
      <c r="E767" s="6"/>
      <c r="F767" s="12" t="str">
        <f t="shared" si="22"/>
        <v/>
      </c>
      <c r="G767" s="13" t="str">
        <f t="shared" si="23"/>
        <v/>
      </c>
      <c r="H767" s="9"/>
      <c r="I767" s="9"/>
      <c r="J767" s="14" t="str">
        <f>IF(E767="","",IFERROR(VLOOKUP(E767,TabProd,5,FALSE),0)+SUMIFS($H$5:H767,$E$5:E767,E767)-SUMIFS($I$5:I767,$E$5:E767,E767))</f>
        <v/>
      </c>
      <c r="K767" s="7"/>
      <c r="L767" s="7"/>
      <c r="M767" s="1" t="str">
        <f>IF(E767="","",E767&amp;"|"&amp;COUNTIF($E$5:E767,E767))</f>
        <v/>
      </c>
    </row>
    <row r="768" spans="2:13" x14ac:dyDescent="0.2">
      <c r="B768" s="10"/>
      <c r="C768" s="7"/>
      <c r="D768" s="11"/>
      <c r="E768" s="6"/>
      <c r="F768" s="12" t="str">
        <f t="shared" si="22"/>
        <v/>
      </c>
      <c r="G768" s="13" t="str">
        <f t="shared" si="23"/>
        <v/>
      </c>
      <c r="H768" s="9"/>
      <c r="I768" s="9"/>
      <c r="J768" s="14" t="str">
        <f>IF(E768="","",IFERROR(VLOOKUP(E768,TabProd,5,FALSE),0)+SUMIFS($H$5:H768,$E$5:E768,E768)-SUMIFS($I$5:I768,$E$5:E768,E768))</f>
        <v/>
      </c>
      <c r="K768" s="7"/>
      <c r="L768" s="7"/>
      <c r="M768" s="1" t="str">
        <f>IF(E768="","",E768&amp;"|"&amp;COUNTIF($E$5:E768,E768))</f>
        <v/>
      </c>
    </row>
    <row r="769" spans="2:13" x14ac:dyDescent="0.2">
      <c r="B769" s="10"/>
      <c r="C769" s="7"/>
      <c r="D769" s="11"/>
      <c r="E769" s="6"/>
      <c r="F769" s="12" t="str">
        <f t="shared" si="22"/>
        <v/>
      </c>
      <c r="G769" s="13" t="str">
        <f t="shared" si="23"/>
        <v/>
      </c>
      <c r="H769" s="9"/>
      <c r="I769" s="9"/>
      <c r="J769" s="14" t="str">
        <f>IF(E769="","",IFERROR(VLOOKUP(E769,TabProd,5,FALSE),0)+SUMIFS($H$5:H769,$E$5:E769,E769)-SUMIFS($I$5:I769,$E$5:E769,E769))</f>
        <v/>
      </c>
      <c r="K769" s="7"/>
      <c r="L769" s="7"/>
      <c r="M769" s="1" t="str">
        <f>IF(E769="","",E769&amp;"|"&amp;COUNTIF($E$5:E769,E769))</f>
        <v/>
      </c>
    </row>
    <row r="770" spans="2:13" x14ac:dyDescent="0.2">
      <c r="B770" s="10"/>
      <c r="C770" s="7"/>
      <c r="D770" s="11"/>
      <c r="E770" s="6"/>
      <c r="F770" s="12" t="str">
        <f t="shared" si="22"/>
        <v/>
      </c>
      <c r="G770" s="13" t="str">
        <f t="shared" si="23"/>
        <v/>
      </c>
      <c r="H770" s="9"/>
      <c r="I770" s="9"/>
      <c r="J770" s="14" t="str">
        <f>IF(E770="","",IFERROR(VLOOKUP(E770,TabProd,5,FALSE),0)+SUMIFS($H$5:H770,$E$5:E770,E770)-SUMIFS($I$5:I770,$E$5:E770,E770))</f>
        <v/>
      </c>
      <c r="K770" s="7"/>
      <c r="L770" s="7"/>
      <c r="M770" s="1" t="str">
        <f>IF(E770="","",E770&amp;"|"&amp;COUNTIF($E$5:E770,E770))</f>
        <v/>
      </c>
    </row>
    <row r="771" spans="2:13" x14ac:dyDescent="0.2">
      <c r="B771" s="10"/>
      <c r="C771" s="7"/>
      <c r="D771" s="11"/>
      <c r="E771" s="6"/>
      <c r="F771" s="12" t="str">
        <f t="shared" si="22"/>
        <v/>
      </c>
      <c r="G771" s="13" t="str">
        <f t="shared" si="23"/>
        <v/>
      </c>
      <c r="H771" s="9"/>
      <c r="I771" s="9"/>
      <c r="J771" s="14" t="str">
        <f>IF(E771="","",IFERROR(VLOOKUP(E771,TabProd,5,FALSE),0)+SUMIFS($H$5:H771,$E$5:E771,E771)-SUMIFS($I$5:I771,$E$5:E771,E771))</f>
        <v/>
      </c>
      <c r="K771" s="7"/>
      <c r="L771" s="7"/>
      <c r="M771" s="1" t="str">
        <f>IF(E771="","",E771&amp;"|"&amp;COUNTIF($E$5:E771,E771))</f>
        <v/>
      </c>
    </row>
    <row r="772" spans="2:13" x14ac:dyDescent="0.2">
      <c r="B772" s="10"/>
      <c r="C772" s="7"/>
      <c r="D772" s="11"/>
      <c r="E772" s="6"/>
      <c r="F772" s="12" t="str">
        <f t="shared" si="22"/>
        <v/>
      </c>
      <c r="G772" s="13" t="str">
        <f t="shared" si="23"/>
        <v/>
      </c>
      <c r="H772" s="9"/>
      <c r="I772" s="9"/>
      <c r="J772" s="14" t="str">
        <f>IF(E772="","",IFERROR(VLOOKUP(E772,TabProd,5,FALSE),0)+SUMIFS($H$5:H772,$E$5:E772,E772)-SUMIFS($I$5:I772,$E$5:E772,E772))</f>
        <v/>
      </c>
      <c r="K772" s="7"/>
      <c r="L772" s="7"/>
      <c r="M772" s="1" t="str">
        <f>IF(E772="","",E772&amp;"|"&amp;COUNTIF($E$5:E772,E772))</f>
        <v/>
      </c>
    </row>
    <row r="773" spans="2:13" x14ac:dyDescent="0.2">
      <c r="B773" s="10"/>
      <c r="C773" s="7"/>
      <c r="D773" s="11"/>
      <c r="E773" s="6"/>
      <c r="F773" s="12" t="str">
        <f t="shared" ref="F773:F836" si="24">IF(E773="","",IFERROR(VLOOKUP(E773,TabProd,2,FALSE),"Cod inexistent"))</f>
        <v/>
      </c>
      <c r="G773" s="13" t="str">
        <f t="shared" ref="G773:G836" si="25">IF(E773="","",IFERROR(VLOOKUP(E773,TabProd,3,FALSE),""))</f>
        <v/>
      </c>
      <c r="H773" s="9"/>
      <c r="I773" s="9"/>
      <c r="J773" s="14" t="str">
        <f>IF(E773="","",IFERROR(VLOOKUP(E773,TabProd,5,FALSE),0)+SUMIFS($H$5:H773,$E$5:E773,E773)-SUMIFS($I$5:I773,$E$5:E773,E773))</f>
        <v/>
      </c>
      <c r="K773" s="7"/>
      <c r="L773" s="7"/>
      <c r="M773" s="1" t="str">
        <f>IF(E773="","",E773&amp;"|"&amp;COUNTIF($E$5:E773,E773))</f>
        <v/>
      </c>
    </row>
    <row r="774" spans="2:13" x14ac:dyDescent="0.2">
      <c r="B774" s="10"/>
      <c r="C774" s="7"/>
      <c r="D774" s="11"/>
      <c r="E774" s="6"/>
      <c r="F774" s="12" t="str">
        <f t="shared" si="24"/>
        <v/>
      </c>
      <c r="G774" s="13" t="str">
        <f t="shared" si="25"/>
        <v/>
      </c>
      <c r="H774" s="9"/>
      <c r="I774" s="9"/>
      <c r="J774" s="14" t="str">
        <f>IF(E774="","",IFERROR(VLOOKUP(E774,TabProd,5,FALSE),0)+SUMIFS($H$5:H774,$E$5:E774,E774)-SUMIFS($I$5:I774,$E$5:E774,E774))</f>
        <v/>
      </c>
      <c r="K774" s="7"/>
      <c r="L774" s="7"/>
      <c r="M774" s="1" t="str">
        <f>IF(E774="","",E774&amp;"|"&amp;COUNTIF($E$5:E774,E774))</f>
        <v/>
      </c>
    </row>
    <row r="775" spans="2:13" x14ac:dyDescent="0.2">
      <c r="B775" s="10"/>
      <c r="C775" s="7"/>
      <c r="D775" s="11"/>
      <c r="E775" s="6"/>
      <c r="F775" s="12" t="str">
        <f t="shared" si="24"/>
        <v/>
      </c>
      <c r="G775" s="13" t="str">
        <f t="shared" si="25"/>
        <v/>
      </c>
      <c r="H775" s="9"/>
      <c r="I775" s="9"/>
      <c r="J775" s="14" t="str">
        <f>IF(E775="","",IFERROR(VLOOKUP(E775,TabProd,5,FALSE),0)+SUMIFS($H$5:H775,$E$5:E775,E775)-SUMIFS($I$5:I775,$E$5:E775,E775))</f>
        <v/>
      </c>
      <c r="K775" s="7"/>
      <c r="L775" s="7"/>
      <c r="M775" s="1" t="str">
        <f>IF(E775="","",E775&amp;"|"&amp;COUNTIF($E$5:E775,E775))</f>
        <v/>
      </c>
    </row>
    <row r="776" spans="2:13" x14ac:dyDescent="0.2">
      <c r="B776" s="10"/>
      <c r="C776" s="7"/>
      <c r="D776" s="11"/>
      <c r="E776" s="6"/>
      <c r="F776" s="12" t="str">
        <f t="shared" si="24"/>
        <v/>
      </c>
      <c r="G776" s="13" t="str">
        <f t="shared" si="25"/>
        <v/>
      </c>
      <c r="H776" s="9"/>
      <c r="I776" s="9"/>
      <c r="J776" s="14" t="str">
        <f>IF(E776="","",IFERROR(VLOOKUP(E776,TabProd,5,FALSE),0)+SUMIFS($H$5:H776,$E$5:E776,E776)-SUMIFS($I$5:I776,$E$5:E776,E776))</f>
        <v/>
      </c>
      <c r="K776" s="7"/>
      <c r="L776" s="7"/>
      <c r="M776" s="1" t="str">
        <f>IF(E776="","",E776&amp;"|"&amp;COUNTIF($E$5:E776,E776))</f>
        <v/>
      </c>
    </row>
    <row r="777" spans="2:13" x14ac:dyDescent="0.2">
      <c r="B777" s="10"/>
      <c r="C777" s="7"/>
      <c r="D777" s="11"/>
      <c r="E777" s="6"/>
      <c r="F777" s="12" t="str">
        <f t="shared" si="24"/>
        <v/>
      </c>
      <c r="G777" s="13" t="str">
        <f t="shared" si="25"/>
        <v/>
      </c>
      <c r="H777" s="9"/>
      <c r="I777" s="9"/>
      <c r="J777" s="14" t="str">
        <f>IF(E777="","",IFERROR(VLOOKUP(E777,TabProd,5,FALSE),0)+SUMIFS($H$5:H777,$E$5:E777,E777)-SUMIFS($I$5:I777,$E$5:E777,E777))</f>
        <v/>
      </c>
      <c r="K777" s="7"/>
      <c r="L777" s="7"/>
      <c r="M777" s="1" t="str">
        <f>IF(E777="","",E777&amp;"|"&amp;COUNTIF($E$5:E777,E777))</f>
        <v/>
      </c>
    </row>
    <row r="778" spans="2:13" x14ac:dyDescent="0.2">
      <c r="B778" s="10"/>
      <c r="C778" s="7"/>
      <c r="D778" s="11"/>
      <c r="E778" s="6"/>
      <c r="F778" s="12" t="str">
        <f t="shared" si="24"/>
        <v/>
      </c>
      <c r="G778" s="13" t="str">
        <f t="shared" si="25"/>
        <v/>
      </c>
      <c r="H778" s="9"/>
      <c r="I778" s="9"/>
      <c r="J778" s="14" t="str">
        <f>IF(E778="","",IFERROR(VLOOKUP(E778,TabProd,5,FALSE),0)+SUMIFS($H$5:H778,$E$5:E778,E778)-SUMIFS($I$5:I778,$E$5:E778,E778))</f>
        <v/>
      </c>
      <c r="K778" s="7"/>
      <c r="L778" s="7"/>
      <c r="M778" s="1" t="str">
        <f>IF(E778="","",E778&amp;"|"&amp;COUNTIF($E$5:E778,E778))</f>
        <v/>
      </c>
    </row>
    <row r="779" spans="2:13" x14ac:dyDescent="0.2">
      <c r="B779" s="10"/>
      <c r="C779" s="7"/>
      <c r="D779" s="11"/>
      <c r="E779" s="6"/>
      <c r="F779" s="12" t="str">
        <f t="shared" si="24"/>
        <v/>
      </c>
      <c r="G779" s="13" t="str">
        <f t="shared" si="25"/>
        <v/>
      </c>
      <c r="H779" s="9"/>
      <c r="I779" s="9"/>
      <c r="J779" s="14" t="str">
        <f>IF(E779="","",IFERROR(VLOOKUP(E779,TabProd,5,FALSE),0)+SUMIFS($H$5:H779,$E$5:E779,E779)-SUMIFS($I$5:I779,$E$5:E779,E779))</f>
        <v/>
      </c>
      <c r="K779" s="7"/>
      <c r="L779" s="7"/>
      <c r="M779" s="1" t="str">
        <f>IF(E779="","",E779&amp;"|"&amp;COUNTIF($E$5:E779,E779))</f>
        <v/>
      </c>
    </row>
    <row r="780" spans="2:13" x14ac:dyDescent="0.2">
      <c r="B780" s="10"/>
      <c r="C780" s="7"/>
      <c r="D780" s="11"/>
      <c r="E780" s="6"/>
      <c r="F780" s="12" t="str">
        <f t="shared" si="24"/>
        <v/>
      </c>
      <c r="G780" s="13" t="str">
        <f t="shared" si="25"/>
        <v/>
      </c>
      <c r="H780" s="9"/>
      <c r="I780" s="9"/>
      <c r="J780" s="14" t="str">
        <f>IF(E780="","",IFERROR(VLOOKUP(E780,TabProd,5,FALSE),0)+SUMIFS($H$5:H780,$E$5:E780,E780)-SUMIFS($I$5:I780,$E$5:E780,E780))</f>
        <v/>
      </c>
      <c r="K780" s="7"/>
      <c r="L780" s="7"/>
      <c r="M780" s="1" t="str">
        <f>IF(E780="","",E780&amp;"|"&amp;COUNTIF($E$5:E780,E780))</f>
        <v/>
      </c>
    </row>
    <row r="781" spans="2:13" x14ac:dyDescent="0.2">
      <c r="B781" s="10"/>
      <c r="C781" s="7"/>
      <c r="D781" s="11"/>
      <c r="E781" s="6"/>
      <c r="F781" s="12" t="str">
        <f t="shared" si="24"/>
        <v/>
      </c>
      <c r="G781" s="13" t="str">
        <f t="shared" si="25"/>
        <v/>
      </c>
      <c r="H781" s="9"/>
      <c r="I781" s="9"/>
      <c r="J781" s="14" t="str">
        <f>IF(E781="","",IFERROR(VLOOKUP(E781,TabProd,5,FALSE),0)+SUMIFS($H$5:H781,$E$5:E781,E781)-SUMIFS($I$5:I781,$E$5:E781,E781))</f>
        <v/>
      </c>
      <c r="K781" s="7"/>
      <c r="L781" s="7"/>
      <c r="M781" s="1" t="str">
        <f>IF(E781="","",E781&amp;"|"&amp;COUNTIF($E$5:E781,E781))</f>
        <v/>
      </c>
    </row>
    <row r="782" spans="2:13" x14ac:dyDescent="0.2">
      <c r="B782" s="10"/>
      <c r="C782" s="7"/>
      <c r="D782" s="11"/>
      <c r="E782" s="6"/>
      <c r="F782" s="12" t="str">
        <f t="shared" si="24"/>
        <v/>
      </c>
      <c r="G782" s="13" t="str">
        <f t="shared" si="25"/>
        <v/>
      </c>
      <c r="H782" s="9"/>
      <c r="I782" s="9"/>
      <c r="J782" s="14" t="str">
        <f>IF(E782="","",IFERROR(VLOOKUP(E782,TabProd,5,FALSE),0)+SUMIFS($H$5:H782,$E$5:E782,E782)-SUMIFS($I$5:I782,$E$5:E782,E782))</f>
        <v/>
      </c>
      <c r="K782" s="7"/>
      <c r="L782" s="7"/>
      <c r="M782" s="1" t="str">
        <f>IF(E782="","",E782&amp;"|"&amp;COUNTIF($E$5:E782,E782))</f>
        <v/>
      </c>
    </row>
    <row r="783" spans="2:13" x14ac:dyDescent="0.2">
      <c r="B783" s="10"/>
      <c r="C783" s="7"/>
      <c r="D783" s="11"/>
      <c r="E783" s="6"/>
      <c r="F783" s="12" t="str">
        <f t="shared" si="24"/>
        <v/>
      </c>
      <c r="G783" s="13" t="str">
        <f t="shared" si="25"/>
        <v/>
      </c>
      <c r="H783" s="9"/>
      <c r="I783" s="9"/>
      <c r="J783" s="14" t="str">
        <f>IF(E783="","",IFERROR(VLOOKUP(E783,TabProd,5,FALSE),0)+SUMIFS($H$5:H783,$E$5:E783,E783)-SUMIFS($I$5:I783,$E$5:E783,E783))</f>
        <v/>
      </c>
      <c r="K783" s="7"/>
      <c r="L783" s="7"/>
      <c r="M783" s="1" t="str">
        <f>IF(E783="","",E783&amp;"|"&amp;COUNTIF($E$5:E783,E783))</f>
        <v/>
      </c>
    </row>
    <row r="784" spans="2:13" x14ac:dyDescent="0.2">
      <c r="B784" s="10"/>
      <c r="C784" s="7"/>
      <c r="D784" s="11"/>
      <c r="E784" s="6"/>
      <c r="F784" s="12" t="str">
        <f t="shared" si="24"/>
        <v/>
      </c>
      <c r="G784" s="13" t="str">
        <f t="shared" si="25"/>
        <v/>
      </c>
      <c r="H784" s="9"/>
      <c r="I784" s="9"/>
      <c r="J784" s="14" t="str">
        <f>IF(E784="","",IFERROR(VLOOKUP(E784,TabProd,5,FALSE),0)+SUMIFS($H$5:H784,$E$5:E784,E784)-SUMIFS($I$5:I784,$E$5:E784,E784))</f>
        <v/>
      </c>
      <c r="K784" s="7"/>
      <c r="L784" s="7"/>
      <c r="M784" s="1" t="str">
        <f>IF(E784="","",E784&amp;"|"&amp;COUNTIF($E$5:E784,E784))</f>
        <v/>
      </c>
    </row>
    <row r="785" spans="2:13" x14ac:dyDescent="0.2">
      <c r="B785" s="10"/>
      <c r="C785" s="7"/>
      <c r="D785" s="11"/>
      <c r="E785" s="6"/>
      <c r="F785" s="12" t="str">
        <f t="shared" si="24"/>
        <v/>
      </c>
      <c r="G785" s="13" t="str">
        <f t="shared" si="25"/>
        <v/>
      </c>
      <c r="H785" s="9"/>
      <c r="I785" s="9"/>
      <c r="J785" s="14" t="str">
        <f>IF(E785="","",IFERROR(VLOOKUP(E785,TabProd,5,FALSE),0)+SUMIFS($H$5:H785,$E$5:E785,E785)-SUMIFS($I$5:I785,$E$5:E785,E785))</f>
        <v/>
      </c>
      <c r="K785" s="7"/>
      <c r="L785" s="7"/>
      <c r="M785" s="1" t="str">
        <f>IF(E785="","",E785&amp;"|"&amp;COUNTIF($E$5:E785,E785))</f>
        <v/>
      </c>
    </row>
    <row r="786" spans="2:13" x14ac:dyDescent="0.2">
      <c r="B786" s="10"/>
      <c r="C786" s="7"/>
      <c r="D786" s="11"/>
      <c r="E786" s="6"/>
      <c r="F786" s="12" t="str">
        <f t="shared" si="24"/>
        <v/>
      </c>
      <c r="G786" s="13" t="str">
        <f t="shared" si="25"/>
        <v/>
      </c>
      <c r="H786" s="9"/>
      <c r="I786" s="9"/>
      <c r="J786" s="14" t="str">
        <f>IF(E786="","",IFERROR(VLOOKUP(E786,TabProd,5,FALSE),0)+SUMIFS($H$5:H786,$E$5:E786,E786)-SUMIFS($I$5:I786,$E$5:E786,E786))</f>
        <v/>
      </c>
      <c r="K786" s="7"/>
      <c r="L786" s="7"/>
      <c r="M786" s="1" t="str">
        <f>IF(E786="","",E786&amp;"|"&amp;COUNTIF($E$5:E786,E786))</f>
        <v/>
      </c>
    </row>
    <row r="787" spans="2:13" x14ac:dyDescent="0.2">
      <c r="B787" s="10"/>
      <c r="C787" s="7"/>
      <c r="D787" s="11"/>
      <c r="E787" s="6"/>
      <c r="F787" s="12" t="str">
        <f t="shared" si="24"/>
        <v/>
      </c>
      <c r="G787" s="13" t="str">
        <f t="shared" si="25"/>
        <v/>
      </c>
      <c r="H787" s="9"/>
      <c r="I787" s="9"/>
      <c r="J787" s="14" t="str">
        <f>IF(E787="","",IFERROR(VLOOKUP(E787,TabProd,5,FALSE),0)+SUMIFS($H$5:H787,$E$5:E787,E787)-SUMIFS($I$5:I787,$E$5:E787,E787))</f>
        <v/>
      </c>
      <c r="K787" s="7"/>
      <c r="L787" s="7"/>
      <c r="M787" s="1" t="str">
        <f>IF(E787="","",E787&amp;"|"&amp;COUNTIF($E$5:E787,E787))</f>
        <v/>
      </c>
    </row>
    <row r="788" spans="2:13" x14ac:dyDescent="0.2">
      <c r="B788" s="10"/>
      <c r="C788" s="7"/>
      <c r="D788" s="11"/>
      <c r="E788" s="6"/>
      <c r="F788" s="12" t="str">
        <f t="shared" si="24"/>
        <v/>
      </c>
      <c r="G788" s="13" t="str">
        <f t="shared" si="25"/>
        <v/>
      </c>
      <c r="H788" s="9"/>
      <c r="I788" s="9"/>
      <c r="J788" s="14" t="str">
        <f>IF(E788="","",IFERROR(VLOOKUP(E788,TabProd,5,FALSE),0)+SUMIFS($H$5:H788,$E$5:E788,E788)-SUMIFS($I$5:I788,$E$5:E788,E788))</f>
        <v/>
      </c>
      <c r="K788" s="7"/>
      <c r="L788" s="7"/>
      <c r="M788" s="1" t="str">
        <f>IF(E788="","",E788&amp;"|"&amp;COUNTIF($E$5:E788,E788))</f>
        <v/>
      </c>
    </row>
    <row r="789" spans="2:13" x14ac:dyDescent="0.2">
      <c r="B789" s="10"/>
      <c r="C789" s="7"/>
      <c r="D789" s="11"/>
      <c r="E789" s="6"/>
      <c r="F789" s="12" t="str">
        <f t="shared" si="24"/>
        <v/>
      </c>
      <c r="G789" s="13" t="str">
        <f t="shared" si="25"/>
        <v/>
      </c>
      <c r="H789" s="9"/>
      <c r="I789" s="9"/>
      <c r="J789" s="14" t="str">
        <f>IF(E789="","",IFERROR(VLOOKUP(E789,TabProd,5,FALSE),0)+SUMIFS($H$5:H789,$E$5:E789,E789)-SUMIFS($I$5:I789,$E$5:E789,E789))</f>
        <v/>
      </c>
      <c r="K789" s="7"/>
      <c r="L789" s="7"/>
      <c r="M789" s="1" t="str">
        <f>IF(E789="","",E789&amp;"|"&amp;COUNTIF($E$5:E789,E789))</f>
        <v/>
      </c>
    </row>
    <row r="790" spans="2:13" x14ac:dyDescent="0.2">
      <c r="B790" s="10"/>
      <c r="C790" s="7"/>
      <c r="D790" s="11"/>
      <c r="E790" s="6"/>
      <c r="F790" s="12" t="str">
        <f t="shared" si="24"/>
        <v/>
      </c>
      <c r="G790" s="13" t="str">
        <f t="shared" si="25"/>
        <v/>
      </c>
      <c r="H790" s="9"/>
      <c r="I790" s="9"/>
      <c r="J790" s="14" t="str">
        <f>IF(E790="","",IFERROR(VLOOKUP(E790,TabProd,5,FALSE),0)+SUMIFS($H$5:H790,$E$5:E790,E790)-SUMIFS($I$5:I790,$E$5:E790,E790))</f>
        <v/>
      </c>
      <c r="K790" s="7"/>
      <c r="L790" s="7"/>
      <c r="M790" s="1" t="str">
        <f>IF(E790="","",E790&amp;"|"&amp;COUNTIF($E$5:E790,E790))</f>
        <v/>
      </c>
    </row>
    <row r="791" spans="2:13" x14ac:dyDescent="0.2">
      <c r="B791" s="10"/>
      <c r="C791" s="7"/>
      <c r="D791" s="11"/>
      <c r="E791" s="6"/>
      <c r="F791" s="12" t="str">
        <f t="shared" si="24"/>
        <v/>
      </c>
      <c r="G791" s="13" t="str">
        <f t="shared" si="25"/>
        <v/>
      </c>
      <c r="H791" s="9"/>
      <c r="I791" s="9"/>
      <c r="J791" s="14" t="str">
        <f>IF(E791="","",IFERROR(VLOOKUP(E791,TabProd,5,FALSE),0)+SUMIFS($H$5:H791,$E$5:E791,E791)-SUMIFS($I$5:I791,$E$5:E791,E791))</f>
        <v/>
      </c>
      <c r="K791" s="7"/>
      <c r="L791" s="7"/>
      <c r="M791" s="1" t="str">
        <f>IF(E791="","",E791&amp;"|"&amp;COUNTIF($E$5:E791,E791))</f>
        <v/>
      </c>
    </row>
    <row r="792" spans="2:13" x14ac:dyDescent="0.2">
      <c r="B792" s="10"/>
      <c r="C792" s="7"/>
      <c r="D792" s="11"/>
      <c r="E792" s="6"/>
      <c r="F792" s="12" t="str">
        <f t="shared" si="24"/>
        <v/>
      </c>
      <c r="G792" s="13" t="str">
        <f t="shared" si="25"/>
        <v/>
      </c>
      <c r="H792" s="9"/>
      <c r="I792" s="9"/>
      <c r="J792" s="14" t="str">
        <f>IF(E792="","",IFERROR(VLOOKUP(E792,TabProd,5,FALSE),0)+SUMIFS($H$5:H792,$E$5:E792,E792)-SUMIFS($I$5:I792,$E$5:E792,E792))</f>
        <v/>
      </c>
      <c r="K792" s="7"/>
      <c r="L792" s="7"/>
      <c r="M792" s="1" t="str">
        <f>IF(E792="","",E792&amp;"|"&amp;COUNTIF($E$5:E792,E792))</f>
        <v/>
      </c>
    </row>
    <row r="793" spans="2:13" x14ac:dyDescent="0.2">
      <c r="B793" s="10"/>
      <c r="C793" s="7"/>
      <c r="D793" s="11"/>
      <c r="E793" s="6"/>
      <c r="F793" s="12" t="str">
        <f t="shared" si="24"/>
        <v/>
      </c>
      <c r="G793" s="13" t="str">
        <f t="shared" si="25"/>
        <v/>
      </c>
      <c r="H793" s="9"/>
      <c r="I793" s="9"/>
      <c r="J793" s="14" t="str">
        <f>IF(E793="","",IFERROR(VLOOKUP(E793,TabProd,5,FALSE),0)+SUMIFS($H$5:H793,$E$5:E793,E793)-SUMIFS($I$5:I793,$E$5:E793,E793))</f>
        <v/>
      </c>
      <c r="K793" s="7"/>
      <c r="L793" s="7"/>
      <c r="M793" s="1" t="str">
        <f>IF(E793="","",E793&amp;"|"&amp;COUNTIF($E$5:E793,E793))</f>
        <v/>
      </c>
    </row>
    <row r="794" spans="2:13" x14ac:dyDescent="0.2">
      <c r="B794" s="10"/>
      <c r="C794" s="7"/>
      <c r="D794" s="11"/>
      <c r="E794" s="6"/>
      <c r="F794" s="12" t="str">
        <f t="shared" si="24"/>
        <v/>
      </c>
      <c r="G794" s="13" t="str">
        <f t="shared" si="25"/>
        <v/>
      </c>
      <c r="H794" s="9"/>
      <c r="I794" s="9"/>
      <c r="J794" s="14" t="str">
        <f>IF(E794="","",IFERROR(VLOOKUP(E794,TabProd,5,FALSE),0)+SUMIFS($H$5:H794,$E$5:E794,E794)-SUMIFS($I$5:I794,$E$5:E794,E794))</f>
        <v/>
      </c>
      <c r="K794" s="7"/>
      <c r="L794" s="7"/>
      <c r="M794" s="1" t="str">
        <f>IF(E794="","",E794&amp;"|"&amp;COUNTIF($E$5:E794,E794))</f>
        <v/>
      </c>
    </row>
    <row r="795" spans="2:13" x14ac:dyDescent="0.2">
      <c r="B795" s="10"/>
      <c r="C795" s="7"/>
      <c r="D795" s="11"/>
      <c r="E795" s="6"/>
      <c r="F795" s="12" t="str">
        <f t="shared" si="24"/>
        <v/>
      </c>
      <c r="G795" s="13" t="str">
        <f t="shared" si="25"/>
        <v/>
      </c>
      <c r="H795" s="9"/>
      <c r="I795" s="9"/>
      <c r="J795" s="14" t="str">
        <f>IF(E795="","",IFERROR(VLOOKUP(E795,TabProd,5,FALSE),0)+SUMIFS($H$5:H795,$E$5:E795,E795)-SUMIFS($I$5:I795,$E$5:E795,E795))</f>
        <v/>
      </c>
      <c r="K795" s="7"/>
      <c r="L795" s="7"/>
      <c r="M795" s="1" t="str">
        <f>IF(E795="","",E795&amp;"|"&amp;COUNTIF($E$5:E795,E795))</f>
        <v/>
      </c>
    </row>
    <row r="796" spans="2:13" x14ac:dyDescent="0.2">
      <c r="B796" s="10"/>
      <c r="C796" s="7"/>
      <c r="D796" s="11"/>
      <c r="E796" s="6"/>
      <c r="F796" s="12" t="str">
        <f t="shared" si="24"/>
        <v/>
      </c>
      <c r="G796" s="13" t="str">
        <f t="shared" si="25"/>
        <v/>
      </c>
      <c r="H796" s="9"/>
      <c r="I796" s="9"/>
      <c r="J796" s="14" t="str">
        <f>IF(E796="","",IFERROR(VLOOKUP(E796,TabProd,5,FALSE),0)+SUMIFS($H$5:H796,$E$5:E796,E796)-SUMIFS($I$5:I796,$E$5:E796,E796))</f>
        <v/>
      </c>
      <c r="K796" s="7"/>
      <c r="L796" s="7"/>
      <c r="M796" s="1" t="str">
        <f>IF(E796="","",E796&amp;"|"&amp;COUNTIF($E$5:E796,E796))</f>
        <v/>
      </c>
    </row>
    <row r="797" spans="2:13" x14ac:dyDescent="0.2">
      <c r="B797" s="10"/>
      <c r="C797" s="7"/>
      <c r="D797" s="11"/>
      <c r="E797" s="6"/>
      <c r="F797" s="12" t="str">
        <f t="shared" si="24"/>
        <v/>
      </c>
      <c r="G797" s="13" t="str">
        <f t="shared" si="25"/>
        <v/>
      </c>
      <c r="H797" s="9"/>
      <c r="I797" s="9"/>
      <c r="J797" s="14" t="str">
        <f>IF(E797="","",IFERROR(VLOOKUP(E797,TabProd,5,FALSE),0)+SUMIFS($H$5:H797,$E$5:E797,E797)-SUMIFS($I$5:I797,$E$5:E797,E797))</f>
        <v/>
      </c>
      <c r="K797" s="7"/>
      <c r="L797" s="7"/>
      <c r="M797" s="1" t="str">
        <f>IF(E797="","",E797&amp;"|"&amp;COUNTIF($E$5:E797,E797))</f>
        <v/>
      </c>
    </row>
    <row r="798" spans="2:13" x14ac:dyDescent="0.2">
      <c r="B798" s="10"/>
      <c r="C798" s="7"/>
      <c r="D798" s="11"/>
      <c r="E798" s="6"/>
      <c r="F798" s="12" t="str">
        <f t="shared" si="24"/>
        <v/>
      </c>
      <c r="G798" s="13" t="str">
        <f t="shared" si="25"/>
        <v/>
      </c>
      <c r="H798" s="9"/>
      <c r="I798" s="9"/>
      <c r="J798" s="14" t="str">
        <f>IF(E798="","",IFERROR(VLOOKUP(E798,TabProd,5,FALSE),0)+SUMIFS($H$5:H798,$E$5:E798,E798)-SUMIFS($I$5:I798,$E$5:E798,E798))</f>
        <v/>
      </c>
      <c r="K798" s="7"/>
      <c r="L798" s="7"/>
      <c r="M798" s="1" t="str">
        <f>IF(E798="","",E798&amp;"|"&amp;COUNTIF($E$5:E798,E798))</f>
        <v/>
      </c>
    </row>
    <row r="799" spans="2:13" x14ac:dyDescent="0.2">
      <c r="B799" s="10"/>
      <c r="C799" s="7"/>
      <c r="D799" s="11"/>
      <c r="E799" s="6"/>
      <c r="F799" s="12" t="str">
        <f t="shared" si="24"/>
        <v/>
      </c>
      <c r="G799" s="13" t="str">
        <f t="shared" si="25"/>
        <v/>
      </c>
      <c r="H799" s="9"/>
      <c r="I799" s="9"/>
      <c r="J799" s="14" t="str">
        <f>IF(E799="","",IFERROR(VLOOKUP(E799,TabProd,5,FALSE),0)+SUMIFS($H$5:H799,$E$5:E799,E799)-SUMIFS($I$5:I799,$E$5:E799,E799))</f>
        <v/>
      </c>
      <c r="K799" s="7"/>
      <c r="L799" s="7"/>
      <c r="M799" s="1" t="str">
        <f>IF(E799="","",E799&amp;"|"&amp;COUNTIF($E$5:E799,E799))</f>
        <v/>
      </c>
    </row>
    <row r="800" spans="2:13" x14ac:dyDescent="0.2">
      <c r="B800" s="10"/>
      <c r="C800" s="7"/>
      <c r="D800" s="11"/>
      <c r="E800" s="6"/>
      <c r="F800" s="12" t="str">
        <f t="shared" si="24"/>
        <v/>
      </c>
      <c r="G800" s="13" t="str">
        <f t="shared" si="25"/>
        <v/>
      </c>
      <c r="H800" s="9"/>
      <c r="I800" s="9"/>
      <c r="J800" s="14" t="str">
        <f>IF(E800="","",IFERROR(VLOOKUP(E800,TabProd,5,FALSE),0)+SUMIFS($H$5:H800,$E$5:E800,E800)-SUMIFS($I$5:I800,$E$5:E800,E800))</f>
        <v/>
      </c>
      <c r="K800" s="7"/>
      <c r="L800" s="7"/>
      <c r="M800" s="1" t="str">
        <f>IF(E800="","",E800&amp;"|"&amp;COUNTIF($E$5:E800,E800))</f>
        <v/>
      </c>
    </row>
    <row r="801" spans="2:13" x14ac:dyDescent="0.2">
      <c r="B801" s="10"/>
      <c r="C801" s="7"/>
      <c r="D801" s="11"/>
      <c r="E801" s="6"/>
      <c r="F801" s="12" t="str">
        <f t="shared" si="24"/>
        <v/>
      </c>
      <c r="G801" s="13" t="str">
        <f t="shared" si="25"/>
        <v/>
      </c>
      <c r="H801" s="9"/>
      <c r="I801" s="9"/>
      <c r="J801" s="14" t="str">
        <f>IF(E801="","",IFERROR(VLOOKUP(E801,TabProd,5,FALSE),0)+SUMIFS($H$5:H801,$E$5:E801,E801)-SUMIFS($I$5:I801,$E$5:E801,E801))</f>
        <v/>
      </c>
      <c r="K801" s="7"/>
      <c r="L801" s="7"/>
      <c r="M801" s="1" t="str">
        <f>IF(E801="","",E801&amp;"|"&amp;COUNTIF($E$5:E801,E801))</f>
        <v/>
      </c>
    </row>
    <row r="802" spans="2:13" x14ac:dyDescent="0.2">
      <c r="B802" s="10"/>
      <c r="C802" s="7"/>
      <c r="D802" s="11"/>
      <c r="E802" s="6"/>
      <c r="F802" s="12" t="str">
        <f t="shared" si="24"/>
        <v/>
      </c>
      <c r="G802" s="13" t="str">
        <f t="shared" si="25"/>
        <v/>
      </c>
      <c r="H802" s="9"/>
      <c r="I802" s="9"/>
      <c r="J802" s="14" t="str">
        <f>IF(E802="","",IFERROR(VLOOKUP(E802,TabProd,5,FALSE),0)+SUMIFS($H$5:H802,$E$5:E802,E802)-SUMIFS($I$5:I802,$E$5:E802,E802))</f>
        <v/>
      </c>
      <c r="K802" s="7"/>
      <c r="L802" s="7"/>
      <c r="M802" s="1" t="str">
        <f>IF(E802="","",E802&amp;"|"&amp;COUNTIF($E$5:E802,E802))</f>
        <v/>
      </c>
    </row>
    <row r="803" spans="2:13" x14ac:dyDescent="0.2">
      <c r="B803" s="10"/>
      <c r="C803" s="7"/>
      <c r="D803" s="11"/>
      <c r="E803" s="6"/>
      <c r="F803" s="12" t="str">
        <f t="shared" si="24"/>
        <v/>
      </c>
      <c r="G803" s="13" t="str">
        <f t="shared" si="25"/>
        <v/>
      </c>
      <c r="H803" s="9"/>
      <c r="I803" s="9"/>
      <c r="J803" s="14" t="str">
        <f>IF(E803="","",IFERROR(VLOOKUP(E803,TabProd,5,FALSE),0)+SUMIFS($H$5:H803,$E$5:E803,E803)-SUMIFS($I$5:I803,$E$5:E803,E803))</f>
        <v/>
      </c>
      <c r="K803" s="7"/>
      <c r="L803" s="7"/>
      <c r="M803" s="1" t="str">
        <f>IF(E803="","",E803&amp;"|"&amp;COUNTIF($E$5:E803,E803))</f>
        <v/>
      </c>
    </row>
    <row r="804" spans="2:13" x14ac:dyDescent="0.2">
      <c r="B804" s="10"/>
      <c r="C804" s="7"/>
      <c r="D804" s="11"/>
      <c r="E804" s="6"/>
      <c r="F804" s="12" t="str">
        <f t="shared" si="24"/>
        <v/>
      </c>
      <c r="G804" s="13" t="str">
        <f t="shared" si="25"/>
        <v/>
      </c>
      <c r="H804" s="9"/>
      <c r="I804" s="9"/>
      <c r="J804" s="14" t="str">
        <f>IF(E804="","",IFERROR(VLOOKUP(E804,TabProd,5,FALSE),0)+SUMIFS($H$5:H804,$E$5:E804,E804)-SUMIFS($I$5:I804,$E$5:E804,E804))</f>
        <v/>
      </c>
      <c r="K804" s="7"/>
      <c r="L804" s="7"/>
      <c r="M804" s="1" t="str">
        <f>IF(E804="","",E804&amp;"|"&amp;COUNTIF($E$5:E804,E804))</f>
        <v/>
      </c>
    </row>
    <row r="805" spans="2:13" x14ac:dyDescent="0.2">
      <c r="B805" s="10"/>
      <c r="C805" s="7"/>
      <c r="D805" s="11"/>
      <c r="E805" s="6"/>
      <c r="F805" s="12" t="str">
        <f t="shared" si="24"/>
        <v/>
      </c>
      <c r="G805" s="13" t="str">
        <f t="shared" si="25"/>
        <v/>
      </c>
      <c r="H805" s="9"/>
      <c r="I805" s="9"/>
      <c r="J805" s="14" t="str">
        <f>IF(E805="","",IFERROR(VLOOKUP(E805,TabProd,5,FALSE),0)+SUMIFS($H$5:H805,$E$5:E805,E805)-SUMIFS($I$5:I805,$E$5:E805,E805))</f>
        <v/>
      </c>
      <c r="K805" s="7"/>
      <c r="L805" s="7"/>
      <c r="M805" s="1" t="str">
        <f>IF(E805="","",E805&amp;"|"&amp;COUNTIF($E$5:E805,E805))</f>
        <v/>
      </c>
    </row>
    <row r="806" spans="2:13" x14ac:dyDescent="0.2">
      <c r="B806" s="10"/>
      <c r="C806" s="7"/>
      <c r="D806" s="11"/>
      <c r="E806" s="6"/>
      <c r="F806" s="12" t="str">
        <f t="shared" si="24"/>
        <v/>
      </c>
      <c r="G806" s="13" t="str">
        <f t="shared" si="25"/>
        <v/>
      </c>
      <c r="H806" s="9"/>
      <c r="I806" s="9"/>
      <c r="J806" s="14" t="str">
        <f>IF(E806="","",IFERROR(VLOOKUP(E806,TabProd,5,FALSE),0)+SUMIFS($H$5:H806,$E$5:E806,E806)-SUMIFS($I$5:I806,$E$5:E806,E806))</f>
        <v/>
      </c>
      <c r="K806" s="7"/>
      <c r="L806" s="7"/>
      <c r="M806" s="1" t="str">
        <f>IF(E806="","",E806&amp;"|"&amp;COUNTIF($E$5:E806,E806))</f>
        <v/>
      </c>
    </row>
    <row r="807" spans="2:13" x14ac:dyDescent="0.2">
      <c r="B807" s="10"/>
      <c r="C807" s="7"/>
      <c r="D807" s="11"/>
      <c r="E807" s="6"/>
      <c r="F807" s="12" t="str">
        <f t="shared" si="24"/>
        <v/>
      </c>
      <c r="G807" s="13" t="str">
        <f t="shared" si="25"/>
        <v/>
      </c>
      <c r="H807" s="9"/>
      <c r="I807" s="9"/>
      <c r="J807" s="14" t="str">
        <f>IF(E807="","",IFERROR(VLOOKUP(E807,TabProd,5,FALSE),0)+SUMIFS($H$5:H807,$E$5:E807,E807)-SUMIFS($I$5:I807,$E$5:E807,E807))</f>
        <v/>
      </c>
      <c r="K807" s="7"/>
      <c r="L807" s="7"/>
      <c r="M807" s="1" t="str">
        <f>IF(E807="","",E807&amp;"|"&amp;COUNTIF($E$5:E807,E807))</f>
        <v/>
      </c>
    </row>
    <row r="808" spans="2:13" x14ac:dyDescent="0.2">
      <c r="B808" s="10"/>
      <c r="C808" s="7"/>
      <c r="D808" s="11"/>
      <c r="E808" s="6"/>
      <c r="F808" s="12" t="str">
        <f t="shared" si="24"/>
        <v/>
      </c>
      <c r="G808" s="13" t="str">
        <f t="shared" si="25"/>
        <v/>
      </c>
      <c r="H808" s="9"/>
      <c r="I808" s="9"/>
      <c r="J808" s="14" t="str">
        <f>IF(E808="","",IFERROR(VLOOKUP(E808,TabProd,5,FALSE),0)+SUMIFS($H$5:H808,$E$5:E808,E808)-SUMIFS($I$5:I808,$E$5:E808,E808))</f>
        <v/>
      </c>
      <c r="K808" s="7"/>
      <c r="L808" s="7"/>
      <c r="M808" s="1" t="str">
        <f>IF(E808="","",E808&amp;"|"&amp;COUNTIF($E$5:E808,E808))</f>
        <v/>
      </c>
    </row>
    <row r="809" spans="2:13" x14ac:dyDescent="0.2">
      <c r="B809" s="10"/>
      <c r="C809" s="7"/>
      <c r="D809" s="11"/>
      <c r="E809" s="6"/>
      <c r="F809" s="12" t="str">
        <f t="shared" si="24"/>
        <v/>
      </c>
      <c r="G809" s="13" t="str">
        <f t="shared" si="25"/>
        <v/>
      </c>
      <c r="H809" s="9"/>
      <c r="I809" s="9"/>
      <c r="J809" s="14" t="str">
        <f>IF(E809="","",IFERROR(VLOOKUP(E809,TabProd,5,FALSE),0)+SUMIFS($H$5:H809,$E$5:E809,E809)-SUMIFS($I$5:I809,$E$5:E809,E809))</f>
        <v/>
      </c>
      <c r="K809" s="7"/>
      <c r="L809" s="7"/>
      <c r="M809" s="1" t="str">
        <f>IF(E809="","",E809&amp;"|"&amp;COUNTIF($E$5:E809,E809))</f>
        <v/>
      </c>
    </row>
    <row r="810" spans="2:13" x14ac:dyDescent="0.2">
      <c r="B810" s="10"/>
      <c r="C810" s="7"/>
      <c r="D810" s="11"/>
      <c r="E810" s="6"/>
      <c r="F810" s="12" t="str">
        <f t="shared" si="24"/>
        <v/>
      </c>
      <c r="G810" s="13" t="str">
        <f t="shared" si="25"/>
        <v/>
      </c>
      <c r="H810" s="9"/>
      <c r="I810" s="9"/>
      <c r="J810" s="14" t="str">
        <f>IF(E810="","",IFERROR(VLOOKUP(E810,TabProd,5,FALSE),0)+SUMIFS($H$5:H810,$E$5:E810,E810)-SUMIFS($I$5:I810,$E$5:E810,E810))</f>
        <v/>
      </c>
      <c r="K810" s="7"/>
      <c r="L810" s="7"/>
      <c r="M810" s="1" t="str">
        <f>IF(E810="","",E810&amp;"|"&amp;COUNTIF($E$5:E810,E810))</f>
        <v/>
      </c>
    </row>
    <row r="811" spans="2:13" x14ac:dyDescent="0.2">
      <c r="B811" s="10"/>
      <c r="C811" s="7"/>
      <c r="D811" s="11"/>
      <c r="E811" s="6"/>
      <c r="F811" s="12" t="str">
        <f t="shared" si="24"/>
        <v/>
      </c>
      <c r="G811" s="13" t="str">
        <f t="shared" si="25"/>
        <v/>
      </c>
      <c r="H811" s="9"/>
      <c r="I811" s="9"/>
      <c r="J811" s="14" t="str">
        <f>IF(E811="","",IFERROR(VLOOKUP(E811,TabProd,5,FALSE),0)+SUMIFS($H$5:H811,$E$5:E811,E811)-SUMIFS($I$5:I811,$E$5:E811,E811))</f>
        <v/>
      </c>
      <c r="K811" s="7"/>
      <c r="L811" s="7"/>
      <c r="M811" s="1" t="str">
        <f>IF(E811="","",E811&amp;"|"&amp;COUNTIF($E$5:E811,E811))</f>
        <v/>
      </c>
    </row>
    <row r="812" spans="2:13" x14ac:dyDescent="0.2">
      <c r="B812" s="10"/>
      <c r="C812" s="7"/>
      <c r="D812" s="11"/>
      <c r="E812" s="6"/>
      <c r="F812" s="12" t="str">
        <f t="shared" si="24"/>
        <v/>
      </c>
      <c r="G812" s="13" t="str">
        <f t="shared" si="25"/>
        <v/>
      </c>
      <c r="H812" s="9"/>
      <c r="I812" s="9"/>
      <c r="J812" s="14" t="str">
        <f>IF(E812="","",IFERROR(VLOOKUP(E812,TabProd,5,FALSE),0)+SUMIFS($H$5:H812,$E$5:E812,E812)-SUMIFS($I$5:I812,$E$5:E812,E812))</f>
        <v/>
      </c>
      <c r="K812" s="7"/>
      <c r="L812" s="7"/>
      <c r="M812" s="1" t="str">
        <f>IF(E812="","",E812&amp;"|"&amp;COUNTIF($E$5:E812,E812))</f>
        <v/>
      </c>
    </row>
    <row r="813" spans="2:13" x14ac:dyDescent="0.2">
      <c r="B813" s="10"/>
      <c r="C813" s="7"/>
      <c r="D813" s="11"/>
      <c r="E813" s="6"/>
      <c r="F813" s="12" t="str">
        <f t="shared" si="24"/>
        <v/>
      </c>
      <c r="G813" s="13" t="str">
        <f t="shared" si="25"/>
        <v/>
      </c>
      <c r="H813" s="9"/>
      <c r="I813" s="9"/>
      <c r="J813" s="14" t="str">
        <f>IF(E813="","",IFERROR(VLOOKUP(E813,TabProd,5,FALSE),0)+SUMIFS($H$5:H813,$E$5:E813,E813)-SUMIFS($I$5:I813,$E$5:E813,E813))</f>
        <v/>
      </c>
      <c r="K813" s="7"/>
      <c r="L813" s="7"/>
      <c r="M813" s="1" t="str">
        <f>IF(E813="","",E813&amp;"|"&amp;COUNTIF($E$5:E813,E813))</f>
        <v/>
      </c>
    </row>
    <row r="814" spans="2:13" x14ac:dyDescent="0.2">
      <c r="B814" s="10"/>
      <c r="C814" s="7"/>
      <c r="D814" s="11"/>
      <c r="E814" s="6"/>
      <c r="F814" s="12" t="str">
        <f t="shared" si="24"/>
        <v/>
      </c>
      <c r="G814" s="13" t="str">
        <f t="shared" si="25"/>
        <v/>
      </c>
      <c r="H814" s="9"/>
      <c r="I814" s="9"/>
      <c r="J814" s="14" t="str">
        <f>IF(E814="","",IFERROR(VLOOKUP(E814,TabProd,5,FALSE),0)+SUMIFS($H$5:H814,$E$5:E814,E814)-SUMIFS($I$5:I814,$E$5:E814,E814))</f>
        <v/>
      </c>
      <c r="K814" s="7"/>
      <c r="L814" s="7"/>
      <c r="M814" s="1" t="str">
        <f>IF(E814="","",E814&amp;"|"&amp;COUNTIF($E$5:E814,E814))</f>
        <v/>
      </c>
    </row>
    <row r="815" spans="2:13" x14ac:dyDescent="0.2">
      <c r="B815" s="10"/>
      <c r="C815" s="7"/>
      <c r="D815" s="11"/>
      <c r="E815" s="6"/>
      <c r="F815" s="12" t="str">
        <f t="shared" si="24"/>
        <v/>
      </c>
      <c r="G815" s="13" t="str">
        <f t="shared" si="25"/>
        <v/>
      </c>
      <c r="H815" s="9"/>
      <c r="I815" s="9"/>
      <c r="J815" s="14" t="str">
        <f>IF(E815="","",IFERROR(VLOOKUP(E815,TabProd,5,FALSE),0)+SUMIFS($H$5:H815,$E$5:E815,E815)-SUMIFS($I$5:I815,$E$5:E815,E815))</f>
        <v/>
      </c>
      <c r="K815" s="7"/>
      <c r="L815" s="7"/>
      <c r="M815" s="1" t="str">
        <f>IF(E815="","",E815&amp;"|"&amp;COUNTIF($E$5:E815,E815))</f>
        <v/>
      </c>
    </row>
    <row r="816" spans="2:13" x14ac:dyDescent="0.2">
      <c r="B816" s="10"/>
      <c r="C816" s="7"/>
      <c r="D816" s="11"/>
      <c r="E816" s="6"/>
      <c r="F816" s="12" t="str">
        <f t="shared" si="24"/>
        <v/>
      </c>
      <c r="G816" s="13" t="str">
        <f t="shared" si="25"/>
        <v/>
      </c>
      <c r="H816" s="9"/>
      <c r="I816" s="9"/>
      <c r="J816" s="14" t="str">
        <f>IF(E816="","",IFERROR(VLOOKUP(E816,TabProd,5,FALSE),0)+SUMIFS($H$5:H816,$E$5:E816,E816)-SUMIFS($I$5:I816,$E$5:E816,E816))</f>
        <v/>
      </c>
      <c r="K816" s="7"/>
      <c r="L816" s="7"/>
      <c r="M816" s="1" t="str">
        <f>IF(E816="","",E816&amp;"|"&amp;COUNTIF($E$5:E816,E816))</f>
        <v/>
      </c>
    </row>
    <row r="817" spans="2:13" x14ac:dyDescent="0.2">
      <c r="B817" s="10"/>
      <c r="C817" s="7"/>
      <c r="D817" s="11"/>
      <c r="E817" s="6"/>
      <c r="F817" s="12" t="str">
        <f t="shared" si="24"/>
        <v/>
      </c>
      <c r="G817" s="13" t="str">
        <f t="shared" si="25"/>
        <v/>
      </c>
      <c r="H817" s="9"/>
      <c r="I817" s="9"/>
      <c r="J817" s="14" t="str">
        <f>IF(E817="","",IFERROR(VLOOKUP(E817,TabProd,5,FALSE),0)+SUMIFS($H$5:H817,$E$5:E817,E817)-SUMIFS($I$5:I817,$E$5:E817,E817))</f>
        <v/>
      </c>
      <c r="K817" s="7"/>
      <c r="L817" s="7"/>
      <c r="M817" s="1" t="str">
        <f>IF(E817="","",E817&amp;"|"&amp;COUNTIF($E$5:E817,E817))</f>
        <v/>
      </c>
    </row>
    <row r="818" spans="2:13" x14ac:dyDescent="0.2">
      <c r="B818" s="10"/>
      <c r="C818" s="7"/>
      <c r="D818" s="11"/>
      <c r="E818" s="6"/>
      <c r="F818" s="12" t="str">
        <f t="shared" si="24"/>
        <v/>
      </c>
      <c r="G818" s="13" t="str">
        <f t="shared" si="25"/>
        <v/>
      </c>
      <c r="H818" s="9"/>
      <c r="I818" s="9"/>
      <c r="J818" s="14" t="str">
        <f>IF(E818="","",IFERROR(VLOOKUP(E818,TabProd,5,FALSE),0)+SUMIFS($H$5:H818,$E$5:E818,E818)-SUMIFS($I$5:I818,$E$5:E818,E818))</f>
        <v/>
      </c>
      <c r="K818" s="7"/>
      <c r="L818" s="7"/>
      <c r="M818" s="1" t="str">
        <f>IF(E818="","",E818&amp;"|"&amp;COUNTIF($E$5:E818,E818))</f>
        <v/>
      </c>
    </row>
    <row r="819" spans="2:13" x14ac:dyDescent="0.2">
      <c r="B819" s="10"/>
      <c r="C819" s="7"/>
      <c r="D819" s="11"/>
      <c r="E819" s="6"/>
      <c r="F819" s="12" t="str">
        <f t="shared" si="24"/>
        <v/>
      </c>
      <c r="G819" s="13" t="str">
        <f t="shared" si="25"/>
        <v/>
      </c>
      <c r="H819" s="9"/>
      <c r="I819" s="9"/>
      <c r="J819" s="14" t="str">
        <f>IF(E819="","",IFERROR(VLOOKUP(E819,TabProd,5,FALSE),0)+SUMIFS($H$5:H819,$E$5:E819,E819)-SUMIFS($I$5:I819,$E$5:E819,E819))</f>
        <v/>
      </c>
      <c r="K819" s="7"/>
      <c r="L819" s="7"/>
      <c r="M819" s="1" t="str">
        <f>IF(E819="","",E819&amp;"|"&amp;COUNTIF($E$5:E819,E819))</f>
        <v/>
      </c>
    </row>
    <row r="820" spans="2:13" x14ac:dyDescent="0.2">
      <c r="B820" s="10"/>
      <c r="C820" s="7"/>
      <c r="D820" s="11"/>
      <c r="E820" s="6"/>
      <c r="F820" s="12" t="str">
        <f t="shared" si="24"/>
        <v/>
      </c>
      <c r="G820" s="13" t="str">
        <f t="shared" si="25"/>
        <v/>
      </c>
      <c r="H820" s="9"/>
      <c r="I820" s="9"/>
      <c r="J820" s="14" t="str">
        <f>IF(E820="","",IFERROR(VLOOKUP(E820,TabProd,5,FALSE),0)+SUMIFS($H$5:H820,$E$5:E820,E820)-SUMIFS($I$5:I820,$E$5:E820,E820))</f>
        <v/>
      </c>
      <c r="K820" s="7"/>
      <c r="L820" s="7"/>
      <c r="M820" s="1" t="str">
        <f>IF(E820="","",E820&amp;"|"&amp;COUNTIF($E$5:E820,E820))</f>
        <v/>
      </c>
    </row>
    <row r="821" spans="2:13" x14ac:dyDescent="0.2">
      <c r="B821" s="10"/>
      <c r="C821" s="7"/>
      <c r="D821" s="11"/>
      <c r="E821" s="6"/>
      <c r="F821" s="12" t="str">
        <f t="shared" si="24"/>
        <v/>
      </c>
      <c r="G821" s="13" t="str">
        <f t="shared" si="25"/>
        <v/>
      </c>
      <c r="H821" s="9"/>
      <c r="I821" s="9"/>
      <c r="J821" s="14" t="str">
        <f>IF(E821="","",IFERROR(VLOOKUP(E821,TabProd,5,FALSE),0)+SUMIFS($H$5:H821,$E$5:E821,E821)-SUMIFS($I$5:I821,$E$5:E821,E821))</f>
        <v/>
      </c>
      <c r="K821" s="7"/>
      <c r="L821" s="7"/>
      <c r="M821" s="1" t="str">
        <f>IF(E821="","",E821&amp;"|"&amp;COUNTIF($E$5:E821,E821))</f>
        <v/>
      </c>
    </row>
    <row r="822" spans="2:13" x14ac:dyDescent="0.2">
      <c r="B822" s="10"/>
      <c r="C822" s="7"/>
      <c r="D822" s="11"/>
      <c r="E822" s="6"/>
      <c r="F822" s="12" t="str">
        <f t="shared" si="24"/>
        <v/>
      </c>
      <c r="G822" s="13" t="str">
        <f t="shared" si="25"/>
        <v/>
      </c>
      <c r="H822" s="9"/>
      <c r="I822" s="9"/>
      <c r="J822" s="14" t="str">
        <f>IF(E822="","",IFERROR(VLOOKUP(E822,TabProd,5,FALSE),0)+SUMIFS($H$5:H822,$E$5:E822,E822)-SUMIFS($I$5:I822,$E$5:E822,E822))</f>
        <v/>
      </c>
      <c r="K822" s="7"/>
      <c r="L822" s="7"/>
      <c r="M822" s="1" t="str">
        <f>IF(E822="","",E822&amp;"|"&amp;COUNTIF($E$5:E822,E822))</f>
        <v/>
      </c>
    </row>
    <row r="823" spans="2:13" x14ac:dyDescent="0.2">
      <c r="B823" s="10"/>
      <c r="C823" s="7"/>
      <c r="D823" s="11"/>
      <c r="E823" s="6"/>
      <c r="F823" s="12" t="str">
        <f t="shared" si="24"/>
        <v/>
      </c>
      <c r="G823" s="13" t="str">
        <f t="shared" si="25"/>
        <v/>
      </c>
      <c r="H823" s="9"/>
      <c r="I823" s="9"/>
      <c r="J823" s="14" t="str">
        <f>IF(E823="","",IFERROR(VLOOKUP(E823,TabProd,5,FALSE),0)+SUMIFS($H$5:H823,$E$5:E823,E823)-SUMIFS($I$5:I823,$E$5:E823,E823))</f>
        <v/>
      </c>
      <c r="K823" s="7"/>
      <c r="L823" s="7"/>
      <c r="M823" s="1" t="str">
        <f>IF(E823="","",E823&amp;"|"&amp;COUNTIF($E$5:E823,E823))</f>
        <v/>
      </c>
    </row>
    <row r="824" spans="2:13" x14ac:dyDescent="0.2">
      <c r="B824" s="10"/>
      <c r="C824" s="7"/>
      <c r="D824" s="11"/>
      <c r="E824" s="6"/>
      <c r="F824" s="12" t="str">
        <f t="shared" si="24"/>
        <v/>
      </c>
      <c r="G824" s="13" t="str">
        <f t="shared" si="25"/>
        <v/>
      </c>
      <c r="H824" s="9"/>
      <c r="I824" s="9"/>
      <c r="J824" s="14" t="str">
        <f>IF(E824="","",IFERROR(VLOOKUP(E824,TabProd,5,FALSE),0)+SUMIFS($H$5:H824,$E$5:E824,E824)-SUMIFS($I$5:I824,$E$5:E824,E824))</f>
        <v/>
      </c>
      <c r="K824" s="7"/>
      <c r="L824" s="7"/>
      <c r="M824" s="1" t="str">
        <f>IF(E824="","",E824&amp;"|"&amp;COUNTIF($E$5:E824,E824))</f>
        <v/>
      </c>
    </row>
    <row r="825" spans="2:13" x14ac:dyDescent="0.2">
      <c r="B825" s="10"/>
      <c r="C825" s="7"/>
      <c r="D825" s="11"/>
      <c r="E825" s="6"/>
      <c r="F825" s="12" t="str">
        <f t="shared" si="24"/>
        <v/>
      </c>
      <c r="G825" s="13" t="str">
        <f t="shared" si="25"/>
        <v/>
      </c>
      <c r="H825" s="9"/>
      <c r="I825" s="9"/>
      <c r="J825" s="14" t="str">
        <f>IF(E825="","",IFERROR(VLOOKUP(E825,TabProd,5,FALSE),0)+SUMIFS($H$5:H825,$E$5:E825,E825)-SUMIFS($I$5:I825,$E$5:E825,E825))</f>
        <v/>
      </c>
      <c r="K825" s="7"/>
      <c r="L825" s="7"/>
      <c r="M825" s="1" t="str">
        <f>IF(E825="","",E825&amp;"|"&amp;COUNTIF($E$5:E825,E825))</f>
        <v/>
      </c>
    </row>
    <row r="826" spans="2:13" x14ac:dyDescent="0.2">
      <c r="B826" s="10"/>
      <c r="C826" s="7"/>
      <c r="D826" s="11"/>
      <c r="E826" s="6"/>
      <c r="F826" s="12" t="str">
        <f t="shared" si="24"/>
        <v/>
      </c>
      <c r="G826" s="13" t="str">
        <f t="shared" si="25"/>
        <v/>
      </c>
      <c r="H826" s="9"/>
      <c r="I826" s="9"/>
      <c r="J826" s="14" t="str">
        <f>IF(E826="","",IFERROR(VLOOKUP(E826,TabProd,5,FALSE),0)+SUMIFS($H$5:H826,$E$5:E826,E826)-SUMIFS($I$5:I826,$E$5:E826,E826))</f>
        <v/>
      </c>
      <c r="K826" s="7"/>
      <c r="L826" s="7"/>
      <c r="M826" s="1" t="str">
        <f>IF(E826="","",E826&amp;"|"&amp;COUNTIF($E$5:E826,E826))</f>
        <v/>
      </c>
    </row>
    <row r="827" spans="2:13" x14ac:dyDescent="0.2">
      <c r="B827" s="10"/>
      <c r="C827" s="7"/>
      <c r="D827" s="11"/>
      <c r="E827" s="6"/>
      <c r="F827" s="12" t="str">
        <f t="shared" si="24"/>
        <v/>
      </c>
      <c r="G827" s="13" t="str">
        <f t="shared" si="25"/>
        <v/>
      </c>
      <c r="H827" s="9"/>
      <c r="I827" s="9"/>
      <c r="J827" s="14" t="str">
        <f>IF(E827="","",IFERROR(VLOOKUP(E827,TabProd,5,FALSE),0)+SUMIFS($H$5:H827,$E$5:E827,E827)-SUMIFS($I$5:I827,$E$5:E827,E827))</f>
        <v/>
      </c>
      <c r="K827" s="7"/>
      <c r="L827" s="7"/>
      <c r="M827" s="1" t="str">
        <f>IF(E827="","",E827&amp;"|"&amp;COUNTIF($E$5:E827,E827))</f>
        <v/>
      </c>
    </row>
    <row r="828" spans="2:13" x14ac:dyDescent="0.2">
      <c r="B828" s="10"/>
      <c r="C828" s="7"/>
      <c r="D828" s="11"/>
      <c r="E828" s="6"/>
      <c r="F828" s="12" t="str">
        <f t="shared" si="24"/>
        <v/>
      </c>
      <c r="G828" s="13" t="str">
        <f t="shared" si="25"/>
        <v/>
      </c>
      <c r="H828" s="9"/>
      <c r="I828" s="9"/>
      <c r="J828" s="14" t="str">
        <f>IF(E828="","",IFERROR(VLOOKUP(E828,TabProd,5,FALSE),0)+SUMIFS($H$5:H828,$E$5:E828,E828)-SUMIFS($I$5:I828,$E$5:E828,E828))</f>
        <v/>
      </c>
      <c r="K828" s="7"/>
      <c r="L828" s="7"/>
      <c r="M828" s="1" t="str">
        <f>IF(E828="","",E828&amp;"|"&amp;COUNTIF($E$5:E828,E828))</f>
        <v/>
      </c>
    </row>
    <row r="829" spans="2:13" x14ac:dyDescent="0.2">
      <c r="B829" s="10"/>
      <c r="C829" s="7"/>
      <c r="D829" s="11"/>
      <c r="E829" s="6"/>
      <c r="F829" s="12" t="str">
        <f t="shared" si="24"/>
        <v/>
      </c>
      <c r="G829" s="13" t="str">
        <f t="shared" si="25"/>
        <v/>
      </c>
      <c r="H829" s="9"/>
      <c r="I829" s="9"/>
      <c r="J829" s="14" t="str">
        <f>IF(E829="","",IFERROR(VLOOKUP(E829,TabProd,5,FALSE),0)+SUMIFS($H$5:H829,$E$5:E829,E829)-SUMIFS($I$5:I829,$E$5:E829,E829))</f>
        <v/>
      </c>
      <c r="K829" s="7"/>
      <c r="L829" s="7"/>
      <c r="M829" s="1" t="str">
        <f>IF(E829="","",E829&amp;"|"&amp;COUNTIF($E$5:E829,E829))</f>
        <v/>
      </c>
    </row>
    <row r="830" spans="2:13" x14ac:dyDescent="0.2">
      <c r="B830" s="10"/>
      <c r="C830" s="7"/>
      <c r="D830" s="11"/>
      <c r="E830" s="6"/>
      <c r="F830" s="12" t="str">
        <f t="shared" si="24"/>
        <v/>
      </c>
      <c r="G830" s="13" t="str">
        <f t="shared" si="25"/>
        <v/>
      </c>
      <c r="H830" s="9"/>
      <c r="I830" s="9"/>
      <c r="J830" s="14" t="str">
        <f>IF(E830="","",IFERROR(VLOOKUP(E830,TabProd,5,FALSE),0)+SUMIFS($H$5:H830,$E$5:E830,E830)-SUMIFS($I$5:I830,$E$5:E830,E830))</f>
        <v/>
      </c>
      <c r="K830" s="7"/>
      <c r="L830" s="7"/>
      <c r="M830" s="1" t="str">
        <f>IF(E830="","",E830&amp;"|"&amp;COUNTIF($E$5:E830,E830))</f>
        <v/>
      </c>
    </row>
    <row r="831" spans="2:13" x14ac:dyDescent="0.2">
      <c r="B831" s="10"/>
      <c r="C831" s="7"/>
      <c r="D831" s="11"/>
      <c r="E831" s="6"/>
      <c r="F831" s="12" t="str">
        <f t="shared" si="24"/>
        <v/>
      </c>
      <c r="G831" s="13" t="str">
        <f t="shared" si="25"/>
        <v/>
      </c>
      <c r="H831" s="9"/>
      <c r="I831" s="9"/>
      <c r="J831" s="14" t="str">
        <f>IF(E831="","",IFERROR(VLOOKUP(E831,TabProd,5,FALSE),0)+SUMIFS($H$5:H831,$E$5:E831,E831)-SUMIFS($I$5:I831,$E$5:E831,E831))</f>
        <v/>
      </c>
      <c r="K831" s="7"/>
      <c r="L831" s="7"/>
      <c r="M831" s="1" t="str">
        <f>IF(E831="","",E831&amp;"|"&amp;COUNTIF($E$5:E831,E831))</f>
        <v/>
      </c>
    </row>
    <row r="832" spans="2:13" x14ac:dyDescent="0.2">
      <c r="B832" s="10"/>
      <c r="C832" s="7"/>
      <c r="D832" s="11"/>
      <c r="E832" s="6"/>
      <c r="F832" s="12" t="str">
        <f t="shared" si="24"/>
        <v/>
      </c>
      <c r="G832" s="13" t="str">
        <f t="shared" si="25"/>
        <v/>
      </c>
      <c r="H832" s="9"/>
      <c r="I832" s="9"/>
      <c r="J832" s="14" t="str">
        <f>IF(E832="","",IFERROR(VLOOKUP(E832,TabProd,5,FALSE),0)+SUMIFS($H$5:H832,$E$5:E832,E832)-SUMIFS($I$5:I832,$E$5:E832,E832))</f>
        <v/>
      </c>
      <c r="K832" s="7"/>
      <c r="L832" s="7"/>
      <c r="M832" s="1" t="str">
        <f>IF(E832="","",E832&amp;"|"&amp;COUNTIF($E$5:E832,E832))</f>
        <v/>
      </c>
    </row>
    <row r="833" spans="2:13" x14ac:dyDescent="0.2">
      <c r="B833" s="10"/>
      <c r="C833" s="7"/>
      <c r="D833" s="11"/>
      <c r="E833" s="6"/>
      <c r="F833" s="12" t="str">
        <f t="shared" si="24"/>
        <v/>
      </c>
      <c r="G833" s="13" t="str">
        <f t="shared" si="25"/>
        <v/>
      </c>
      <c r="H833" s="9"/>
      <c r="I833" s="9"/>
      <c r="J833" s="14" t="str">
        <f>IF(E833="","",IFERROR(VLOOKUP(E833,TabProd,5,FALSE),0)+SUMIFS($H$5:H833,$E$5:E833,E833)-SUMIFS($I$5:I833,$E$5:E833,E833))</f>
        <v/>
      </c>
      <c r="K833" s="7"/>
      <c r="L833" s="7"/>
      <c r="M833" s="1" t="str">
        <f>IF(E833="","",E833&amp;"|"&amp;COUNTIF($E$5:E833,E833))</f>
        <v/>
      </c>
    </row>
    <row r="834" spans="2:13" x14ac:dyDescent="0.2">
      <c r="B834" s="10"/>
      <c r="C834" s="7"/>
      <c r="D834" s="11"/>
      <c r="E834" s="6"/>
      <c r="F834" s="12" t="str">
        <f t="shared" si="24"/>
        <v/>
      </c>
      <c r="G834" s="13" t="str">
        <f t="shared" si="25"/>
        <v/>
      </c>
      <c r="H834" s="9"/>
      <c r="I834" s="9"/>
      <c r="J834" s="14" t="str">
        <f>IF(E834="","",IFERROR(VLOOKUP(E834,TabProd,5,FALSE),0)+SUMIFS($H$5:H834,$E$5:E834,E834)-SUMIFS($I$5:I834,$E$5:E834,E834))</f>
        <v/>
      </c>
      <c r="K834" s="7"/>
      <c r="L834" s="7"/>
      <c r="M834" s="1" t="str">
        <f>IF(E834="","",E834&amp;"|"&amp;COUNTIF($E$5:E834,E834))</f>
        <v/>
      </c>
    </row>
    <row r="835" spans="2:13" x14ac:dyDescent="0.2">
      <c r="B835" s="10"/>
      <c r="C835" s="7"/>
      <c r="D835" s="11"/>
      <c r="E835" s="6"/>
      <c r="F835" s="12" t="str">
        <f t="shared" si="24"/>
        <v/>
      </c>
      <c r="G835" s="13" t="str">
        <f t="shared" si="25"/>
        <v/>
      </c>
      <c r="H835" s="9"/>
      <c r="I835" s="9"/>
      <c r="J835" s="14" t="str">
        <f>IF(E835="","",IFERROR(VLOOKUP(E835,TabProd,5,FALSE),0)+SUMIFS($H$5:H835,$E$5:E835,E835)-SUMIFS($I$5:I835,$E$5:E835,E835))</f>
        <v/>
      </c>
      <c r="K835" s="7"/>
      <c r="L835" s="7"/>
      <c r="M835" s="1" t="str">
        <f>IF(E835="","",E835&amp;"|"&amp;COUNTIF($E$5:E835,E835))</f>
        <v/>
      </c>
    </row>
    <row r="836" spans="2:13" x14ac:dyDescent="0.2">
      <c r="B836" s="10"/>
      <c r="C836" s="7"/>
      <c r="D836" s="11"/>
      <c r="E836" s="6"/>
      <c r="F836" s="12" t="str">
        <f t="shared" si="24"/>
        <v/>
      </c>
      <c r="G836" s="13" t="str">
        <f t="shared" si="25"/>
        <v/>
      </c>
      <c r="H836" s="9"/>
      <c r="I836" s="9"/>
      <c r="J836" s="14" t="str">
        <f>IF(E836="","",IFERROR(VLOOKUP(E836,TabProd,5,FALSE),0)+SUMIFS($H$5:H836,$E$5:E836,E836)-SUMIFS($I$5:I836,$E$5:E836,E836))</f>
        <v/>
      </c>
      <c r="K836" s="7"/>
      <c r="L836" s="7"/>
      <c r="M836" s="1" t="str">
        <f>IF(E836="","",E836&amp;"|"&amp;COUNTIF($E$5:E836,E836))</f>
        <v/>
      </c>
    </row>
    <row r="837" spans="2:13" x14ac:dyDescent="0.2">
      <c r="B837" s="10"/>
      <c r="C837" s="7"/>
      <c r="D837" s="11"/>
      <c r="E837" s="6"/>
      <c r="F837" s="12" t="str">
        <f t="shared" ref="F837:F900" si="26">IF(E837="","",IFERROR(VLOOKUP(E837,TabProd,2,FALSE),"Cod inexistent"))</f>
        <v/>
      </c>
      <c r="G837" s="13" t="str">
        <f t="shared" ref="G837:G900" si="27">IF(E837="","",IFERROR(VLOOKUP(E837,TabProd,3,FALSE),""))</f>
        <v/>
      </c>
      <c r="H837" s="9"/>
      <c r="I837" s="9"/>
      <c r="J837" s="14" t="str">
        <f>IF(E837="","",IFERROR(VLOOKUP(E837,TabProd,5,FALSE),0)+SUMIFS($H$5:H837,$E$5:E837,E837)-SUMIFS($I$5:I837,$E$5:E837,E837))</f>
        <v/>
      </c>
      <c r="K837" s="7"/>
      <c r="L837" s="7"/>
      <c r="M837" s="1" t="str">
        <f>IF(E837="","",E837&amp;"|"&amp;COUNTIF($E$5:E837,E837))</f>
        <v/>
      </c>
    </row>
    <row r="838" spans="2:13" x14ac:dyDescent="0.2">
      <c r="B838" s="10"/>
      <c r="C838" s="7"/>
      <c r="D838" s="11"/>
      <c r="E838" s="6"/>
      <c r="F838" s="12" t="str">
        <f t="shared" si="26"/>
        <v/>
      </c>
      <c r="G838" s="13" t="str">
        <f t="shared" si="27"/>
        <v/>
      </c>
      <c r="H838" s="9"/>
      <c r="I838" s="9"/>
      <c r="J838" s="14" t="str">
        <f>IF(E838="","",IFERROR(VLOOKUP(E838,TabProd,5,FALSE),0)+SUMIFS($H$5:H838,$E$5:E838,E838)-SUMIFS($I$5:I838,$E$5:E838,E838))</f>
        <v/>
      </c>
      <c r="K838" s="7"/>
      <c r="L838" s="7"/>
      <c r="M838" s="1" t="str">
        <f>IF(E838="","",E838&amp;"|"&amp;COUNTIF($E$5:E838,E838))</f>
        <v/>
      </c>
    </row>
    <row r="839" spans="2:13" x14ac:dyDescent="0.2">
      <c r="B839" s="10"/>
      <c r="C839" s="7"/>
      <c r="D839" s="11"/>
      <c r="E839" s="6"/>
      <c r="F839" s="12" t="str">
        <f t="shared" si="26"/>
        <v/>
      </c>
      <c r="G839" s="13" t="str">
        <f t="shared" si="27"/>
        <v/>
      </c>
      <c r="H839" s="9"/>
      <c r="I839" s="9"/>
      <c r="J839" s="14" t="str">
        <f>IF(E839="","",IFERROR(VLOOKUP(E839,TabProd,5,FALSE),0)+SUMIFS($H$5:H839,$E$5:E839,E839)-SUMIFS($I$5:I839,$E$5:E839,E839))</f>
        <v/>
      </c>
      <c r="K839" s="7"/>
      <c r="L839" s="7"/>
      <c r="M839" s="1" t="str">
        <f>IF(E839="","",E839&amp;"|"&amp;COUNTIF($E$5:E839,E839))</f>
        <v/>
      </c>
    </row>
    <row r="840" spans="2:13" x14ac:dyDescent="0.2">
      <c r="B840" s="10"/>
      <c r="C840" s="7"/>
      <c r="D840" s="11"/>
      <c r="E840" s="6"/>
      <c r="F840" s="12" t="str">
        <f t="shared" si="26"/>
        <v/>
      </c>
      <c r="G840" s="13" t="str">
        <f t="shared" si="27"/>
        <v/>
      </c>
      <c r="H840" s="9"/>
      <c r="I840" s="9"/>
      <c r="J840" s="14" t="str">
        <f>IF(E840="","",IFERROR(VLOOKUP(E840,TabProd,5,FALSE),0)+SUMIFS($H$5:H840,$E$5:E840,E840)-SUMIFS($I$5:I840,$E$5:E840,E840))</f>
        <v/>
      </c>
      <c r="K840" s="7"/>
      <c r="L840" s="7"/>
      <c r="M840" s="1" t="str">
        <f>IF(E840="","",E840&amp;"|"&amp;COUNTIF($E$5:E840,E840))</f>
        <v/>
      </c>
    </row>
    <row r="841" spans="2:13" x14ac:dyDescent="0.2">
      <c r="B841" s="10"/>
      <c r="C841" s="7"/>
      <c r="D841" s="11"/>
      <c r="E841" s="6"/>
      <c r="F841" s="12" t="str">
        <f t="shared" si="26"/>
        <v/>
      </c>
      <c r="G841" s="13" t="str">
        <f t="shared" si="27"/>
        <v/>
      </c>
      <c r="H841" s="9"/>
      <c r="I841" s="9"/>
      <c r="J841" s="14" t="str">
        <f>IF(E841="","",IFERROR(VLOOKUP(E841,TabProd,5,FALSE),0)+SUMIFS($H$5:H841,$E$5:E841,E841)-SUMIFS($I$5:I841,$E$5:E841,E841))</f>
        <v/>
      </c>
      <c r="K841" s="7"/>
      <c r="L841" s="7"/>
      <c r="M841" s="1" t="str">
        <f>IF(E841="","",E841&amp;"|"&amp;COUNTIF($E$5:E841,E841))</f>
        <v/>
      </c>
    </row>
    <row r="842" spans="2:13" x14ac:dyDescent="0.2">
      <c r="B842" s="10"/>
      <c r="C842" s="7"/>
      <c r="D842" s="11"/>
      <c r="E842" s="6"/>
      <c r="F842" s="12" t="str">
        <f t="shared" si="26"/>
        <v/>
      </c>
      <c r="G842" s="13" t="str">
        <f t="shared" si="27"/>
        <v/>
      </c>
      <c r="H842" s="9"/>
      <c r="I842" s="9"/>
      <c r="J842" s="14" t="str">
        <f>IF(E842="","",IFERROR(VLOOKUP(E842,TabProd,5,FALSE),0)+SUMIFS($H$5:H842,$E$5:E842,E842)-SUMIFS($I$5:I842,$E$5:E842,E842))</f>
        <v/>
      </c>
      <c r="K842" s="7"/>
      <c r="L842" s="7"/>
      <c r="M842" s="1" t="str">
        <f>IF(E842="","",E842&amp;"|"&amp;COUNTIF($E$5:E842,E842))</f>
        <v/>
      </c>
    </row>
    <row r="843" spans="2:13" x14ac:dyDescent="0.2">
      <c r="B843" s="10"/>
      <c r="C843" s="7"/>
      <c r="D843" s="11"/>
      <c r="E843" s="6"/>
      <c r="F843" s="12" t="str">
        <f t="shared" si="26"/>
        <v/>
      </c>
      <c r="G843" s="13" t="str">
        <f t="shared" si="27"/>
        <v/>
      </c>
      <c r="H843" s="9"/>
      <c r="I843" s="9"/>
      <c r="J843" s="14" t="str">
        <f>IF(E843="","",IFERROR(VLOOKUP(E843,TabProd,5,FALSE),0)+SUMIFS($H$5:H843,$E$5:E843,E843)-SUMIFS($I$5:I843,$E$5:E843,E843))</f>
        <v/>
      </c>
      <c r="K843" s="7"/>
      <c r="L843" s="7"/>
      <c r="M843" s="1" t="str">
        <f>IF(E843="","",E843&amp;"|"&amp;COUNTIF($E$5:E843,E843))</f>
        <v/>
      </c>
    </row>
    <row r="844" spans="2:13" x14ac:dyDescent="0.2">
      <c r="B844" s="10"/>
      <c r="C844" s="7"/>
      <c r="D844" s="11"/>
      <c r="E844" s="6"/>
      <c r="F844" s="12" t="str">
        <f t="shared" si="26"/>
        <v/>
      </c>
      <c r="G844" s="13" t="str">
        <f t="shared" si="27"/>
        <v/>
      </c>
      <c r="H844" s="9"/>
      <c r="I844" s="9"/>
      <c r="J844" s="14" t="str">
        <f>IF(E844="","",IFERROR(VLOOKUP(E844,TabProd,5,FALSE),0)+SUMIFS($H$5:H844,$E$5:E844,E844)-SUMIFS($I$5:I844,$E$5:E844,E844))</f>
        <v/>
      </c>
      <c r="K844" s="7"/>
      <c r="L844" s="7"/>
      <c r="M844" s="1" t="str">
        <f>IF(E844="","",E844&amp;"|"&amp;COUNTIF($E$5:E844,E844))</f>
        <v/>
      </c>
    </row>
    <row r="845" spans="2:13" x14ac:dyDescent="0.2">
      <c r="B845" s="10"/>
      <c r="C845" s="7"/>
      <c r="D845" s="11"/>
      <c r="E845" s="6"/>
      <c r="F845" s="12" t="str">
        <f t="shared" si="26"/>
        <v/>
      </c>
      <c r="G845" s="13" t="str">
        <f t="shared" si="27"/>
        <v/>
      </c>
      <c r="H845" s="9"/>
      <c r="I845" s="9"/>
      <c r="J845" s="14" t="str">
        <f>IF(E845="","",IFERROR(VLOOKUP(E845,TabProd,5,FALSE),0)+SUMIFS($H$5:H845,$E$5:E845,E845)-SUMIFS($I$5:I845,$E$5:E845,E845))</f>
        <v/>
      </c>
      <c r="K845" s="7"/>
      <c r="L845" s="7"/>
      <c r="M845" s="1" t="str">
        <f>IF(E845="","",E845&amp;"|"&amp;COUNTIF($E$5:E845,E845))</f>
        <v/>
      </c>
    </row>
    <row r="846" spans="2:13" x14ac:dyDescent="0.2">
      <c r="B846" s="10"/>
      <c r="C846" s="7"/>
      <c r="D846" s="11"/>
      <c r="E846" s="6"/>
      <c r="F846" s="12" t="str">
        <f t="shared" si="26"/>
        <v/>
      </c>
      <c r="G846" s="13" t="str">
        <f t="shared" si="27"/>
        <v/>
      </c>
      <c r="H846" s="9"/>
      <c r="I846" s="9"/>
      <c r="J846" s="14" t="str">
        <f>IF(E846="","",IFERROR(VLOOKUP(E846,TabProd,5,FALSE),0)+SUMIFS($H$5:H846,$E$5:E846,E846)-SUMIFS($I$5:I846,$E$5:E846,E846))</f>
        <v/>
      </c>
      <c r="K846" s="7"/>
      <c r="L846" s="7"/>
      <c r="M846" s="1" t="str">
        <f>IF(E846="","",E846&amp;"|"&amp;COUNTIF($E$5:E846,E846))</f>
        <v/>
      </c>
    </row>
    <row r="847" spans="2:13" x14ac:dyDescent="0.2">
      <c r="B847" s="10"/>
      <c r="C847" s="7"/>
      <c r="D847" s="11"/>
      <c r="E847" s="6"/>
      <c r="F847" s="12" t="str">
        <f t="shared" si="26"/>
        <v/>
      </c>
      <c r="G847" s="13" t="str">
        <f t="shared" si="27"/>
        <v/>
      </c>
      <c r="H847" s="9"/>
      <c r="I847" s="9"/>
      <c r="J847" s="14" t="str">
        <f>IF(E847="","",IFERROR(VLOOKUP(E847,TabProd,5,FALSE),0)+SUMIFS($H$5:H847,$E$5:E847,E847)-SUMIFS($I$5:I847,$E$5:E847,E847))</f>
        <v/>
      </c>
      <c r="K847" s="7"/>
      <c r="L847" s="7"/>
      <c r="M847" s="1" t="str">
        <f>IF(E847="","",E847&amp;"|"&amp;COUNTIF($E$5:E847,E847))</f>
        <v/>
      </c>
    </row>
    <row r="848" spans="2:13" x14ac:dyDescent="0.2">
      <c r="B848" s="10"/>
      <c r="C848" s="7"/>
      <c r="D848" s="11"/>
      <c r="E848" s="6"/>
      <c r="F848" s="12" t="str">
        <f t="shared" si="26"/>
        <v/>
      </c>
      <c r="G848" s="13" t="str">
        <f t="shared" si="27"/>
        <v/>
      </c>
      <c r="H848" s="9"/>
      <c r="I848" s="9"/>
      <c r="J848" s="14" t="str">
        <f>IF(E848="","",IFERROR(VLOOKUP(E848,TabProd,5,FALSE),0)+SUMIFS($H$5:H848,$E$5:E848,E848)-SUMIFS($I$5:I848,$E$5:E848,E848))</f>
        <v/>
      </c>
      <c r="K848" s="7"/>
      <c r="L848" s="7"/>
      <c r="M848" s="1" t="str">
        <f>IF(E848="","",E848&amp;"|"&amp;COUNTIF($E$5:E848,E848))</f>
        <v/>
      </c>
    </row>
    <row r="849" spans="2:13" x14ac:dyDescent="0.2">
      <c r="B849" s="10"/>
      <c r="C849" s="7"/>
      <c r="D849" s="11"/>
      <c r="E849" s="6"/>
      <c r="F849" s="12" t="str">
        <f t="shared" si="26"/>
        <v/>
      </c>
      <c r="G849" s="13" t="str">
        <f t="shared" si="27"/>
        <v/>
      </c>
      <c r="H849" s="9"/>
      <c r="I849" s="9"/>
      <c r="J849" s="14" t="str">
        <f>IF(E849="","",IFERROR(VLOOKUP(E849,TabProd,5,FALSE),0)+SUMIFS($H$5:H849,$E$5:E849,E849)-SUMIFS($I$5:I849,$E$5:E849,E849))</f>
        <v/>
      </c>
      <c r="K849" s="7"/>
      <c r="L849" s="7"/>
      <c r="M849" s="1" t="str">
        <f>IF(E849="","",E849&amp;"|"&amp;COUNTIF($E$5:E849,E849))</f>
        <v/>
      </c>
    </row>
    <row r="850" spans="2:13" x14ac:dyDescent="0.2">
      <c r="B850" s="10"/>
      <c r="C850" s="7"/>
      <c r="D850" s="11"/>
      <c r="E850" s="6"/>
      <c r="F850" s="12" t="str">
        <f t="shared" si="26"/>
        <v/>
      </c>
      <c r="G850" s="13" t="str">
        <f t="shared" si="27"/>
        <v/>
      </c>
      <c r="H850" s="9"/>
      <c r="I850" s="9"/>
      <c r="J850" s="14" t="str">
        <f>IF(E850="","",IFERROR(VLOOKUP(E850,TabProd,5,FALSE),0)+SUMIFS($H$5:H850,$E$5:E850,E850)-SUMIFS($I$5:I850,$E$5:E850,E850))</f>
        <v/>
      </c>
      <c r="K850" s="7"/>
      <c r="L850" s="7"/>
      <c r="M850" s="1" t="str">
        <f>IF(E850="","",E850&amp;"|"&amp;COUNTIF($E$5:E850,E850))</f>
        <v/>
      </c>
    </row>
    <row r="851" spans="2:13" x14ac:dyDescent="0.2">
      <c r="B851" s="10"/>
      <c r="C851" s="7"/>
      <c r="D851" s="11"/>
      <c r="E851" s="6"/>
      <c r="F851" s="12" t="str">
        <f t="shared" si="26"/>
        <v/>
      </c>
      <c r="G851" s="13" t="str">
        <f t="shared" si="27"/>
        <v/>
      </c>
      <c r="H851" s="9"/>
      <c r="I851" s="9"/>
      <c r="J851" s="14" t="str">
        <f>IF(E851="","",IFERROR(VLOOKUP(E851,TabProd,5,FALSE),0)+SUMIFS($H$5:H851,$E$5:E851,E851)-SUMIFS($I$5:I851,$E$5:E851,E851))</f>
        <v/>
      </c>
      <c r="K851" s="7"/>
      <c r="L851" s="7"/>
      <c r="M851" s="1" t="str">
        <f>IF(E851="","",E851&amp;"|"&amp;COUNTIF($E$5:E851,E851))</f>
        <v/>
      </c>
    </row>
    <row r="852" spans="2:13" x14ac:dyDescent="0.2">
      <c r="B852" s="10"/>
      <c r="C852" s="7"/>
      <c r="D852" s="11"/>
      <c r="E852" s="6"/>
      <c r="F852" s="12" t="str">
        <f t="shared" si="26"/>
        <v/>
      </c>
      <c r="G852" s="13" t="str">
        <f t="shared" si="27"/>
        <v/>
      </c>
      <c r="H852" s="9"/>
      <c r="I852" s="9"/>
      <c r="J852" s="14" t="str">
        <f>IF(E852="","",IFERROR(VLOOKUP(E852,TabProd,5,FALSE),0)+SUMIFS($H$5:H852,$E$5:E852,E852)-SUMIFS($I$5:I852,$E$5:E852,E852))</f>
        <v/>
      </c>
      <c r="K852" s="7"/>
      <c r="L852" s="7"/>
      <c r="M852" s="1" t="str">
        <f>IF(E852="","",E852&amp;"|"&amp;COUNTIF($E$5:E852,E852))</f>
        <v/>
      </c>
    </row>
    <row r="853" spans="2:13" x14ac:dyDescent="0.2">
      <c r="B853" s="10"/>
      <c r="C853" s="7"/>
      <c r="D853" s="11"/>
      <c r="E853" s="6"/>
      <c r="F853" s="12" t="str">
        <f t="shared" si="26"/>
        <v/>
      </c>
      <c r="G853" s="13" t="str">
        <f t="shared" si="27"/>
        <v/>
      </c>
      <c r="H853" s="9"/>
      <c r="I853" s="9"/>
      <c r="J853" s="14" t="str">
        <f>IF(E853="","",IFERROR(VLOOKUP(E853,TabProd,5,FALSE),0)+SUMIFS($H$5:H853,$E$5:E853,E853)-SUMIFS($I$5:I853,$E$5:E853,E853))</f>
        <v/>
      </c>
      <c r="K853" s="7"/>
      <c r="L853" s="7"/>
      <c r="M853" s="1" t="str">
        <f>IF(E853="","",E853&amp;"|"&amp;COUNTIF($E$5:E853,E853))</f>
        <v/>
      </c>
    </row>
    <row r="854" spans="2:13" x14ac:dyDescent="0.2">
      <c r="B854" s="10"/>
      <c r="C854" s="7"/>
      <c r="D854" s="11"/>
      <c r="E854" s="6"/>
      <c r="F854" s="12" t="str">
        <f t="shared" si="26"/>
        <v/>
      </c>
      <c r="G854" s="13" t="str">
        <f t="shared" si="27"/>
        <v/>
      </c>
      <c r="H854" s="9"/>
      <c r="I854" s="9"/>
      <c r="J854" s="14" t="str">
        <f>IF(E854="","",IFERROR(VLOOKUP(E854,TabProd,5,FALSE),0)+SUMIFS($H$5:H854,$E$5:E854,E854)-SUMIFS($I$5:I854,$E$5:E854,E854))</f>
        <v/>
      </c>
      <c r="K854" s="7"/>
      <c r="L854" s="7"/>
      <c r="M854" s="1" t="str">
        <f>IF(E854="","",E854&amp;"|"&amp;COUNTIF($E$5:E854,E854))</f>
        <v/>
      </c>
    </row>
    <row r="855" spans="2:13" x14ac:dyDescent="0.2">
      <c r="B855" s="10"/>
      <c r="C855" s="7"/>
      <c r="D855" s="11"/>
      <c r="E855" s="6"/>
      <c r="F855" s="12" t="str">
        <f t="shared" si="26"/>
        <v/>
      </c>
      <c r="G855" s="13" t="str">
        <f t="shared" si="27"/>
        <v/>
      </c>
      <c r="H855" s="9"/>
      <c r="I855" s="9"/>
      <c r="J855" s="14" t="str">
        <f>IF(E855="","",IFERROR(VLOOKUP(E855,TabProd,5,FALSE),0)+SUMIFS($H$5:H855,$E$5:E855,E855)-SUMIFS($I$5:I855,$E$5:E855,E855))</f>
        <v/>
      </c>
      <c r="K855" s="7"/>
      <c r="L855" s="7"/>
      <c r="M855" s="1" t="str">
        <f>IF(E855="","",E855&amp;"|"&amp;COUNTIF($E$5:E855,E855))</f>
        <v/>
      </c>
    </row>
    <row r="856" spans="2:13" x14ac:dyDescent="0.2">
      <c r="B856" s="10"/>
      <c r="C856" s="7"/>
      <c r="D856" s="11"/>
      <c r="E856" s="6"/>
      <c r="F856" s="12" t="str">
        <f t="shared" si="26"/>
        <v/>
      </c>
      <c r="G856" s="13" t="str">
        <f t="shared" si="27"/>
        <v/>
      </c>
      <c r="H856" s="9"/>
      <c r="I856" s="9"/>
      <c r="J856" s="14" t="str">
        <f>IF(E856="","",IFERROR(VLOOKUP(E856,TabProd,5,FALSE),0)+SUMIFS($H$5:H856,$E$5:E856,E856)-SUMIFS($I$5:I856,$E$5:E856,E856))</f>
        <v/>
      </c>
      <c r="K856" s="7"/>
      <c r="L856" s="7"/>
      <c r="M856" s="1" t="str">
        <f>IF(E856="","",E856&amp;"|"&amp;COUNTIF($E$5:E856,E856))</f>
        <v/>
      </c>
    </row>
    <row r="857" spans="2:13" x14ac:dyDescent="0.2">
      <c r="B857" s="10"/>
      <c r="C857" s="7"/>
      <c r="D857" s="11"/>
      <c r="E857" s="6"/>
      <c r="F857" s="12" t="str">
        <f t="shared" si="26"/>
        <v/>
      </c>
      <c r="G857" s="13" t="str">
        <f t="shared" si="27"/>
        <v/>
      </c>
      <c r="H857" s="9"/>
      <c r="I857" s="9"/>
      <c r="J857" s="14" t="str">
        <f>IF(E857="","",IFERROR(VLOOKUP(E857,TabProd,5,FALSE),0)+SUMIFS($H$5:H857,$E$5:E857,E857)-SUMIFS($I$5:I857,$E$5:E857,E857))</f>
        <v/>
      </c>
      <c r="K857" s="7"/>
      <c r="L857" s="7"/>
      <c r="M857" s="1" t="str">
        <f>IF(E857="","",E857&amp;"|"&amp;COUNTIF($E$5:E857,E857))</f>
        <v/>
      </c>
    </row>
    <row r="858" spans="2:13" x14ac:dyDescent="0.2">
      <c r="B858" s="10"/>
      <c r="C858" s="7"/>
      <c r="D858" s="11"/>
      <c r="E858" s="6"/>
      <c r="F858" s="12" t="str">
        <f t="shared" si="26"/>
        <v/>
      </c>
      <c r="G858" s="13" t="str">
        <f t="shared" si="27"/>
        <v/>
      </c>
      <c r="H858" s="9"/>
      <c r="I858" s="9"/>
      <c r="J858" s="14" t="str">
        <f>IF(E858="","",IFERROR(VLOOKUP(E858,TabProd,5,FALSE),0)+SUMIFS($H$5:H858,$E$5:E858,E858)-SUMIFS($I$5:I858,$E$5:E858,E858))</f>
        <v/>
      </c>
      <c r="K858" s="7"/>
      <c r="L858" s="7"/>
      <c r="M858" s="1" t="str">
        <f>IF(E858="","",E858&amp;"|"&amp;COUNTIF($E$5:E858,E858))</f>
        <v/>
      </c>
    </row>
    <row r="859" spans="2:13" x14ac:dyDescent="0.2">
      <c r="B859" s="10"/>
      <c r="C859" s="7"/>
      <c r="D859" s="11"/>
      <c r="E859" s="6"/>
      <c r="F859" s="12" t="str">
        <f t="shared" si="26"/>
        <v/>
      </c>
      <c r="G859" s="13" t="str">
        <f t="shared" si="27"/>
        <v/>
      </c>
      <c r="H859" s="9"/>
      <c r="I859" s="9"/>
      <c r="J859" s="14" t="str">
        <f>IF(E859="","",IFERROR(VLOOKUP(E859,TabProd,5,FALSE),0)+SUMIFS($H$5:H859,$E$5:E859,E859)-SUMIFS($I$5:I859,$E$5:E859,E859))</f>
        <v/>
      </c>
      <c r="K859" s="7"/>
      <c r="L859" s="7"/>
      <c r="M859" s="1" t="str">
        <f>IF(E859="","",E859&amp;"|"&amp;COUNTIF($E$5:E859,E859))</f>
        <v/>
      </c>
    </row>
    <row r="860" spans="2:13" x14ac:dyDescent="0.2">
      <c r="B860" s="10"/>
      <c r="C860" s="7"/>
      <c r="D860" s="11"/>
      <c r="E860" s="6"/>
      <c r="F860" s="12" t="str">
        <f t="shared" si="26"/>
        <v/>
      </c>
      <c r="G860" s="13" t="str">
        <f t="shared" si="27"/>
        <v/>
      </c>
      <c r="H860" s="9"/>
      <c r="I860" s="9"/>
      <c r="J860" s="14" t="str">
        <f>IF(E860="","",IFERROR(VLOOKUP(E860,TabProd,5,FALSE),0)+SUMIFS($H$5:H860,$E$5:E860,E860)-SUMIFS($I$5:I860,$E$5:E860,E860))</f>
        <v/>
      </c>
      <c r="K860" s="7"/>
      <c r="L860" s="7"/>
      <c r="M860" s="1" t="str">
        <f>IF(E860="","",E860&amp;"|"&amp;COUNTIF($E$5:E860,E860))</f>
        <v/>
      </c>
    </row>
    <row r="861" spans="2:13" x14ac:dyDescent="0.2">
      <c r="B861" s="10"/>
      <c r="C861" s="7"/>
      <c r="D861" s="11"/>
      <c r="E861" s="6"/>
      <c r="F861" s="12" t="str">
        <f t="shared" si="26"/>
        <v/>
      </c>
      <c r="G861" s="13" t="str">
        <f t="shared" si="27"/>
        <v/>
      </c>
      <c r="H861" s="9"/>
      <c r="I861" s="9"/>
      <c r="J861" s="14" t="str">
        <f>IF(E861="","",IFERROR(VLOOKUP(E861,TabProd,5,FALSE),0)+SUMIFS($H$5:H861,$E$5:E861,E861)-SUMIFS($I$5:I861,$E$5:E861,E861))</f>
        <v/>
      </c>
      <c r="K861" s="7"/>
      <c r="L861" s="7"/>
      <c r="M861" s="1" t="str">
        <f>IF(E861="","",E861&amp;"|"&amp;COUNTIF($E$5:E861,E861))</f>
        <v/>
      </c>
    </row>
    <row r="862" spans="2:13" x14ac:dyDescent="0.2">
      <c r="B862" s="10"/>
      <c r="C862" s="7"/>
      <c r="D862" s="11"/>
      <c r="E862" s="6"/>
      <c r="F862" s="12" t="str">
        <f t="shared" si="26"/>
        <v/>
      </c>
      <c r="G862" s="13" t="str">
        <f t="shared" si="27"/>
        <v/>
      </c>
      <c r="H862" s="9"/>
      <c r="I862" s="9"/>
      <c r="J862" s="14" t="str">
        <f>IF(E862="","",IFERROR(VLOOKUP(E862,TabProd,5,FALSE),0)+SUMIFS($H$5:H862,$E$5:E862,E862)-SUMIFS($I$5:I862,$E$5:E862,E862))</f>
        <v/>
      </c>
      <c r="K862" s="7"/>
      <c r="L862" s="7"/>
      <c r="M862" s="1" t="str">
        <f>IF(E862="","",E862&amp;"|"&amp;COUNTIF($E$5:E862,E862))</f>
        <v/>
      </c>
    </row>
    <row r="863" spans="2:13" x14ac:dyDescent="0.2">
      <c r="B863" s="10"/>
      <c r="C863" s="7"/>
      <c r="D863" s="11"/>
      <c r="E863" s="6"/>
      <c r="F863" s="12" t="str">
        <f t="shared" si="26"/>
        <v/>
      </c>
      <c r="G863" s="13" t="str">
        <f t="shared" si="27"/>
        <v/>
      </c>
      <c r="H863" s="9"/>
      <c r="I863" s="9"/>
      <c r="J863" s="14" t="str">
        <f>IF(E863="","",IFERROR(VLOOKUP(E863,TabProd,5,FALSE),0)+SUMIFS($H$5:H863,$E$5:E863,E863)-SUMIFS($I$5:I863,$E$5:E863,E863))</f>
        <v/>
      </c>
      <c r="K863" s="7"/>
      <c r="L863" s="7"/>
      <c r="M863" s="1" t="str">
        <f>IF(E863="","",E863&amp;"|"&amp;COUNTIF($E$5:E863,E863))</f>
        <v/>
      </c>
    </row>
    <row r="864" spans="2:13" x14ac:dyDescent="0.2">
      <c r="B864" s="10"/>
      <c r="C864" s="7"/>
      <c r="D864" s="11"/>
      <c r="E864" s="6"/>
      <c r="F864" s="12" t="str">
        <f t="shared" si="26"/>
        <v/>
      </c>
      <c r="G864" s="13" t="str">
        <f t="shared" si="27"/>
        <v/>
      </c>
      <c r="H864" s="9"/>
      <c r="I864" s="9"/>
      <c r="J864" s="14" t="str">
        <f>IF(E864="","",IFERROR(VLOOKUP(E864,TabProd,5,FALSE),0)+SUMIFS($H$5:H864,$E$5:E864,E864)-SUMIFS($I$5:I864,$E$5:E864,E864))</f>
        <v/>
      </c>
      <c r="K864" s="7"/>
      <c r="L864" s="7"/>
      <c r="M864" s="1" t="str">
        <f>IF(E864="","",E864&amp;"|"&amp;COUNTIF($E$5:E864,E864))</f>
        <v/>
      </c>
    </row>
    <row r="865" spans="2:13" x14ac:dyDescent="0.2">
      <c r="B865" s="10"/>
      <c r="C865" s="7"/>
      <c r="D865" s="11"/>
      <c r="E865" s="6"/>
      <c r="F865" s="12" t="str">
        <f t="shared" si="26"/>
        <v/>
      </c>
      <c r="G865" s="13" t="str">
        <f t="shared" si="27"/>
        <v/>
      </c>
      <c r="H865" s="9"/>
      <c r="I865" s="9"/>
      <c r="J865" s="14" t="str">
        <f>IF(E865="","",IFERROR(VLOOKUP(E865,TabProd,5,FALSE),0)+SUMIFS($H$5:H865,$E$5:E865,E865)-SUMIFS($I$5:I865,$E$5:E865,E865))</f>
        <v/>
      </c>
      <c r="K865" s="7"/>
      <c r="L865" s="7"/>
      <c r="M865" s="1" t="str">
        <f>IF(E865="","",E865&amp;"|"&amp;COUNTIF($E$5:E865,E865))</f>
        <v/>
      </c>
    </row>
    <row r="866" spans="2:13" x14ac:dyDescent="0.2">
      <c r="B866" s="10"/>
      <c r="C866" s="7"/>
      <c r="D866" s="11"/>
      <c r="E866" s="6"/>
      <c r="F866" s="12" t="str">
        <f t="shared" si="26"/>
        <v/>
      </c>
      <c r="G866" s="13" t="str">
        <f t="shared" si="27"/>
        <v/>
      </c>
      <c r="H866" s="9"/>
      <c r="I866" s="9"/>
      <c r="J866" s="14" t="str">
        <f>IF(E866="","",IFERROR(VLOOKUP(E866,TabProd,5,FALSE),0)+SUMIFS($H$5:H866,$E$5:E866,E866)-SUMIFS($I$5:I866,$E$5:E866,E866))</f>
        <v/>
      </c>
      <c r="K866" s="7"/>
      <c r="L866" s="7"/>
      <c r="M866" s="1" t="str">
        <f>IF(E866="","",E866&amp;"|"&amp;COUNTIF($E$5:E866,E866))</f>
        <v/>
      </c>
    </row>
    <row r="867" spans="2:13" x14ac:dyDescent="0.2">
      <c r="B867" s="10"/>
      <c r="C867" s="7"/>
      <c r="D867" s="11"/>
      <c r="E867" s="6"/>
      <c r="F867" s="12" t="str">
        <f t="shared" si="26"/>
        <v/>
      </c>
      <c r="G867" s="13" t="str">
        <f t="shared" si="27"/>
        <v/>
      </c>
      <c r="H867" s="9"/>
      <c r="I867" s="9"/>
      <c r="J867" s="14" t="str">
        <f>IF(E867="","",IFERROR(VLOOKUP(E867,TabProd,5,FALSE),0)+SUMIFS($H$5:H867,$E$5:E867,E867)-SUMIFS($I$5:I867,$E$5:E867,E867))</f>
        <v/>
      </c>
      <c r="K867" s="7"/>
      <c r="L867" s="7"/>
      <c r="M867" s="1" t="str">
        <f>IF(E867="","",E867&amp;"|"&amp;COUNTIF($E$5:E867,E867))</f>
        <v/>
      </c>
    </row>
    <row r="868" spans="2:13" x14ac:dyDescent="0.2">
      <c r="B868" s="10"/>
      <c r="C868" s="7"/>
      <c r="D868" s="11"/>
      <c r="E868" s="6"/>
      <c r="F868" s="12" t="str">
        <f t="shared" si="26"/>
        <v/>
      </c>
      <c r="G868" s="13" t="str">
        <f t="shared" si="27"/>
        <v/>
      </c>
      <c r="H868" s="9"/>
      <c r="I868" s="9"/>
      <c r="J868" s="14" t="str">
        <f>IF(E868="","",IFERROR(VLOOKUP(E868,TabProd,5,FALSE),0)+SUMIFS($H$5:H868,$E$5:E868,E868)-SUMIFS($I$5:I868,$E$5:E868,E868))</f>
        <v/>
      </c>
      <c r="K868" s="7"/>
      <c r="L868" s="7"/>
      <c r="M868" s="1" t="str">
        <f>IF(E868="","",E868&amp;"|"&amp;COUNTIF($E$5:E868,E868))</f>
        <v/>
      </c>
    </row>
    <row r="869" spans="2:13" x14ac:dyDescent="0.2">
      <c r="B869" s="10"/>
      <c r="C869" s="7"/>
      <c r="D869" s="11"/>
      <c r="E869" s="6"/>
      <c r="F869" s="12" t="str">
        <f t="shared" si="26"/>
        <v/>
      </c>
      <c r="G869" s="13" t="str">
        <f t="shared" si="27"/>
        <v/>
      </c>
      <c r="H869" s="9"/>
      <c r="I869" s="9"/>
      <c r="J869" s="14" t="str">
        <f>IF(E869="","",IFERROR(VLOOKUP(E869,TabProd,5,FALSE),0)+SUMIFS($H$5:H869,$E$5:E869,E869)-SUMIFS($I$5:I869,$E$5:E869,E869))</f>
        <v/>
      </c>
      <c r="K869" s="7"/>
      <c r="L869" s="7"/>
      <c r="M869" s="1" t="str">
        <f>IF(E869="","",E869&amp;"|"&amp;COUNTIF($E$5:E869,E869))</f>
        <v/>
      </c>
    </row>
    <row r="870" spans="2:13" x14ac:dyDescent="0.2">
      <c r="B870" s="10"/>
      <c r="C870" s="7"/>
      <c r="D870" s="11"/>
      <c r="E870" s="6"/>
      <c r="F870" s="12" t="str">
        <f t="shared" si="26"/>
        <v/>
      </c>
      <c r="G870" s="13" t="str">
        <f t="shared" si="27"/>
        <v/>
      </c>
      <c r="H870" s="9"/>
      <c r="I870" s="9"/>
      <c r="J870" s="14" t="str">
        <f>IF(E870="","",IFERROR(VLOOKUP(E870,TabProd,5,FALSE),0)+SUMIFS($H$5:H870,$E$5:E870,E870)-SUMIFS($I$5:I870,$E$5:E870,E870))</f>
        <v/>
      </c>
      <c r="K870" s="7"/>
      <c r="L870" s="7"/>
      <c r="M870" s="1" t="str">
        <f>IF(E870="","",E870&amp;"|"&amp;COUNTIF($E$5:E870,E870))</f>
        <v/>
      </c>
    </row>
    <row r="871" spans="2:13" x14ac:dyDescent="0.2">
      <c r="B871" s="10"/>
      <c r="C871" s="7"/>
      <c r="D871" s="11"/>
      <c r="E871" s="6"/>
      <c r="F871" s="12" t="str">
        <f t="shared" si="26"/>
        <v/>
      </c>
      <c r="G871" s="13" t="str">
        <f t="shared" si="27"/>
        <v/>
      </c>
      <c r="H871" s="9"/>
      <c r="I871" s="9"/>
      <c r="J871" s="14" t="str">
        <f>IF(E871="","",IFERROR(VLOOKUP(E871,TabProd,5,FALSE),0)+SUMIFS($H$5:H871,$E$5:E871,E871)-SUMIFS($I$5:I871,$E$5:E871,E871))</f>
        <v/>
      </c>
      <c r="K871" s="7"/>
      <c r="L871" s="7"/>
      <c r="M871" s="1" t="str">
        <f>IF(E871="","",E871&amp;"|"&amp;COUNTIF($E$5:E871,E871))</f>
        <v/>
      </c>
    </row>
    <row r="872" spans="2:13" x14ac:dyDescent="0.2">
      <c r="B872" s="10"/>
      <c r="C872" s="7"/>
      <c r="D872" s="11"/>
      <c r="E872" s="6"/>
      <c r="F872" s="12" t="str">
        <f t="shared" si="26"/>
        <v/>
      </c>
      <c r="G872" s="13" t="str">
        <f t="shared" si="27"/>
        <v/>
      </c>
      <c r="H872" s="9"/>
      <c r="I872" s="9"/>
      <c r="J872" s="14" t="str">
        <f>IF(E872="","",IFERROR(VLOOKUP(E872,TabProd,5,FALSE),0)+SUMIFS($H$5:H872,$E$5:E872,E872)-SUMIFS($I$5:I872,$E$5:E872,E872))</f>
        <v/>
      </c>
      <c r="K872" s="7"/>
      <c r="L872" s="7"/>
      <c r="M872" s="1" t="str">
        <f>IF(E872="","",E872&amp;"|"&amp;COUNTIF($E$5:E872,E872))</f>
        <v/>
      </c>
    </row>
    <row r="873" spans="2:13" x14ac:dyDescent="0.2">
      <c r="B873" s="10"/>
      <c r="C873" s="7"/>
      <c r="D873" s="11"/>
      <c r="E873" s="6"/>
      <c r="F873" s="12" t="str">
        <f t="shared" si="26"/>
        <v/>
      </c>
      <c r="G873" s="13" t="str">
        <f t="shared" si="27"/>
        <v/>
      </c>
      <c r="H873" s="9"/>
      <c r="I873" s="9"/>
      <c r="J873" s="14" t="str">
        <f>IF(E873="","",IFERROR(VLOOKUP(E873,TabProd,5,FALSE),0)+SUMIFS($H$5:H873,$E$5:E873,E873)-SUMIFS($I$5:I873,$E$5:E873,E873))</f>
        <v/>
      </c>
      <c r="K873" s="7"/>
      <c r="L873" s="7"/>
      <c r="M873" s="1" t="str">
        <f>IF(E873="","",E873&amp;"|"&amp;COUNTIF($E$5:E873,E873))</f>
        <v/>
      </c>
    </row>
    <row r="874" spans="2:13" x14ac:dyDescent="0.2">
      <c r="B874" s="10"/>
      <c r="C874" s="7"/>
      <c r="D874" s="11"/>
      <c r="E874" s="6"/>
      <c r="F874" s="12" t="str">
        <f t="shared" si="26"/>
        <v/>
      </c>
      <c r="G874" s="13" t="str">
        <f t="shared" si="27"/>
        <v/>
      </c>
      <c r="H874" s="9"/>
      <c r="I874" s="9"/>
      <c r="J874" s="14" t="str">
        <f>IF(E874="","",IFERROR(VLOOKUP(E874,TabProd,5,FALSE),0)+SUMIFS($H$5:H874,$E$5:E874,E874)-SUMIFS($I$5:I874,$E$5:E874,E874))</f>
        <v/>
      </c>
      <c r="K874" s="7"/>
      <c r="L874" s="7"/>
      <c r="M874" s="1" t="str">
        <f>IF(E874="","",E874&amp;"|"&amp;COUNTIF($E$5:E874,E874))</f>
        <v/>
      </c>
    </row>
    <row r="875" spans="2:13" x14ac:dyDescent="0.2">
      <c r="B875" s="10"/>
      <c r="C875" s="7"/>
      <c r="D875" s="11"/>
      <c r="E875" s="6"/>
      <c r="F875" s="12" t="str">
        <f t="shared" si="26"/>
        <v/>
      </c>
      <c r="G875" s="13" t="str">
        <f t="shared" si="27"/>
        <v/>
      </c>
      <c r="H875" s="9"/>
      <c r="I875" s="9"/>
      <c r="J875" s="14" t="str">
        <f>IF(E875="","",IFERROR(VLOOKUP(E875,TabProd,5,FALSE),0)+SUMIFS($H$5:H875,$E$5:E875,E875)-SUMIFS($I$5:I875,$E$5:E875,E875))</f>
        <v/>
      </c>
      <c r="K875" s="7"/>
      <c r="L875" s="7"/>
      <c r="M875" s="1" t="str">
        <f>IF(E875="","",E875&amp;"|"&amp;COUNTIF($E$5:E875,E875))</f>
        <v/>
      </c>
    </row>
    <row r="876" spans="2:13" x14ac:dyDescent="0.2">
      <c r="B876" s="10"/>
      <c r="C876" s="7"/>
      <c r="D876" s="11"/>
      <c r="E876" s="6"/>
      <c r="F876" s="12" t="str">
        <f t="shared" si="26"/>
        <v/>
      </c>
      <c r="G876" s="13" t="str">
        <f t="shared" si="27"/>
        <v/>
      </c>
      <c r="H876" s="9"/>
      <c r="I876" s="9"/>
      <c r="J876" s="14" t="str">
        <f>IF(E876="","",IFERROR(VLOOKUP(E876,TabProd,5,FALSE),0)+SUMIFS($H$5:H876,$E$5:E876,E876)-SUMIFS($I$5:I876,$E$5:E876,E876))</f>
        <v/>
      </c>
      <c r="K876" s="7"/>
      <c r="L876" s="7"/>
      <c r="M876" s="1" t="str">
        <f>IF(E876="","",E876&amp;"|"&amp;COUNTIF($E$5:E876,E876))</f>
        <v/>
      </c>
    </row>
    <row r="877" spans="2:13" x14ac:dyDescent="0.2">
      <c r="B877" s="10"/>
      <c r="C877" s="7"/>
      <c r="D877" s="11"/>
      <c r="E877" s="6"/>
      <c r="F877" s="12" t="str">
        <f t="shared" si="26"/>
        <v/>
      </c>
      <c r="G877" s="13" t="str">
        <f t="shared" si="27"/>
        <v/>
      </c>
      <c r="H877" s="9"/>
      <c r="I877" s="9"/>
      <c r="J877" s="14" t="str">
        <f>IF(E877="","",IFERROR(VLOOKUP(E877,TabProd,5,FALSE),0)+SUMIFS($H$5:H877,$E$5:E877,E877)-SUMIFS($I$5:I877,$E$5:E877,E877))</f>
        <v/>
      </c>
      <c r="K877" s="7"/>
      <c r="L877" s="7"/>
      <c r="M877" s="1" t="str">
        <f>IF(E877="","",E877&amp;"|"&amp;COUNTIF($E$5:E877,E877))</f>
        <v/>
      </c>
    </row>
    <row r="878" spans="2:13" x14ac:dyDescent="0.2">
      <c r="B878" s="10"/>
      <c r="C878" s="7"/>
      <c r="D878" s="11"/>
      <c r="E878" s="6"/>
      <c r="F878" s="12" t="str">
        <f t="shared" si="26"/>
        <v/>
      </c>
      <c r="G878" s="13" t="str">
        <f t="shared" si="27"/>
        <v/>
      </c>
      <c r="H878" s="9"/>
      <c r="I878" s="9"/>
      <c r="J878" s="14" t="str">
        <f>IF(E878="","",IFERROR(VLOOKUP(E878,TabProd,5,FALSE),0)+SUMIFS($H$5:H878,$E$5:E878,E878)-SUMIFS($I$5:I878,$E$5:E878,E878))</f>
        <v/>
      </c>
      <c r="K878" s="7"/>
      <c r="L878" s="7"/>
      <c r="M878" s="1" t="str">
        <f>IF(E878="","",E878&amp;"|"&amp;COUNTIF($E$5:E878,E878))</f>
        <v/>
      </c>
    </row>
    <row r="879" spans="2:13" x14ac:dyDescent="0.2">
      <c r="B879" s="10"/>
      <c r="C879" s="7"/>
      <c r="D879" s="11"/>
      <c r="E879" s="6"/>
      <c r="F879" s="12" t="str">
        <f t="shared" si="26"/>
        <v/>
      </c>
      <c r="G879" s="13" t="str">
        <f t="shared" si="27"/>
        <v/>
      </c>
      <c r="H879" s="9"/>
      <c r="I879" s="9"/>
      <c r="J879" s="14" t="str">
        <f>IF(E879="","",IFERROR(VLOOKUP(E879,TabProd,5,FALSE),0)+SUMIFS($H$5:H879,$E$5:E879,E879)-SUMIFS($I$5:I879,$E$5:E879,E879))</f>
        <v/>
      </c>
      <c r="K879" s="7"/>
      <c r="L879" s="7"/>
      <c r="M879" s="1" t="str">
        <f>IF(E879="","",E879&amp;"|"&amp;COUNTIF($E$5:E879,E879))</f>
        <v/>
      </c>
    </row>
    <row r="880" spans="2:13" x14ac:dyDescent="0.2">
      <c r="B880" s="10"/>
      <c r="C880" s="7"/>
      <c r="D880" s="11"/>
      <c r="E880" s="6"/>
      <c r="F880" s="12" t="str">
        <f t="shared" si="26"/>
        <v/>
      </c>
      <c r="G880" s="13" t="str">
        <f t="shared" si="27"/>
        <v/>
      </c>
      <c r="H880" s="9"/>
      <c r="I880" s="9"/>
      <c r="J880" s="14" t="str">
        <f>IF(E880="","",IFERROR(VLOOKUP(E880,TabProd,5,FALSE),0)+SUMIFS($H$5:H880,$E$5:E880,E880)-SUMIFS($I$5:I880,$E$5:E880,E880))</f>
        <v/>
      </c>
      <c r="K880" s="7"/>
      <c r="L880" s="7"/>
      <c r="M880" s="1" t="str">
        <f>IF(E880="","",E880&amp;"|"&amp;COUNTIF($E$5:E880,E880))</f>
        <v/>
      </c>
    </row>
    <row r="881" spans="2:13" x14ac:dyDescent="0.2">
      <c r="B881" s="10"/>
      <c r="C881" s="7"/>
      <c r="D881" s="11"/>
      <c r="E881" s="6"/>
      <c r="F881" s="12" t="str">
        <f t="shared" si="26"/>
        <v/>
      </c>
      <c r="G881" s="13" t="str">
        <f t="shared" si="27"/>
        <v/>
      </c>
      <c r="H881" s="9"/>
      <c r="I881" s="9"/>
      <c r="J881" s="14" t="str">
        <f>IF(E881="","",IFERROR(VLOOKUP(E881,TabProd,5,FALSE),0)+SUMIFS($H$5:H881,$E$5:E881,E881)-SUMIFS($I$5:I881,$E$5:E881,E881))</f>
        <v/>
      </c>
      <c r="K881" s="7"/>
      <c r="L881" s="7"/>
      <c r="M881" s="1" t="str">
        <f>IF(E881="","",E881&amp;"|"&amp;COUNTIF($E$5:E881,E881))</f>
        <v/>
      </c>
    </row>
    <row r="882" spans="2:13" x14ac:dyDescent="0.2">
      <c r="B882" s="10"/>
      <c r="C882" s="7"/>
      <c r="D882" s="11"/>
      <c r="E882" s="6"/>
      <c r="F882" s="12" t="str">
        <f t="shared" si="26"/>
        <v/>
      </c>
      <c r="G882" s="13" t="str">
        <f t="shared" si="27"/>
        <v/>
      </c>
      <c r="H882" s="9"/>
      <c r="I882" s="9"/>
      <c r="J882" s="14" t="str">
        <f>IF(E882="","",IFERROR(VLOOKUP(E882,TabProd,5,FALSE),0)+SUMIFS($H$5:H882,$E$5:E882,E882)-SUMIFS($I$5:I882,$E$5:E882,E882))</f>
        <v/>
      </c>
      <c r="K882" s="7"/>
      <c r="L882" s="7"/>
      <c r="M882" s="1" t="str">
        <f>IF(E882="","",E882&amp;"|"&amp;COUNTIF($E$5:E882,E882))</f>
        <v/>
      </c>
    </row>
    <row r="883" spans="2:13" x14ac:dyDescent="0.2">
      <c r="B883" s="10"/>
      <c r="C883" s="7"/>
      <c r="D883" s="11"/>
      <c r="E883" s="6"/>
      <c r="F883" s="12" t="str">
        <f t="shared" si="26"/>
        <v/>
      </c>
      <c r="G883" s="13" t="str">
        <f t="shared" si="27"/>
        <v/>
      </c>
      <c r="H883" s="9"/>
      <c r="I883" s="9"/>
      <c r="J883" s="14" t="str">
        <f>IF(E883="","",IFERROR(VLOOKUP(E883,TabProd,5,FALSE),0)+SUMIFS($H$5:H883,$E$5:E883,E883)-SUMIFS($I$5:I883,$E$5:E883,E883))</f>
        <v/>
      </c>
      <c r="K883" s="7"/>
      <c r="L883" s="7"/>
      <c r="M883" s="1" t="str">
        <f>IF(E883="","",E883&amp;"|"&amp;COUNTIF($E$5:E883,E883))</f>
        <v/>
      </c>
    </row>
    <row r="884" spans="2:13" x14ac:dyDescent="0.2">
      <c r="B884" s="10"/>
      <c r="C884" s="7"/>
      <c r="D884" s="11"/>
      <c r="E884" s="6"/>
      <c r="F884" s="12" t="str">
        <f t="shared" si="26"/>
        <v/>
      </c>
      <c r="G884" s="13" t="str">
        <f t="shared" si="27"/>
        <v/>
      </c>
      <c r="H884" s="9"/>
      <c r="I884" s="9"/>
      <c r="J884" s="14" t="str">
        <f>IF(E884="","",IFERROR(VLOOKUP(E884,TabProd,5,FALSE),0)+SUMIFS($H$5:H884,$E$5:E884,E884)-SUMIFS($I$5:I884,$E$5:E884,E884))</f>
        <v/>
      </c>
      <c r="K884" s="7"/>
      <c r="L884" s="7"/>
      <c r="M884" s="1" t="str">
        <f>IF(E884="","",E884&amp;"|"&amp;COUNTIF($E$5:E884,E884))</f>
        <v/>
      </c>
    </row>
    <row r="885" spans="2:13" x14ac:dyDescent="0.2">
      <c r="B885" s="10"/>
      <c r="C885" s="7"/>
      <c r="D885" s="11"/>
      <c r="E885" s="6"/>
      <c r="F885" s="12" t="str">
        <f t="shared" si="26"/>
        <v/>
      </c>
      <c r="G885" s="13" t="str">
        <f t="shared" si="27"/>
        <v/>
      </c>
      <c r="H885" s="9"/>
      <c r="I885" s="9"/>
      <c r="J885" s="14" t="str">
        <f>IF(E885="","",IFERROR(VLOOKUP(E885,TabProd,5,FALSE),0)+SUMIFS($H$5:H885,$E$5:E885,E885)-SUMIFS($I$5:I885,$E$5:E885,E885))</f>
        <v/>
      </c>
      <c r="K885" s="7"/>
      <c r="L885" s="7"/>
      <c r="M885" s="1" t="str">
        <f>IF(E885="","",E885&amp;"|"&amp;COUNTIF($E$5:E885,E885))</f>
        <v/>
      </c>
    </row>
    <row r="886" spans="2:13" x14ac:dyDescent="0.2">
      <c r="B886" s="10"/>
      <c r="C886" s="7"/>
      <c r="D886" s="11"/>
      <c r="E886" s="6"/>
      <c r="F886" s="12" t="str">
        <f t="shared" si="26"/>
        <v/>
      </c>
      <c r="G886" s="13" t="str">
        <f t="shared" si="27"/>
        <v/>
      </c>
      <c r="H886" s="9"/>
      <c r="I886" s="9"/>
      <c r="J886" s="14" t="str">
        <f>IF(E886="","",IFERROR(VLOOKUP(E886,TabProd,5,FALSE),0)+SUMIFS($H$5:H886,$E$5:E886,E886)-SUMIFS($I$5:I886,$E$5:E886,E886))</f>
        <v/>
      </c>
      <c r="K886" s="7"/>
      <c r="L886" s="7"/>
      <c r="M886" s="1" t="str">
        <f>IF(E886="","",E886&amp;"|"&amp;COUNTIF($E$5:E886,E886))</f>
        <v/>
      </c>
    </row>
    <row r="887" spans="2:13" x14ac:dyDescent="0.2">
      <c r="B887" s="10"/>
      <c r="C887" s="7"/>
      <c r="D887" s="11"/>
      <c r="E887" s="6"/>
      <c r="F887" s="12" t="str">
        <f t="shared" si="26"/>
        <v/>
      </c>
      <c r="G887" s="13" t="str">
        <f t="shared" si="27"/>
        <v/>
      </c>
      <c r="H887" s="9"/>
      <c r="I887" s="9"/>
      <c r="J887" s="14" t="str">
        <f>IF(E887="","",IFERROR(VLOOKUP(E887,TabProd,5,FALSE),0)+SUMIFS($H$5:H887,$E$5:E887,E887)-SUMIFS($I$5:I887,$E$5:E887,E887))</f>
        <v/>
      </c>
      <c r="K887" s="7"/>
      <c r="L887" s="7"/>
      <c r="M887" s="1" t="str">
        <f>IF(E887="","",E887&amp;"|"&amp;COUNTIF($E$5:E887,E887))</f>
        <v/>
      </c>
    </row>
    <row r="888" spans="2:13" x14ac:dyDescent="0.2">
      <c r="B888" s="10"/>
      <c r="C888" s="7"/>
      <c r="D888" s="11"/>
      <c r="E888" s="6"/>
      <c r="F888" s="12" t="str">
        <f t="shared" si="26"/>
        <v/>
      </c>
      <c r="G888" s="13" t="str">
        <f t="shared" si="27"/>
        <v/>
      </c>
      <c r="H888" s="9"/>
      <c r="I888" s="9"/>
      <c r="J888" s="14" t="str">
        <f>IF(E888="","",IFERROR(VLOOKUP(E888,TabProd,5,FALSE),0)+SUMIFS($H$5:H888,$E$5:E888,E888)-SUMIFS($I$5:I888,$E$5:E888,E888))</f>
        <v/>
      </c>
      <c r="K888" s="7"/>
      <c r="L888" s="7"/>
      <c r="M888" s="1" t="str">
        <f>IF(E888="","",E888&amp;"|"&amp;COUNTIF($E$5:E888,E888))</f>
        <v/>
      </c>
    </row>
    <row r="889" spans="2:13" x14ac:dyDescent="0.2">
      <c r="B889" s="10"/>
      <c r="C889" s="7"/>
      <c r="D889" s="11"/>
      <c r="E889" s="6"/>
      <c r="F889" s="12" t="str">
        <f t="shared" si="26"/>
        <v/>
      </c>
      <c r="G889" s="13" t="str">
        <f t="shared" si="27"/>
        <v/>
      </c>
      <c r="H889" s="9"/>
      <c r="I889" s="9"/>
      <c r="J889" s="14" t="str">
        <f>IF(E889="","",IFERROR(VLOOKUP(E889,TabProd,5,FALSE),0)+SUMIFS($H$5:H889,$E$5:E889,E889)-SUMIFS($I$5:I889,$E$5:E889,E889))</f>
        <v/>
      </c>
      <c r="K889" s="7"/>
      <c r="L889" s="7"/>
      <c r="M889" s="1" t="str">
        <f>IF(E889="","",E889&amp;"|"&amp;COUNTIF($E$5:E889,E889))</f>
        <v/>
      </c>
    </row>
    <row r="890" spans="2:13" x14ac:dyDescent="0.2">
      <c r="B890" s="10"/>
      <c r="C890" s="7"/>
      <c r="D890" s="11"/>
      <c r="E890" s="6"/>
      <c r="F890" s="12" t="str">
        <f t="shared" si="26"/>
        <v/>
      </c>
      <c r="G890" s="13" t="str">
        <f t="shared" si="27"/>
        <v/>
      </c>
      <c r="H890" s="9"/>
      <c r="I890" s="9"/>
      <c r="J890" s="14" t="str">
        <f>IF(E890="","",IFERROR(VLOOKUP(E890,TabProd,5,FALSE),0)+SUMIFS($H$5:H890,$E$5:E890,E890)-SUMIFS($I$5:I890,$E$5:E890,E890))</f>
        <v/>
      </c>
      <c r="K890" s="7"/>
      <c r="L890" s="7"/>
      <c r="M890" s="1" t="str">
        <f>IF(E890="","",E890&amp;"|"&amp;COUNTIF($E$5:E890,E890))</f>
        <v/>
      </c>
    </row>
    <row r="891" spans="2:13" x14ac:dyDescent="0.2">
      <c r="B891" s="10"/>
      <c r="C891" s="7"/>
      <c r="D891" s="11"/>
      <c r="E891" s="6"/>
      <c r="F891" s="12" t="str">
        <f t="shared" si="26"/>
        <v/>
      </c>
      <c r="G891" s="13" t="str">
        <f t="shared" si="27"/>
        <v/>
      </c>
      <c r="H891" s="9"/>
      <c r="I891" s="9"/>
      <c r="J891" s="14" t="str">
        <f>IF(E891="","",IFERROR(VLOOKUP(E891,TabProd,5,FALSE),0)+SUMIFS($H$5:H891,$E$5:E891,E891)-SUMIFS($I$5:I891,$E$5:E891,E891))</f>
        <v/>
      </c>
      <c r="K891" s="7"/>
      <c r="L891" s="7"/>
      <c r="M891" s="1" t="str">
        <f>IF(E891="","",E891&amp;"|"&amp;COUNTIF($E$5:E891,E891))</f>
        <v/>
      </c>
    </row>
    <row r="892" spans="2:13" x14ac:dyDescent="0.2">
      <c r="B892" s="10"/>
      <c r="C892" s="7"/>
      <c r="D892" s="11"/>
      <c r="E892" s="6"/>
      <c r="F892" s="12" t="str">
        <f t="shared" si="26"/>
        <v/>
      </c>
      <c r="G892" s="13" t="str">
        <f t="shared" si="27"/>
        <v/>
      </c>
      <c r="H892" s="9"/>
      <c r="I892" s="9"/>
      <c r="J892" s="14" t="str">
        <f>IF(E892="","",IFERROR(VLOOKUP(E892,TabProd,5,FALSE),0)+SUMIFS($H$5:H892,$E$5:E892,E892)-SUMIFS($I$5:I892,$E$5:E892,E892))</f>
        <v/>
      </c>
      <c r="K892" s="7"/>
      <c r="L892" s="7"/>
      <c r="M892" s="1" t="str">
        <f>IF(E892="","",E892&amp;"|"&amp;COUNTIF($E$5:E892,E892))</f>
        <v/>
      </c>
    </row>
    <row r="893" spans="2:13" x14ac:dyDescent="0.2">
      <c r="B893" s="10"/>
      <c r="C893" s="7"/>
      <c r="D893" s="11"/>
      <c r="E893" s="6"/>
      <c r="F893" s="12" t="str">
        <f t="shared" si="26"/>
        <v/>
      </c>
      <c r="G893" s="13" t="str">
        <f t="shared" si="27"/>
        <v/>
      </c>
      <c r="H893" s="9"/>
      <c r="I893" s="9"/>
      <c r="J893" s="14" t="str">
        <f>IF(E893="","",IFERROR(VLOOKUP(E893,TabProd,5,FALSE),0)+SUMIFS($H$5:H893,$E$5:E893,E893)-SUMIFS($I$5:I893,$E$5:E893,E893))</f>
        <v/>
      </c>
      <c r="K893" s="7"/>
      <c r="L893" s="7"/>
      <c r="M893" s="1" t="str">
        <f>IF(E893="","",E893&amp;"|"&amp;COUNTIF($E$5:E893,E893))</f>
        <v/>
      </c>
    </row>
    <row r="894" spans="2:13" x14ac:dyDescent="0.2">
      <c r="B894" s="10"/>
      <c r="C894" s="7"/>
      <c r="D894" s="11"/>
      <c r="E894" s="6"/>
      <c r="F894" s="12" t="str">
        <f t="shared" si="26"/>
        <v/>
      </c>
      <c r="G894" s="13" t="str">
        <f t="shared" si="27"/>
        <v/>
      </c>
      <c r="H894" s="9"/>
      <c r="I894" s="9"/>
      <c r="J894" s="14" t="str">
        <f>IF(E894="","",IFERROR(VLOOKUP(E894,TabProd,5,FALSE),0)+SUMIFS($H$5:H894,$E$5:E894,E894)-SUMIFS($I$5:I894,$E$5:E894,E894))</f>
        <v/>
      </c>
      <c r="K894" s="7"/>
      <c r="L894" s="7"/>
      <c r="M894" s="1" t="str">
        <f>IF(E894="","",E894&amp;"|"&amp;COUNTIF($E$5:E894,E894))</f>
        <v/>
      </c>
    </row>
    <row r="895" spans="2:13" x14ac:dyDescent="0.2">
      <c r="B895" s="10"/>
      <c r="C895" s="7"/>
      <c r="D895" s="11"/>
      <c r="E895" s="6"/>
      <c r="F895" s="12" t="str">
        <f t="shared" si="26"/>
        <v/>
      </c>
      <c r="G895" s="13" t="str">
        <f t="shared" si="27"/>
        <v/>
      </c>
      <c r="H895" s="9"/>
      <c r="I895" s="9"/>
      <c r="J895" s="14" t="str">
        <f>IF(E895="","",IFERROR(VLOOKUP(E895,TabProd,5,FALSE),0)+SUMIFS($H$5:H895,$E$5:E895,E895)-SUMIFS($I$5:I895,$E$5:E895,E895))</f>
        <v/>
      </c>
      <c r="K895" s="7"/>
      <c r="L895" s="7"/>
      <c r="M895" s="1" t="str">
        <f>IF(E895="","",E895&amp;"|"&amp;COUNTIF($E$5:E895,E895))</f>
        <v/>
      </c>
    </row>
    <row r="896" spans="2:13" x14ac:dyDescent="0.2">
      <c r="B896" s="10"/>
      <c r="C896" s="7"/>
      <c r="D896" s="11"/>
      <c r="E896" s="6"/>
      <c r="F896" s="12" t="str">
        <f t="shared" si="26"/>
        <v/>
      </c>
      <c r="G896" s="13" t="str">
        <f t="shared" si="27"/>
        <v/>
      </c>
      <c r="H896" s="9"/>
      <c r="I896" s="9"/>
      <c r="J896" s="14" t="str">
        <f>IF(E896="","",IFERROR(VLOOKUP(E896,TabProd,5,FALSE),0)+SUMIFS($H$5:H896,$E$5:E896,E896)-SUMIFS($I$5:I896,$E$5:E896,E896))</f>
        <v/>
      </c>
      <c r="K896" s="7"/>
      <c r="L896" s="7"/>
      <c r="M896" s="1" t="str">
        <f>IF(E896="","",E896&amp;"|"&amp;COUNTIF($E$5:E896,E896))</f>
        <v/>
      </c>
    </row>
    <row r="897" spans="2:13" x14ac:dyDescent="0.2">
      <c r="B897" s="10"/>
      <c r="C897" s="7"/>
      <c r="D897" s="11"/>
      <c r="E897" s="6"/>
      <c r="F897" s="12" t="str">
        <f t="shared" si="26"/>
        <v/>
      </c>
      <c r="G897" s="13" t="str">
        <f t="shared" si="27"/>
        <v/>
      </c>
      <c r="H897" s="9"/>
      <c r="I897" s="9"/>
      <c r="J897" s="14" t="str">
        <f>IF(E897="","",IFERROR(VLOOKUP(E897,TabProd,5,FALSE),0)+SUMIFS($H$5:H897,$E$5:E897,E897)-SUMIFS($I$5:I897,$E$5:E897,E897))</f>
        <v/>
      </c>
      <c r="K897" s="7"/>
      <c r="L897" s="7"/>
      <c r="M897" s="1" t="str">
        <f>IF(E897="","",E897&amp;"|"&amp;COUNTIF($E$5:E897,E897))</f>
        <v/>
      </c>
    </row>
    <row r="898" spans="2:13" x14ac:dyDescent="0.2">
      <c r="B898" s="10"/>
      <c r="C898" s="7"/>
      <c r="D898" s="11"/>
      <c r="E898" s="6"/>
      <c r="F898" s="12" t="str">
        <f t="shared" si="26"/>
        <v/>
      </c>
      <c r="G898" s="13" t="str">
        <f t="shared" si="27"/>
        <v/>
      </c>
      <c r="H898" s="9"/>
      <c r="I898" s="9"/>
      <c r="J898" s="14" t="str">
        <f>IF(E898="","",IFERROR(VLOOKUP(E898,TabProd,5,FALSE),0)+SUMIFS($H$5:H898,$E$5:E898,E898)-SUMIFS($I$5:I898,$E$5:E898,E898))</f>
        <v/>
      </c>
      <c r="K898" s="7"/>
      <c r="L898" s="7"/>
      <c r="M898" s="1" t="str">
        <f>IF(E898="","",E898&amp;"|"&amp;COUNTIF($E$5:E898,E898))</f>
        <v/>
      </c>
    </row>
    <row r="899" spans="2:13" x14ac:dyDescent="0.2">
      <c r="B899" s="10"/>
      <c r="C899" s="7"/>
      <c r="D899" s="11"/>
      <c r="E899" s="6"/>
      <c r="F899" s="12" t="str">
        <f t="shared" si="26"/>
        <v/>
      </c>
      <c r="G899" s="13" t="str">
        <f t="shared" si="27"/>
        <v/>
      </c>
      <c r="H899" s="9"/>
      <c r="I899" s="9"/>
      <c r="J899" s="14" t="str">
        <f>IF(E899="","",IFERROR(VLOOKUP(E899,TabProd,5,FALSE),0)+SUMIFS($H$5:H899,$E$5:E899,E899)-SUMIFS($I$5:I899,$E$5:E899,E899))</f>
        <v/>
      </c>
      <c r="K899" s="7"/>
      <c r="L899" s="7"/>
      <c r="M899" s="1" t="str">
        <f>IF(E899="","",E899&amp;"|"&amp;COUNTIF($E$5:E899,E899))</f>
        <v/>
      </c>
    </row>
    <row r="900" spans="2:13" x14ac:dyDescent="0.2">
      <c r="B900" s="10"/>
      <c r="C900" s="7"/>
      <c r="D900" s="11"/>
      <c r="E900" s="6"/>
      <c r="F900" s="12" t="str">
        <f t="shared" si="26"/>
        <v/>
      </c>
      <c r="G900" s="13" t="str">
        <f t="shared" si="27"/>
        <v/>
      </c>
      <c r="H900" s="9"/>
      <c r="I900" s="9"/>
      <c r="J900" s="14" t="str">
        <f>IF(E900="","",IFERROR(VLOOKUP(E900,TabProd,5,FALSE),0)+SUMIFS($H$5:H900,$E$5:E900,E900)-SUMIFS($I$5:I900,$E$5:E900,E900))</f>
        <v/>
      </c>
      <c r="K900" s="7"/>
      <c r="L900" s="7"/>
      <c r="M900" s="1" t="str">
        <f>IF(E900="","",E900&amp;"|"&amp;COUNTIF($E$5:E900,E900))</f>
        <v/>
      </c>
    </row>
    <row r="901" spans="2:13" x14ac:dyDescent="0.2">
      <c r="B901" s="10"/>
      <c r="C901" s="7"/>
      <c r="D901" s="11"/>
      <c r="E901" s="6"/>
      <c r="F901" s="12" t="str">
        <f t="shared" ref="F901:F964" si="28">IF(E901="","",IFERROR(VLOOKUP(E901,TabProd,2,FALSE),"Cod inexistent"))</f>
        <v/>
      </c>
      <c r="G901" s="13" t="str">
        <f t="shared" ref="G901:G964" si="29">IF(E901="","",IFERROR(VLOOKUP(E901,TabProd,3,FALSE),""))</f>
        <v/>
      </c>
      <c r="H901" s="9"/>
      <c r="I901" s="9"/>
      <c r="J901" s="14" t="str">
        <f>IF(E901="","",IFERROR(VLOOKUP(E901,TabProd,5,FALSE),0)+SUMIFS($H$5:H901,$E$5:E901,E901)-SUMIFS($I$5:I901,$E$5:E901,E901))</f>
        <v/>
      </c>
      <c r="K901" s="7"/>
      <c r="L901" s="7"/>
      <c r="M901" s="1" t="str">
        <f>IF(E901="","",E901&amp;"|"&amp;COUNTIF($E$5:E901,E901))</f>
        <v/>
      </c>
    </row>
    <row r="902" spans="2:13" x14ac:dyDescent="0.2">
      <c r="B902" s="10"/>
      <c r="C902" s="7"/>
      <c r="D902" s="11"/>
      <c r="E902" s="6"/>
      <c r="F902" s="12" t="str">
        <f t="shared" si="28"/>
        <v/>
      </c>
      <c r="G902" s="13" t="str">
        <f t="shared" si="29"/>
        <v/>
      </c>
      <c r="H902" s="9"/>
      <c r="I902" s="9"/>
      <c r="J902" s="14" t="str">
        <f>IF(E902="","",IFERROR(VLOOKUP(E902,TabProd,5,FALSE),0)+SUMIFS($H$5:H902,$E$5:E902,E902)-SUMIFS($I$5:I902,$E$5:E902,E902))</f>
        <v/>
      </c>
      <c r="K902" s="7"/>
      <c r="L902" s="7"/>
      <c r="M902" s="1" t="str">
        <f>IF(E902="","",E902&amp;"|"&amp;COUNTIF($E$5:E902,E902))</f>
        <v/>
      </c>
    </row>
    <row r="903" spans="2:13" x14ac:dyDescent="0.2">
      <c r="B903" s="10"/>
      <c r="C903" s="7"/>
      <c r="D903" s="11"/>
      <c r="E903" s="6"/>
      <c r="F903" s="12" t="str">
        <f t="shared" si="28"/>
        <v/>
      </c>
      <c r="G903" s="13" t="str">
        <f t="shared" si="29"/>
        <v/>
      </c>
      <c r="H903" s="9"/>
      <c r="I903" s="9"/>
      <c r="J903" s="14" t="str">
        <f>IF(E903="","",IFERROR(VLOOKUP(E903,TabProd,5,FALSE),0)+SUMIFS($H$5:H903,$E$5:E903,E903)-SUMIFS($I$5:I903,$E$5:E903,E903))</f>
        <v/>
      </c>
      <c r="K903" s="7"/>
      <c r="L903" s="7"/>
      <c r="M903" s="1" t="str">
        <f>IF(E903="","",E903&amp;"|"&amp;COUNTIF($E$5:E903,E903))</f>
        <v/>
      </c>
    </row>
    <row r="904" spans="2:13" x14ac:dyDescent="0.2">
      <c r="B904" s="10"/>
      <c r="C904" s="7"/>
      <c r="D904" s="11"/>
      <c r="E904" s="6"/>
      <c r="F904" s="12" t="str">
        <f t="shared" si="28"/>
        <v/>
      </c>
      <c r="G904" s="13" t="str">
        <f t="shared" si="29"/>
        <v/>
      </c>
      <c r="H904" s="9"/>
      <c r="I904" s="9"/>
      <c r="J904" s="14" t="str">
        <f>IF(E904="","",IFERROR(VLOOKUP(E904,TabProd,5,FALSE),0)+SUMIFS($H$5:H904,$E$5:E904,E904)-SUMIFS($I$5:I904,$E$5:E904,E904))</f>
        <v/>
      </c>
      <c r="K904" s="7"/>
      <c r="L904" s="7"/>
      <c r="M904" s="1" t="str">
        <f>IF(E904="","",E904&amp;"|"&amp;COUNTIF($E$5:E904,E904))</f>
        <v/>
      </c>
    </row>
    <row r="905" spans="2:13" x14ac:dyDescent="0.2">
      <c r="B905" s="10"/>
      <c r="C905" s="7"/>
      <c r="D905" s="11"/>
      <c r="E905" s="6"/>
      <c r="F905" s="12" t="str">
        <f t="shared" si="28"/>
        <v/>
      </c>
      <c r="G905" s="13" t="str">
        <f t="shared" si="29"/>
        <v/>
      </c>
      <c r="H905" s="9"/>
      <c r="I905" s="9"/>
      <c r="J905" s="14" t="str">
        <f>IF(E905="","",IFERROR(VLOOKUP(E905,TabProd,5,FALSE),0)+SUMIFS($H$5:H905,$E$5:E905,E905)-SUMIFS($I$5:I905,$E$5:E905,E905))</f>
        <v/>
      </c>
      <c r="K905" s="7"/>
      <c r="L905" s="7"/>
      <c r="M905" s="1" t="str">
        <f>IF(E905="","",E905&amp;"|"&amp;COUNTIF($E$5:E905,E905))</f>
        <v/>
      </c>
    </row>
    <row r="906" spans="2:13" x14ac:dyDescent="0.2">
      <c r="B906" s="10"/>
      <c r="C906" s="7"/>
      <c r="D906" s="11"/>
      <c r="E906" s="6"/>
      <c r="F906" s="12" t="str">
        <f t="shared" si="28"/>
        <v/>
      </c>
      <c r="G906" s="13" t="str">
        <f t="shared" si="29"/>
        <v/>
      </c>
      <c r="H906" s="9"/>
      <c r="I906" s="9"/>
      <c r="J906" s="14" t="str">
        <f>IF(E906="","",IFERROR(VLOOKUP(E906,TabProd,5,FALSE),0)+SUMIFS($H$5:H906,$E$5:E906,E906)-SUMIFS($I$5:I906,$E$5:E906,E906))</f>
        <v/>
      </c>
      <c r="K906" s="7"/>
      <c r="L906" s="7"/>
      <c r="M906" s="1" t="str">
        <f>IF(E906="","",E906&amp;"|"&amp;COUNTIF($E$5:E906,E906))</f>
        <v/>
      </c>
    </row>
    <row r="907" spans="2:13" x14ac:dyDescent="0.2">
      <c r="B907" s="10"/>
      <c r="C907" s="7"/>
      <c r="D907" s="11"/>
      <c r="E907" s="6"/>
      <c r="F907" s="12" t="str">
        <f t="shared" si="28"/>
        <v/>
      </c>
      <c r="G907" s="13" t="str">
        <f t="shared" si="29"/>
        <v/>
      </c>
      <c r="H907" s="9"/>
      <c r="I907" s="9"/>
      <c r="J907" s="14" t="str">
        <f>IF(E907="","",IFERROR(VLOOKUP(E907,TabProd,5,FALSE),0)+SUMIFS($H$5:H907,$E$5:E907,E907)-SUMIFS($I$5:I907,$E$5:E907,E907))</f>
        <v/>
      </c>
      <c r="K907" s="7"/>
      <c r="L907" s="7"/>
      <c r="M907" s="1" t="str">
        <f>IF(E907="","",E907&amp;"|"&amp;COUNTIF($E$5:E907,E907))</f>
        <v/>
      </c>
    </row>
    <row r="908" spans="2:13" x14ac:dyDescent="0.2">
      <c r="B908" s="10"/>
      <c r="C908" s="7"/>
      <c r="D908" s="11"/>
      <c r="E908" s="6"/>
      <c r="F908" s="12" t="str">
        <f t="shared" si="28"/>
        <v/>
      </c>
      <c r="G908" s="13" t="str">
        <f t="shared" si="29"/>
        <v/>
      </c>
      <c r="H908" s="9"/>
      <c r="I908" s="9"/>
      <c r="J908" s="14" t="str">
        <f>IF(E908="","",IFERROR(VLOOKUP(E908,TabProd,5,FALSE),0)+SUMIFS($H$5:H908,$E$5:E908,E908)-SUMIFS($I$5:I908,$E$5:E908,E908))</f>
        <v/>
      </c>
      <c r="K908" s="7"/>
      <c r="L908" s="7"/>
      <c r="M908" s="1" t="str">
        <f>IF(E908="","",E908&amp;"|"&amp;COUNTIF($E$5:E908,E908))</f>
        <v/>
      </c>
    </row>
    <row r="909" spans="2:13" x14ac:dyDescent="0.2">
      <c r="B909" s="10"/>
      <c r="C909" s="7"/>
      <c r="D909" s="11"/>
      <c r="E909" s="6"/>
      <c r="F909" s="12" t="str">
        <f t="shared" si="28"/>
        <v/>
      </c>
      <c r="G909" s="13" t="str">
        <f t="shared" si="29"/>
        <v/>
      </c>
      <c r="H909" s="9"/>
      <c r="I909" s="9"/>
      <c r="J909" s="14" t="str">
        <f>IF(E909="","",IFERROR(VLOOKUP(E909,TabProd,5,FALSE),0)+SUMIFS($H$5:H909,$E$5:E909,E909)-SUMIFS($I$5:I909,$E$5:E909,E909))</f>
        <v/>
      </c>
      <c r="K909" s="7"/>
      <c r="L909" s="7"/>
      <c r="M909" s="1" t="str">
        <f>IF(E909="","",E909&amp;"|"&amp;COUNTIF($E$5:E909,E909))</f>
        <v/>
      </c>
    </row>
    <row r="910" spans="2:13" x14ac:dyDescent="0.2">
      <c r="B910" s="10"/>
      <c r="C910" s="7"/>
      <c r="D910" s="11"/>
      <c r="E910" s="6"/>
      <c r="F910" s="12" t="str">
        <f t="shared" si="28"/>
        <v/>
      </c>
      <c r="G910" s="13" t="str">
        <f t="shared" si="29"/>
        <v/>
      </c>
      <c r="H910" s="9"/>
      <c r="I910" s="9"/>
      <c r="J910" s="14" t="str">
        <f>IF(E910="","",IFERROR(VLOOKUP(E910,TabProd,5,FALSE),0)+SUMIFS($H$5:H910,$E$5:E910,E910)-SUMIFS($I$5:I910,$E$5:E910,E910))</f>
        <v/>
      </c>
      <c r="K910" s="7"/>
      <c r="L910" s="7"/>
      <c r="M910" s="1" t="str">
        <f>IF(E910="","",E910&amp;"|"&amp;COUNTIF($E$5:E910,E910))</f>
        <v/>
      </c>
    </row>
    <row r="911" spans="2:13" x14ac:dyDescent="0.2">
      <c r="B911" s="10"/>
      <c r="C911" s="7"/>
      <c r="D911" s="11"/>
      <c r="E911" s="6"/>
      <c r="F911" s="12" t="str">
        <f t="shared" si="28"/>
        <v/>
      </c>
      <c r="G911" s="13" t="str">
        <f t="shared" si="29"/>
        <v/>
      </c>
      <c r="H911" s="9"/>
      <c r="I911" s="9"/>
      <c r="J911" s="14" t="str">
        <f>IF(E911="","",IFERROR(VLOOKUP(E911,TabProd,5,FALSE),0)+SUMIFS($H$5:H911,$E$5:E911,E911)-SUMIFS($I$5:I911,$E$5:E911,E911))</f>
        <v/>
      </c>
      <c r="K911" s="7"/>
      <c r="L911" s="7"/>
      <c r="M911" s="1" t="str">
        <f>IF(E911="","",E911&amp;"|"&amp;COUNTIF($E$5:E911,E911))</f>
        <v/>
      </c>
    </row>
    <row r="912" spans="2:13" x14ac:dyDescent="0.2">
      <c r="B912" s="10"/>
      <c r="C912" s="7"/>
      <c r="D912" s="11"/>
      <c r="E912" s="6"/>
      <c r="F912" s="12" t="str">
        <f t="shared" si="28"/>
        <v/>
      </c>
      <c r="G912" s="13" t="str">
        <f t="shared" si="29"/>
        <v/>
      </c>
      <c r="H912" s="9"/>
      <c r="I912" s="9"/>
      <c r="J912" s="14" t="str">
        <f>IF(E912="","",IFERROR(VLOOKUP(E912,TabProd,5,FALSE),0)+SUMIFS($H$5:H912,$E$5:E912,E912)-SUMIFS($I$5:I912,$E$5:E912,E912))</f>
        <v/>
      </c>
      <c r="K912" s="7"/>
      <c r="L912" s="7"/>
      <c r="M912" s="1" t="str">
        <f>IF(E912="","",E912&amp;"|"&amp;COUNTIF($E$5:E912,E912))</f>
        <v/>
      </c>
    </row>
    <row r="913" spans="2:13" x14ac:dyDescent="0.2">
      <c r="B913" s="10"/>
      <c r="C913" s="7"/>
      <c r="D913" s="11"/>
      <c r="E913" s="6"/>
      <c r="F913" s="12" t="str">
        <f t="shared" si="28"/>
        <v/>
      </c>
      <c r="G913" s="13" t="str">
        <f t="shared" si="29"/>
        <v/>
      </c>
      <c r="H913" s="9"/>
      <c r="I913" s="9"/>
      <c r="J913" s="14" t="str">
        <f>IF(E913="","",IFERROR(VLOOKUP(E913,TabProd,5,FALSE),0)+SUMIFS($H$5:H913,$E$5:E913,E913)-SUMIFS($I$5:I913,$E$5:E913,E913))</f>
        <v/>
      </c>
      <c r="K913" s="7"/>
      <c r="L913" s="7"/>
      <c r="M913" s="1" t="str">
        <f>IF(E913="","",E913&amp;"|"&amp;COUNTIF($E$5:E913,E913))</f>
        <v/>
      </c>
    </row>
    <row r="914" spans="2:13" x14ac:dyDescent="0.2">
      <c r="B914" s="10"/>
      <c r="C914" s="7"/>
      <c r="D914" s="11"/>
      <c r="E914" s="6"/>
      <c r="F914" s="12" t="str">
        <f t="shared" si="28"/>
        <v/>
      </c>
      <c r="G914" s="13" t="str">
        <f t="shared" si="29"/>
        <v/>
      </c>
      <c r="H914" s="9"/>
      <c r="I914" s="9"/>
      <c r="J914" s="14" t="str">
        <f>IF(E914="","",IFERROR(VLOOKUP(E914,TabProd,5,FALSE),0)+SUMIFS($H$5:H914,$E$5:E914,E914)-SUMIFS($I$5:I914,$E$5:E914,E914))</f>
        <v/>
      </c>
      <c r="K914" s="7"/>
      <c r="L914" s="7"/>
      <c r="M914" s="1" t="str">
        <f>IF(E914="","",E914&amp;"|"&amp;COUNTIF($E$5:E914,E914))</f>
        <v/>
      </c>
    </row>
    <row r="915" spans="2:13" x14ac:dyDescent="0.2">
      <c r="B915" s="10"/>
      <c r="C915" s="7"/>
      <c r="D915" s="11"/>
      <c r="E915" s="6"/>
      <c r="F915" s="12" t="str">
        <f t="shared" si="28"/>
        <v/>
      </c>
      <c r="G915" s="13" t="str">
        <f t="shared" si="29"/>
        <v/>
      </c>
      <c r="H915" s="9"/>
      <c r="I915" s="9"/>
      <c r="J915" s="14" t="str">
        <f>IF(E915="","",IFERROR(VLOOKUP(E915,TabProd,5,FALSE),0)+SUMIFS($H$5:H915,$E$5:E915,E915)-SUMIFS($I$5:I915,$E$5:E915,E915))</f>
        <v/>
      </c>
      <c r="K915" s="7"/>
      <c r="L915" s="7"/>
      <c r="M915" s="1" t="str">
        <f>IF(E915="","",E915&amp;"|"&amp;COUNTIF($E$5:E915,E915))</f>
        <v/>
      </c>
    </row>
    <row r="916" spans="2:13" x14ac:dyDescent="0.2">
      <c r="B916" s="10"/>
      <c r="C916" s="7"/>
      <c r="D916" s="11"/>
      <c r="E916" s="6"/>
      <c r="F916" s="12" t="str">
        <f t="shared" si="28"/>
        <v/>
      </c>
      <c r="G916" s="13" t="str">
        <f t="shared" si="29"/>
        <v/>
      </c>
      <c r="H916" s="9"/>
      <c r="I916" s="9"/>
      <c r="J916" s="14" t="str">
        <f>IF(E916="","",IFERROR(VLOOKUP(E916,TabProd,5,FALSE),0)+SUMIFS($H$5:H916,$E$5:E916,E916)-SUMIFS($I$5:I916,$E$5:E916,E916))</f>
        <v/>
      </c>
      <c r="K916" s="7"/>
      <c r="L916" s="7"/>
      <c r="M916" s="1" t="str">
        <f>IF(E916="","",E916&amp;"|"&amp;COUNTIF($E$5:E916,E916))</f>
        <v/>
      </c>
    </row>
    <row r="917" spans="2:13" x14ac:dyDescent="0.2">
      <c r="B917" s="10"/>
      <c r="C917" s="7"/>
      <c r="D917" s="11"/>
      <c r="E917" s="6"/>
      <c r="F917" s="12" t="str">
        <f t="shared" si="28"/>
        <v/>
      </c>
      <c r="G917" s="13" t="str">
        <f t="shared" si="29"/>
        <v/>
      </c>
      <c r="H917" s="9"/>
      <c r="I917" s="9"/>
      <c r="J917" s="14" t="str">
        <f>IF(E917="","",IFERROR(VLOOKUP(E917,TabProd,5,FALSE),0)+SUMIFS($H$5:H917,$E$5:E917,E917)-SUMIFS($I$5:I917,$E$5:E917,E917))</f>
        <v/>
      </c>
      <c r="K917" s="7"/>
      <c r="L917" s="7"/>
      <c r="M917" s="1" t="str">
        <f>IF(E917="","",E917&amp;"|"&amp;COUNTIF($E$5:E917,E917))</f>
        <v/>
      </c>
    </row>
    <row r="918" spans="2:13" x14ac:dyDescent="0.2">
      <c r="B918" s="10"/>
      <c r="C918" s="7"/>
      <c r="D918" s="11"/>
      <c r="E918" s="6"/>
      <c r="F918" s="12" t="str">
        <f t="shared" si="28"/>
        <v/>
      </c>
      <c r="G918" s="13" t="str">
        <f t="shared" si="29"/>
        <v/>
      </c>
      <c r="H918" s="9"/>
      <c r="I918" s="9"/>
      <c r="J918" s="14" t="str">
        <f>IF(E918="","",IFERROR(VLOOKUP(E918,TabProd,5,FALSE),0)+SUMIFS($H$5:H918,$E$5:E918,E918)-SUMIFS($I$5:I918,$E$5:E918,E918))</f>
        <v/>
      </c>
      <c r="K918" s="7"/>
      <c r="L918" s="7"/>
      <c r="M918" s="1" t="str">
        <f>IF(E918="","",E918&amp;"|"&amp;COUNTIF($E$5:E918,E918))</f>
        <v/>
      </c>
    </row>
    <row r="919" spans="2:13" x14ac:dyDescent="0.2">
      <c r="B919" s="10"/>
      <c r="C919" s="7"/>
      <c r="D919" s="11"/>
      <c r="E919" s="6"/>
      <c r="F919" s="12" t="str">
        <f t="shared" si="28"/>
        <v/>
      </c>
      <c r="G919" s="13" t="str">
        <f t="shared" si="29"/>
        <v/>
      </c>
      <c r="H919" s="9"/>
      <c r="I919" s="9"/>
      <c r="J919" s="14" t="str">
        <f>IF(E919="","",IFERROR(VLOOKUP(E919,TabProd,5,FALSE),0)+SUMIFS($H$5:H919,$E$5:E919,E919)-SUMIFS($I$5:I919,$E$5:E919,E919))</f>
        <v/>
      </c>
      <c r="K919" s="7"/>
      <c r="L919" s="7"/>
      <c r="M919" s="1" t="str">
        <f>IF(E919="","",E919&amp;"|"&amp;COUNTIF($E$5:E919,E919))</f>
        <v/>
      </c>
    </row>
    <row r="920" spans="2:13" x14ac:dyDescent="0.2">
      <c r="B920" s="10"/>
      <c r="C920" s="7"/>
      <c r="D920" s="11"/>
      <c r="E920" s="6"/>
      <c r="F920" s="12" t="str">
        <f t="shared" si="28"/>
        <v/>
      </c>
      <c r="G920" s="13" t="str">
        <f t="shared" si="29"/>
        <v/>
      </c>
      <c r="H920" s="9"/>
      <c r="I920" s="9"/>
      <c r="J920" s="14" t="str">
        <f>IF(E920="","",IFERROR(VLOOKUP(E920,TabProd,5,FALSE),0)+SUMIFS($H$5:H920,$E$5:E920,E920)-SUMIFS($I$5:I920,$E$5:E920,E920))</f>
        <v/>
      </c>
      <c r="K920" s="7"/>
      <c r="L920" s="7"/>
      <c r="M920" s="1" t="str">
        <f>IF(E920="","",E920&amp;"|"&amp;COUNTIF($E$5:E920,E920))</f>
        <v/>
      </c>
    </row>
    <row r="921" spans="2:13" x14ac:dyDescent="0.2">
      <c r="B921" s="10"/>
      <c r="C921" s="7"/>
      <c r="D921" s="11"/>
      <c r="E921" s="6"/>
      <c r="F921" s="12" t="str">
        <f t="shared" si="28"/>
        <v/>
      </c>
      <c r="G921" s="13" t="str">
        <f t="shared" si="29"/>
        <v/>
      </c>
      <c r="H921" s="9"/>
      <c r="I921" s="9"/>
      <c r="J921" s="14" t="str">
        <f>IF(E921="","",IFERROR(VLOOKUP(E921,TabProd,5,FALSE),0)+SUMIFS($H$5:H921,$E$5:E921,E921)-SUMIFS($I$5:I921,$E$5:E921,E921))</f>
        <v/>
      </c>
      <c r="K921" s="7"/>
      <c r="L921" s="7"/>
      <c r="M921" s="1" t="str">
        <f>IF(E921="","",E921&amp;"|"&amp;COUNTIF($E$5:E921,E921))</f>
        <v/>
      </c>
    </row>
    <row r="922" spans="2:13" x14ac:dyDescent="0.2">
      <c r="B922" s="10"/>
      <c r="C922" s="7"/>
      <c r="D922" s="11"/>
      <c r="E922" s="6"/>
      <c r="F922" s="12" t="str">
        <f t="shared" si="28"/>
        <v/>
      </c>
      <c r="G922" s="13" t="str">
        <f t="shared" si="29"/>
        <v/>
      </c>
      <c r="H922" s="9"/>
      <c r="I922" s="9"/>
      <c r="J922" s="14" t="str">
        <f>IF(E922="","",IFERROR(VLOOKUP(E922,TabProd,5,FALSE),0)+SUMIFS($H$5:H922,$E$5:E922,E922)-SUMIFS($I$5:I922,$E$5:E922,E922))</f>
        <v/>
      </c>
      <c r="K922" s="7"/>
      <c r="L922" s="7"/>
      <c r="M922" s="1" t="str">
        <f>IF(E922="","",E922&amp;"|"&amp;COUNTIF($E$5:E922,E922))</f>
        <v/>
      </c>
    </row>
    <row r="923" spans="2:13" x14ac:dyDescent="0.2">
      <c r="B923" s="10"/>
      <c r="C923" s="7"/>
      <c r="D923" s="11"/>
      <c r="E923" s="6"/>
      <c r="F923" s="12" t="str">
        <f t="shared" si="28"/>
        <v/>
      </c>
      <c r="G923" s="13" t="str">
        <f t="shared" si="29"/>
        <v/>
      </c>
      <c r="H923" s="9"/>
      <c r="I923" s="9"/>
      <c r="J923" s="14" t="str">
        <f>IF(E923="","",IFERROR(VLOOKUP(E923,TabProd,5,FALSE),0)+SUMIFS($H$5:H923,$E$5:E923,E923)-SUMIFS($I$5:I923,$E$5:E923,E923))</f>
        <v/>
      </c>
      <c r="K923" s="7"/>
      <c r="L923" s="7"/>
      <c r="M923" s="1" t="str">
        <f>IF(E923="","",E923&amp;"|"&amp;COUNTIF($E$5:E923,E923))</f>
        <v/>
      </c>
    </row>
    <row r="924" spans="2:13" x14ac:dyDescent="0.2">
      <c r="B924" s="10"/>
      <c r="C924" s="7"/>
      <c r="D924" s="11"/>
      <c r="E924" s="6"/>
      <c r="F924" s="12" t="str">
        <f t="shared" si="28"/>
        <v/>
      </c>
      <c r="G924" s="13" t="str">
        <f t="shared" si="29"/>
        <v/>
      </c>
      <c r="H924" s="9"/>
      <c r="I924" s="9"/>
      <c r="J924" s="14" t="str">
        <f>IF(E924="","",IFERROR(VLOOKUP(E924,TabProd,5,FALSE),0)+SUMIFS($H$5:H924,$E$5:E924,E924)-SUMIFS($I$5:I924,$E$5:E924,E924))</f>
        <v/>
      </c>
      <c r="K924" s="7"/>
      <c r="L924" s="7"/>
      <c r="M924" s="1" t="str">
        <f>IF(E924="","",E924&amp;"|"&amp;COUNTIF($E$5:E924,E924))</f>
        <v/>
      </c>
    </row>
    <row r="925" spans="2:13" x14ac:dyDescent="0.2">
      <c r="B925" s="10"/>
      <c r="C925" s="7"/>
      <c r="D925" s="11"/>
      <c r="E925" s="6"/>
      <c r="F925" s="12" t="str">
        <f t="shared" si="28"/>
        <v/>
      </c>
      <c r="G925" s="13" t="str">
        <f t="shared" si="29"/>
        <v/>
      </c>
      <c r="H925" s="9"/>
      <c r="I925" s="9"/>
      <c r="J925" s="14" t="str">
        <f>IF(E925="","",IFERROR(VLOOKUP(E925,TabProd,5,FALSE),0)+SUMIFS($H$5:H925,$E$5:E925,E925)-SUMIFS($I$5:I925,$E$5:E925,E925))</f>
        <v/>
      </c>
      <c r="K925" s="7"/>
      <c r="L925" s="7"/>
      <c r="M925" s="1" t="str">
        <f>IF(E925="","",E925&amp;"|"&amp;COUNTIF($E$5:E925,E925))</f>
        <v/>
      </c>
    </row>
    <row r="926" spans="2:13" x14ac:dyDescent="0.2">
      <c r="B926" s="10"/>
      <c r="C926" s="7"/>
      <c r="D926" s="11"/>
      <c r="E926" s="6"/>
      <c r="F926" s="12" t="str">
        <f t="shared" si="28"/>
        <v/>
      </c>
      <c r="G926" s="13" t="str">
        <f t="shared" si="29"/>
        <v/>
      </c>
      <c r="H926" s="9"/>
      <c r="I926" s="9"/>
      <c r="J926" s="14" t="str">
        <f>IF(E926="","",IFERROR(VLOOKUP(E926,TabProd,5,FALSE),0)+SUMIFS($H$5:H926,$E$5:E926,E926)-SUMIFS($I$5:I926,$E$5:E926,E926))</f>
        <v/>
      </c>
      <c r="K926" s="7"/>
      <c r="L926" s="7"/>
      <c r="M926" s="1" t="str">
        <f>IF(E926="","",E926&amp;"|"&amp;COUNTIF($E$5:E926,E926))</f>
        <v/>
      </c>
    </row>
    <row r="927" spans="2:13" x14ac:dyDescent="0.2">
      <c r="B927" s="10"/>
      <c r="C927" s="7"/>
      <c r="D927" s="11"/>
      <c r="E927" s="6"/>
      <c r="F927" s="12" t="str">
        <f t="shared" si="28"/>
        <v/>
      </c>
      <c r="G927" s="13" t="str">
        <f t="shared" si="29"/>
        <v/>
      </c>
      <c r="H927" s="9"/>
      <c r="I927" s="9"/>
      <c r="J927" s="14" t="str">
        <f>IF(E927="","",IFERROR(VLOOKUP(E927,TabProd,5,FALSE),0)+SUMIFS($H$5:H927,$E$5:E927,E927)-SUMIFS($I$5:I927,$E$5:E927,E927))</f>
        <v/>
      </c>
      <c r="K927" s="7"/>
      <c r="L927" s="7"/>
      <c r="M927" s="1" t="str">
        <f>IF(E927="","",E927&amp;"|"&amp;COUNTIF($E$5:E927,E927))</f>
        <v/>
      </c>
    </row>
    <row r="928" spans="2:13" x14ac:dyDescent="0.2">
      <c r="B928" s="10"/>
      <c r="C928" s="7"/>
      <c r="D928" s="11"/>
      <c r="E928" s="6"/>
      <c r="F928" s="12" t="str">
        <f t="shared" si="28"/>
        <v/>
      </c>
      <c r="G928" s="13" t="str">
        <f t="shared" si="29"/>
        <v/>
      </c>
      <c r="H928" s="9"/>
      <c r="I928" s="9"/>
      <c r="J928" s="14" t="str">
        <f>IF(E928="","",IFERROR(VLOOKUP(E928,TabProd,5,FALSE),0)+SUMIFS($H$5:H928,$E$5:E928,E928)-SUMIFS($I$5:I928,$E$5:E928,E928))</f>
        <v/>
      </c>
      <c r="K928" s="7"/>
      <c r="L928" s="7"/>
      <c r="M928" s="1" t="str">
        <f>IF(E928="","",E928&amp;"|"&amp;COUNTIF($E$5:E928,E928))</f>
        <v/>
      </c>
    </row>
    <row r="929" spans="2:13" x14ac:dyDescent="0.2">
      <c r="B929" s="10"/>
      <c r="C929" s="7"/>
      <c r="D929" s="11"/>
      <c r="E929" s="6"/>
      <c r="F929" s="12" t="str">
        <f t="shared" si="28"/>
        <v/>
      </c>
      <c r="G929" s="13" t="str">
        <f t="shared" si="29"/>
        <v/>
      </c>
      <c r="H929" s="9"/>
      <c r="I929" s="9"/>
      <c r="J929" s="14" t="str">
        <f>IF(E929="","",IFERROR(VLOOKUP(E929,TabProd,5,FALSE),0)+SUMIFS($H$5:H929,$E$5:E929,E929)-SUMIFS($I$5:I929,$E$5:E929,E929))</f>
        <v/>
      </c>
      <c r="K929" s="7"/>
      <c r="L929" s="7"/>
      <c r="M929" s="1" t="str">
        <f>IF(E929="","",E929&amp;"|"&amp;COUNTIF($E$5:E929,E929))</f>
        <v/>
      </c>
    </row>
    <row r="930" spans="2:13" x14ac:dyDescent="0.2">
      <c r="B930" s="10"/>
      <c r="C930" s="7"/>
      <c r="D930" s="11"/>
      <c r="E930" s="6"/>
      <c r="F930" s="12" t="str">
        <f t="shared" si="28"/>
        <v/>
      </c>
      <c r="G930" s="13" t="str">
        <f t="shared" si="29"/>
        <v/>
      </c>
      <c r="H930" s="9"/>
      <c r="I930" s="9"/>
      <c r="J930" s="14" t="str">
        <f>IF(E930="","",IFERROR(VLOOKUP(E930,TabProd,5,FALSE),0)+SUMIFS($H$5:H930,$E$5:E930,E930)-SUMIFS($I$5:I930,$E$5:E930,E930))</f>
        <v/>
      </c>
      <c r="K930" s="7"/>
      <c r="L930" s="7"/>
      <c r="M930" s="1" t="str">
        <f>IF(E930="","",E930&amp;"|"&amp;COUNTIF($E$5:E930,E930))</f>
        <v/>
      </c>
    </row>
    <row r="931" spans="2:13" x14ac:dyDescent="0.2">
      <c r="B931" s="10"/>
      <c r="C931" s="7"/>
      <c r="D931" s="11"/>
      <c r="E931" s="6"/>
      <c r="F931" s="12" t="str">
        <f t="shared" si="28"/>
        <v/>
      </c>
      <c r="G931" s="13" t="str">
        <f t="shared" si="29"/>
        <v/>
      </c>
      <c r="H931" s="9"/>
      <c r="I931" s="9"/>
      <c r="J931" s="14" t="str">
        <f>IF(E931="","",IFERROR(VLOOKUP(E931,TabProd,5,FALSE),0)+SUMIFS($H$5:H931,$E$5:E931,E931)-SUMIFS($I$5:I931,$E$5:E931,E931))</f>
        <v/>
      </c>
      <c r="K931" s="7"/>
      <c r="L931" s="7"/>
      <c r="M931" s="1" t="str">
        <f>IF(E931="","",E931&amp;"|"&amp;COUNTIF($E$5:E931,E931))</f>
        <v/>
      </c>
    </row>
    <row r="932" spans="2:13" x14ac:dyDescent="0.2">
      <c r="B932" s="10"/>
      <c r="C932" s="7"/>
      <c r="D932" s="11"/>
      <c r="E932" s="6"/>
      <c r="F932" s="12" t="str">
        <f t="shared" si="28"/>
        <v/>
      </c>
      <c r="G932" s="13" t="str">
        <f t="shared" si="29"/>
        <v/>
      </c>
      <c r="H932" s="9"/>
      <c r="I932" s="9"/>
      <c r="J932" s="14" t="str">
        <f>IF(E932="","",IFERROR(VLOOKUP(E932,TabProd,5,FALSE),0)+SUMIFS($H$5:H932,$E$5:E932,E932)-SUMIFS($I$5:I932,$E$5:E932,E932))</f>
        <v/>
      </c>
      <c r="K932" s="7"/>
      <c r="L932" s="7"/>
      <c r="M932" s="1" t="str">
        <f>IF(E932="","",E932&amp;"|"&amp;COUNTIF($E$5:E932,E932))</f>
        <v/>
      </c>
    </row>
    <row r="933" spans="2:13" x14ac:dyDescent="0.2">
      <c r="B933" s="10"/>
      <c r="C933" s="7"/>
      <c r="D933" s="11"/>
      <c r="E933" s="6"/>
      <c r="F933" s="12" t="str">
        <f t="shared" si="28"/>
        <v/>
      </c>
      <c r="G933" s="13" t="str">
        <f t="shared" si="29"/>
        <v/>
      </c>
      <c r="H933" s="9"/>
      <c r="I933" s="9"/>
      <c r="J933" s="14" t="str">
        <f>IF(E933="","",IFERROR(VLOOKUP(E933,TabProd,5,FALSE),0)+SUMIFS($H$5:H933,$E$5:E933,E933)-SUMIFS($I$5:I933,$E$5:E933,E933))</f>
        <v/>
      </c>
      <c r="K933" s="7"/>
      <c r="L933" s="7"/>
      <c r="M933" s="1" t="str">
        <f>IF(E933="","",E933&amp;"|"&amp;COUNTIF($E$5:E933,E933))</f>
        <v/>
      </c>
    </row>
    <row r="934" spans="2:13" x14ac:dyDescent="0.2">
      <c r="B934" s="10"/>
      <c r="C934" s="7"/>
      <c r="D934" s="11"/>
      <c r="E934" s="6"/>
      <c r="F934" s="12" t="str">
        <f t="shared" si="28"/>
        <v/>
      </c>
      <c r="G934" s="13" t="str">
        <f t="shared" si="29"/>
        <v/>
      </c>
      <c r="H934" s="9"/>
      <c r="I934" s="9"/>
      <c r="J934" s="14" t="str">
        <f>IF(E934="","",IFERROR(VLOOKUP(E934,TabProd,5,FALSE),0)+SUMIFS($H$5:H934,$E$5:E934,E934)-SUMIFS($I$5:I934,$E$5:E934,E934))</f>
        <v/>
      </c>
      <c r="K934" s="7"/>
      <c r="L934" s="7"/>
      <c r="M934" s="1" t="str">
        <f>IF(E934="","",E934&amp;"|"&amp;COUNTIF($E$5:E934,E934))</f>
        <v/>
      </c>
    </row>
    <row r="935" spans="2:13" x14ac:dyDescent="0.2">
      <c r="B935" s="10"/>
      <c r="C935" s="7"/>
      <c r="D935" s="11"/>
      <c r="E935" s="6"/>
      <c r="F935" s="12" t="str">
        <f t="shared" si="28"/>
        <v/>
      </c>
      <c r="G935" s="13" t="str">
        <f t="shared" si="29"/>
        <v/>
      </c>
      <c r="H935" s="9"/>
      <c r="I935" s="9"/>
      <c r="J935" s="14" t="str">
        <f>IF(E935="","",IFERROR(VLOOKUP(E935,TabProd,5,FALSE),0)+SUMIFS($H$5:H935,$E$5:E935,E935)-SUMIFS($I$5:I935,$E$5:E935,E935))</f>
        <v/>
      </c>
      <c r="K935" s="7"/>
      <c r="L935" s="7"/>
      <c r="M935" s="1" t="str">
        <f>IF(E935="","",E935&amp;"|"&amp;COUNTIF($E$5:E935,E935))</f>
        <v/>
      </c>
    </row>
    <row r="936" spans="2:13" x14ac:dyDescent="0.2">
      <c r="B936" s="10"/>
      <c r="C936" s="7"/>
      <c r="D936" s="11"/>
      <c r="E936" s="6"/>
      <c r="F936" s="12" t="str">
        <f t="shared" si="28"/>
        <v/>
      </c>
      <c r="G936" s="13" t="str">
        <f t="shared" si="29"/>
        <v/>
      </c>
      <c r="H936" s="9"/>
      <c r="I936" s="9"/>
      <c r="J936" s="14" t="str">
        <f>IF(E936="","",IFERROR(VLOOKUP(E936,TabProd,5,FALSE),0)+SUMIFS($H$5:H936,$E$5:E936,E936)-SUMIFS($I$5:I936,$E$5:E936,E936))</f>
        <v/>
      </c>
      <c r="K936" s="7"/>
      <c r="L936" s="7"/>
      <c r="M936" s="1" t="str">
        <f>IF(E936="","",E936&amp;"|"&amp;COUNTIF($E$5:E936,E936))</f>
        <v/>
      </c>
    </row>
    <row r="937" spans="2:13" x14ac:dyDescent="0.2">
      <c r="B937" s="10"/>
      <c r="C937" s="7"/>
      <c r="D937" s="11"/>
      <c r="E937" s="6"/>
      <c r="F937" s="12" t="str">
        <f t="shared" si="28"/>
        <v/>
      </c>
      <c r="G937" s="13" t="str">
        <f t="shared" si="29"/>
        <v/>
      </c>
      <c r="H937" s="9"/>
      <c r="I937" s="9"/>
      <c r="J937" s="14" t="str">
        <f>IF(E937="","",IFERROR(VLOOKUP(E937,TabProd,5,FALSE),0)+SUMIFS($H$5:H937,$E$5:E937,E937)-SUMIFS($I$5:I937,$E$5:E937,E937))</f>
        <v/>
      </c>
      <c r="K937" s="7"/>
      <c r="L937" s="7"/>
      <c r="M937" s="1" t="str">
        <f>IF(E937="","",E937&amp;"|"&amp;COUNTIF($E$5:E937,E937))</f>
        <v/>
      </c>
    </row>
    <row r="938" spans="2:13" x14ac:dyDescent="0.2">
      <c r="B938" s="10"/>
      <c r="C938" s="7"/>
      <c r="D938" s="11"/>
      <c r="E938" s="6"/>
      <c r="F938" s="12" t="str">
        <f t="shared" si="28"/>
        <v/>
      </c>
      <c r="G938" s="13" t="str">
        <f t="shared" si="29"/>
        <v/>
      </c>
      <c r="H938" s="9"/>
      <c r="I938" s="9"/>
      <c r="J938" s="14" t="str">
        <f>IF(E938="","",IFERROR(VLOOKUP(E938,TabProd,5,FALSE),0)+SUMIFS($H$5:H938,$E$5:E938,E938)-SUMIFS($I$5:I938,$E$5:E938,E938))</f>
        <v/>
      </c>
      <c r="K938" s="7"/>
      <c r="L938" s="7"/>
      <c r="M938" s="1" t="str">
        <f>IF(E938="","",E938&amp;"|"&amp;COUNTIF($E$5:E938,E938))</f>
        <v/>
      </c>
    </row>
    <row r="939" spans="2:13" x14ac:dyDescent="0.2">
      <c r="B939" s="10"/>
      <c r="C939" s="7"/>
      <c r="D939" s="11"/>
      <c r="E939" s="6"/>
      <c r="F939" s="12" t="str">
        <f t="shared" si="28"/>
        <v/>
      </c>
      <c r="G939" s="13" t="str">
        <f t="shared" si="29"/>
        <v/>
      </c>
      <c r="H939" s="9"/>
      <c r="I939" s="9"/>
      <c r="J939" s="14" t="str">
        <f>IF(E939="","",IFERROR(VLOOKUP(E939,TabProd,5,FALSE),0)+SUMIFS($H$5:H939,$E$5:E939,E939)-SUMIFS($I$5:I939,$E$5:E939,E939))</f>
        <v/>
      </c>
      <c r="K939" s="7"/>
      <c r="L939" s="7"/>
      <c r="M939" s="1" t="str">
        <f>IF(E939="","",E939&amp;"|"&amp;COUNTIF($E$5:E939,E939))</f>
        <v/>
      </c>
    </row>
    <row r="940" spans="2:13" x14ac:dyDescent="0.2">
      <c r="B940" s="10"/>
      <c r="C940" s="7"/>
      <c r="D940" s="11"/>
      <c r="E940" s="6"/>
      <c r="F940" s="12" t="str">
        <f t="shared" si="28"/>
        <v/>
      </c>
      <c r="G940" s="13" t="str">
        <f t="shared" si="29"/>
        <v/>
      </c>
      <c r="H940" s="9"/>
      <c r="I940" s="9"/>
      <c r="J940" s="14" t="str">
        <f>IF(E940="","",IFERROR(VLOOKUP(E940,TabProd,5,FALSE),0)+SUMIFS($H$5:H940,$E$5:E940,E940)-SUMIFS($I$5:I940,$E$5:E940,E940))</f>
        <v/>
      </c>
      <c r="K940" s="7"/>
      <c r="L940" s="7"/>
      <c r="M940" s="1" t="str">
        <f>IF(E940="","",E940&amp;"|"&amp;COUNTIF($E$5:E940,E940))</f>
        <v/>
      </c>
    </row>
    <row r="941" spans="2:13" x14ac:dyDescent="0.2">
      <c r="B941" s="10"/>
      <c r="C941" s="7"/>
      <c r="D941" s="11"/>
      <c r="E941" s="6"/>
      <c r="F941" s="12" t="str">
        <f t="shared" si="28"/>
        <v/>
      </c>
      <c r="G941" s="13" t="str">
        <f t="shared" si="29"/>
        <v/>
      </c>
      <c r="H941" s="9"/>
      <c r="I941" s="9"/>
      <c r="J941" s="14" t="str">
        <f>IF(E941="","",IFERROR(VLOOKUP(E941,TabProd,5,FALSE),0)+SUMIFS($H$5:H941,$E$5:E941,E941)-SUMIFS($I$5:I941,$E$5:E941,E941))</f>
        <v/>
      </c>
      <c r="K941" s="7"/>
      <c r="L941" s="7"/>
      <c r="M941" s="1" t="str">
        <f>IF(E941="","",E941&amp;"|"&amp;COUNTIF($E$5:E941,E941))</f>
        <v/>
      </c>
    </row>
    <row r="942" spans="2:13" x14ac:dyDescent="0.2">
      <c r="B942" s="10"/>
      <c r="C942" s="7"/>
      <c r="D942" s="11"/>
      <c r="E942" s="6"/>
      <c r="F942" s="12" t="str">
        <f t="shared" si="28"/>
        <v/>
      </c>
      <c r="G942" s="13" t="str">
        <f t="shared" si="29"/>
        <v/>
      </c>
      <c r="H942" s="9"/>
      <c r="I942" s="9"/>
      <c r="J942" s="14" t="str">
        <f>IF(E942="","",IFERROR(VLOOKUP(E942,TabProd,5,FALSE),0)+SUMIFS($H$5:H942,$E$5:E942,E942)-SUMIFS($I$5:I942,$E$5:E942,E942))</f>
        <v/>
      </c>
      <c r="K942" s="7"/>
      <c r="L942" s="7"/>
      <c r="M942" s="1" t="str">
        <f>IF(E942="","",E942&amp;"|"&amp;COUNTIF($E$5:E942,E942))</f>
        <v/>
      </c>
    </row>
    <row r="943" spans="2:13" x14ac:dyDescent="0.2">
      <c r="B943" s="10"/>
      <c r="C943" s="7"/>
      <c r="D943" s="11"/>
      <c r="E943" s="6"/>
      <c r="F943" s="12" t="str">
        <f t="shared" si="28"/>
        <v/>
      </c>
      <c r="G943" s="13" t="str">
        <f t="shared" si="29"/>
        <v/>
      </c>
      <c r="H943" s="9"/>
      <c r="I943" s="9"/>
      <c r="J943" s="14" t="str">
        <f>IF(E943="","",IFERROR(VLOOKUP(E943,TabProd,5,FALSE),0)+SUMIFS($H$5:H943,$E$5:E943,E943)-SUMIFS($I$5:I943,$E$5:E943,E943))</f>
        <v/>
      </c>
      <c r="K943" s="7"/>
      <c r="L943" s="7"/>
      <c r="M943" s="1" t="str">
        <f>IF(E943="","",E943&amp;"|"&amp;COUNTIF($E$5:E943,E943))</f>
        <v/>
      </c>
    </row>
    <row r="944" spans="2:13" x14ac:dyDescent="0.2">
      <c r="B944" s="10"/>
      <c r="C944" s="7"/>
      <c r="D944" s="11"/>
      <c r="E944" s="6"/>
      <c r="F944" s="12" t="str">
        <f t="shared" si="28"/>
        <v/>
      </c>
      <c r="G944" s="13" t="str">
        <f t="shared" si="29"/>
        <v/>
      </c>
      <c r="H944" s="9"/>
      <c r="I944" s="9"/>
      <c r="J944" s="14" t="str">
        <f>IF(E944="","",IFERROR(VLOOKUP(E944,TabProd,5,FALSE),0)+SUMIFS($H$5:H944,$E$5:E944,E944)-SUMIFS($I$5:I944,$E$5:E944,E944))</f>
        <v/>
      </c>
      <c r="K944" s="7"/>
      <c r="L944" s="7"/>
      <c r="M944" s="1" t="str">
        <f>IF(E944="","",E944&amp;"|"&amp;COUNTIF($E$5:E944,E944))</f>
        <v/>
      </c>
    </row>
    <row r="945" spans="2:13" x14ac:dyDescent="0.2">
      <c r="B945" s="10"/>
      <c r="C945" s="7"/>
      <c r="D945" s="11"/>
      <c r="E945" s="6"/>
      <c r="F945" s="12" t="str">
        <f t="shared" si="28"/>
        <v/>
      </c>
      <c r="G945" s="13" t="str">
        <f t="shared" si="29"/>
        <v/>
      </c>
      <c r="H945" s="9"/>
      <c r="I945" s="9"/>
      <c r="J945" s="14" t="str">
        <f>IF(E945="","",IFERROR(VLOOKUP(E945,TabProd,5,FALSE),0)+SUMIFS($H$5:H945,$E$5:E945,E945)-SUMIFS($I$5:I945,$E$5:E945,E945))</f>
        <v/>
      </c>
      <c r="K945" s="7"/>
      <c r="L945" s="7"/>
      <c r="M945" s="1" t="str">
        <f>IF(E945="","",E945&amp;"|"&amp;COUNTIF($E$5:E945,E945))</f>
        <v/>
      </c>
    </row>
    <row r="946" spans="2:13" x14ac:dyDescent="0.2">
      <c r="B946" s="10"/>
      <c r="C946" s="7"/>
      <c r="D946" s="11"/>
      <c r="E946" s="6"/>
      <c r="F946" s="12" t="str">
        <f t="shared" si="28"/>
        <v/>
      </c>
      <c r="G946" s="13" t="str">
        <f t="shared" si="29"/>
        <v/>
      </c>
      <c r="H946" s="9"/>
      <c r="I946" s="9"/>
      <c r="J946" s="14" t="str">
        <f>IF(E946="","",IFERROR(VLOOKUP(E946,TabProd,5,FALSE),0)+SUMIFS($H$5:H946,$E$5:E946,E946)-SUMIFS($I$5:I946,$E$5:E946,E946))</f>
        <v/>
      </c>
      <c r="K946" s="7"/>
      <c r="L946" s="7"/>
      <c r="M946" s="1" t="str">
        <f>IF(E946="","",E946&amp;"|"&amp;COUNTIF($E$5:E946,E946))</f>
        <v/>
      </c>
    </row>
    <row r="947" spans="2:13" x14ac:dyDescent="0.2">
      <c r="B947" s="10"/>
      <c r="C947" s="7"/>
      <c r="D947" s="11"/>
      <c r="E947" s="6"/>
      <c r="F947" s="12" t="str">
        <f t="shared" si="28"/>
        <v/>
      </c>
      <c r="G947" s="13" t="str">
        <f t="shared" si="29"/>
        <v/>
      </c>
      <c r="H947" s="9"/>
      <c r="I947" s="9"/>
      <c r="J947" s="14" t="str">
        <f>IF(E947="","",IFERROR(VLOOKUP(E947,TabProd,5,FALSE),0)+SUMIFS($H$5:H947,$E$5:E947,E947)-SUMIFS($I$5:I947,$E$5:E947,E947))</f>
        <v/>
      </c>
      <c r="K947" s="7"/>
      <c r="L947" s="7"/>
      <c r="M947" s="1" t="str">
        <f>IF(E947="","",E947&amp;"|"&amp;COUNTIF($E$5:E947,E947))</f>
        <v/>
      </c>
    </row>
    <row r="948" spans="2:13" x14ac:dyDescent="0.2">
      <c r="B948" s="10"/>
      <c r="C948" s="7"/>
      <c r="D948" s="11"/>
      <c r="E948" s="6"/>
      <c r="F948" s="12" t="str">
        <f t="shared" si="28"/>
        <v/>
      </c>
      <c r="G948" s="13" t="str">
        <f t="shared" si="29"/>
        <v/>
      </c>
      <c r="H948" s="9"/>
      <c r="I948" s="9"/>
      <c r="J948" s="14" t="str">
        <f>IF(E948="","",IFERROR(VLOOKUP(E948,TabProd,5,FALSE),0)+SUMIFS($H$5:H948,$E$5:E948,E948)-SUMIFS($I$5:I948,$E$5:E948,E948))</f>
        <v/>
      </c>
      <c r="K948" s="7"/>
      <c r="L948" s="7"/>
      <c r="M948" s="1" t="str">
        <f>IF(E948="","",E948&amp;"|"&amp;COUNTIF($E$5:E948,E948))</f>
        <v/>
      </c>
    </row>
    <row r="949" spans="2:13" x14ac:dyDescent="0.2">
      <c r="B949" s="10"/>
      <c r="C949" s="7"/>
      <c r="D949" s="11"/>
      <c r="E949" s="6"/>
      <c r="F949" s="12" t="str">
        <f t="shared" si="28"/>
        <v/>
      </c>
      <c r="G949" s="13" t="str">
        <f t="shared" si="29"/>
        <v/>
      </c>
      <c r="H949" s="9"/>
      <c r="I949" s="9"/>
      <c r="J949" s="14" t="str">
        <f>IF(E949="","",IFERROR(VLOOKUP(E949,TabProd,5,FALSE),0)+SUMIFS($H$5:H949,$E$5:E949,E949)-SUMIFS($I$5:I949,$E$5:E949,E949))</f>
        <v/>
      </c>
      <c r="K949" s="7"/>
      <c r="L949" s="7"/>
      <c r="M949" s="1" t="str">
        <f>IF(E949="","",E949&amp;"|"&amp;COUNTIF($E$5:E949,E949))</f>
        <v/>
      </c>
    </row>
    <row r="950" spans="2:13" x14ac:dyDescent="0.2">
      <c r="B950" s="10"/>
      <c r="C950" s="7"/>
      <c r="D950" s="11"/>
      <c r="E950" s="6"/>
      <c r="F950" s="12" t="str">
        <f t="shared" si="28"/>
        <v/>
      </c>
      <c r="G950" s="13" t="str">
        <f t="shared" si="29"/>
        <v/>
      </c>
      <c r="H950" s="9"/>
      <c r="I950" s="9"/>
      <c r="J950" s="14" t="str">
        <f>IF(E950="","",IFERROR(VLOOKUP(E950,TabProd,5,FALSE),0)+SUMIFS($H$5:H950,$E$5:E950,E950)-SUMIFS($I$5:I950,$E$5:E950,E950))</f>
        <v/>
      </c>
      <c r="K950" s="7"/>
      <c r="L950" s="7"/>
      <c r="M950" s="1" t="str">
        <f>IF(E950="","",E950&amp;"|"&amp;COUNTIF($E$5:E950,E950))</f>
        <v/>
      </c>
    </row>
    <row r="951" spans="2:13" x14ac:dyDescent="0.2">
      <c r="B951" s="10"/>
      <c r="C951" s="7"/>
      <c r="D951" s="11"/>
      <c r="E951" s="6"/>
      <c r="F951" s="12" t="str">
        <f t="shared" si="28"/>
        <v/>
      </c>
      <c r="G951" s="13" t="str">
        <f t="shared" si="29"/>
        <v/>
      </c>
      <c r="H951" s="9"/>
      <c r="I951" s="9"/>
      <c r="J951" s="14" t="str">
        <f>IF(E951="","",IFERROR(VLOOKUP(E951,TabProd,5,FALSE),0)+SUMIFS($H$5:H951,$E$5:E951,E951)-SUMIFS($I$5:I951,$E$5:E951,E951))</f>
        <v/>
      </c>
      <c r="K951" s="7"/>
      <c r="L951" s="7"/>
      <c r="M951" s="1" t="str">
        <f>IF(E951="","",E951&amp;"|"&amp;COUNTIF($E$5:E951,E951))</f>
        <v/>
      </c>
    </row>
    <row r="952" spans="2:13" x14ac:dyDescent="0.2">
      <c r="B952" s="10"/>
      <c r="C952" s="7"/>
      <c r="D952" s="11"/>
      <c r="E952" s="6"/>
      <c r="F952" s="12" t="str">
        <f t="shared" si="28"/>
        <v/>
      </c>
      <c r="G952" s="13" t="str">
        <f t="shared" si="29"/>
        <v/>
      </c>
      <c r="H952" s="9"/>
      <c r="I952" s="9"/>
      <c r="J952" s="14" t="str">
        <f>IF(E952="","",IFERROR(VLOOKUP(E952,TabProd,5,FALSE),0)+SUMIFS($H$5:H952,$E$5:E952,E952)-SUMIFS($I$5:I952,$E$5:E952,E952))</f>
        <v/>
      </c>
      <c r="K952" s="7"/>
      <c r="L952" s="7"/>
      <c r="M952" s="1" t="str">
        <f>IF(E952="","",E952&amp;"|"&amp;COUNTIF($E$5:E952,E952))</f>
        <v/>
      </c>
    </row>
    <row r="953" spans="2:13" x14ac:dyDescent="0.2">
      <c r="B953" s="10"/>
      <c r="C953" s="7"/>
      <c r="D953" s="11"/>
      <c r="E953" s="6"/>
      <c r="F953" s="12" t="str">
        <f t="shared" si="28"/>
        <v/>
      </c>
      <c r="G953" s="13" t="str">
        <f t="shared" si="29"/>
        <v/>
      </c>
      <c r="H953" s="9"/>
      <c r="I953" s="9"/>
      <c r="J953" s="14" t="str">
        <f>IF(E953="","",IFERROR(VLOOKUP(E953,TabProd,5,FALSE),0)+SUMIFS($H$5:H953,$E$5:E953,E953)-SUMIFS($I$5:I953,$E$5:E953,E953))</f>
        <v/>
      </c>
      <c r="K953" s="7"/>
      <c r="L953" s="7"/>
      <c r="M953" s="1" t="str">
        <f>IF(E953="","",E953&amp;"|"&amp;COUNTIF($E$5:E953,E953))</f>
        <v/>
      </c>
    </row>
    <row r="954" spans="2:13" x14ac:dyDescent="0.2">
      <c r="B954" s="10"/>
      <c r="C954" s="7"/>
      <c r="D954" s="11"/>
      <c r="E954" s="6"/>
      <c r="F954" s="12" t="str">
        <f t="shared" si="28"/>
        <v/>
      </c>
      <c r="G954" s="13" t="str">
        <f t="shared" si="29"/>
        <v/>
      </c>
      <c r="H954" s="9"/>
      <c r="I954" s="9"/>
      <c r="J954" s="14" t="str">
        <f>IF(E954="","",IFERROR(VLOOKUP(E954,TabProd,5,FALSE),0)+SUMIFS($H$5:H954,$E$5:E954,E954)-SUMIFS($I$5:I954,$E$5:E954,E954))</f>
        <v/>
      </c>
      <c r="K954" s="7"/>
      <c r="L954" s="7"/>
      <c r="M954" s="1" t="str">
        <f>IF(E954="","",E954&amp;"|"&amp;COUNTIF($E$5:E954,E954))</f>
        <v/>
      </c>
    </row>
    <row r="955" spans="2:13" x14ac:dyDescent="0.2">
      <c r="B955" s="10"/>
      <c r="C955" s="7"/>
      <c r="D955" s="11"/>
      <c r="E955" s="6"/>
      <c r="F955" s="12" t="str">
        <f t="shared" si="28"/>
        <v/>
      </c>
      <c r="G955" s="13" t="str">
        <f t="shared" si="29"/>
        <v/>
      </c>
      <c r="H955" s="9"/>
      <c r="I955" s="9"/>
      <c r="J955" s="14" t="str">
        <f>IF(E955="","",IFERROR(VLOOKUP(E955,TabProd,5,FALSE),0)+SUMIFS($H$5:H955,$E$5:E955,E955)-SUMIFS($I$5:I955,$E$5:E955,E955))</f>
        <v/>
      </c>
      <c r="K955" s="7"/>
      <c r="L955" s="7"/>
      <c r="M955" s="1" t="str">
        <f>IF(E955="","",E955&amp;"|"&amp;COUNTIF($E$5:E955,E955))</f>
        <v/>
      </c>
    </row>
    <row r="956" spans="2:13" x14ac:dyDescent="0.2">
      <c r="B956" s="10"/>
      <c r="C956" s="7"/>
      <c r="D956" s="11"/>
      <c r="E956" s="6"/>
      <c r="F956" s="12" t="str">
        <f t="shared" si="28"/>
        <v/>
      </c>
      <c r="G956" s="13" t="str">
        <f t="shared" si="29"/>
        <v/>
      </c>
      <c r="H956" s="9"/>
      <c r="I956" s="9"/>
      <c r="J956" s="14" t="str">
        <f>IF(E956="","",IFERROR(VLOOKUP(E956,TabProd,5,FALSE),0)+SUMIFS($H$5:H956,$E$5:E956,E956)-SUMIFS($I$5:I956,$E$5:E956,E956))</f>
        <v/>
      </c>
      <c r="K956" s="7"/>
      <c r="L956" s="7"/>
      <c r="M956" s="1" t="str">
        <f>IF(E956="","",E956&amp;"|"&amp;COUNTIF($E$5:E956,E956))</f>
        <v/>
      </c>
    </row>
    <row r="957" spans="2:13" x14ac:dyDescent="0.2">
      <c r="B957" s="10"/>
      <c r="C957" s="7"/>
      <c r="D957" s="11"/>
      <c r="E957" s="6"/>
      <c r="F957" s="12" t="str">
        <f t="shared" si="28"/>
        <v/>
      </c>
      <c r="G957" s="13" t="str">
        <f t="shared" si="29"/>
        <v/>
      </c>
      <c r="H957" s="9"/>
      <c r="I957" s="9"/>
      <c r="J957" s="14" t="str">
        <f>IF(E957="","",IFERROR(VLOOKUP(E957,TabProd,5,FALSE),0)+SUMIFS($H$5:H957,$E$5:E957,E957)-SUMIFS($I$5:I957,$E$5:E957,E957))</f>
        <v/>
      </c>
      <c r="K957" s="7"/>
      <c r="L957" s="7"/>
      <c r="M957" s="1" t="str">
        <f>IF(E957="","",E957&amp;"|"&amp;COUNTIF($E$5:E957,E957))</f>
        <v/>
      </c>
    </row>
    <row r="958" spans="2:13" x14ac:dyDescent="0.2">
      <c r="B958" s="10"/>
      <c r="C958" s="7"/>
      <c r="D958" s="11"/>
      <c r="E958" s="6"/>
      <c r="F958" s="12" t="str">
        <f t="shared" si="28"/>
        <v/>
      </c>
      <c r="G958" s="13" t="str">
        <f t="shared" si="29"/>
        <v/>
      </c>
      <c r="H958" s="9"/>
      <c r="I958" s="9"/>
      <c r="J958" s="14" t="str">
        <f>IF(E958="","",IFERROR(VLOOKUP(E958,TabProd,5,FALSE),0)+SUMIFS($H$5:H958,$E$5:E958,E958)-SUMIFS($I$5:I958,$E$5:E958,E958))</f>
        <v/>
      </c>
      <c r="K958" s="7"/>
      <c r="L958" s="7"/>
      <c r="M958" s="1" t="str">
        <f>IF(E958="","",E958&amp;"|"&amp;COUNTIF($E$5:E958,E958))</f>
        <v/>
      </c>
    </row>
    <row r="959" spans="2:13" x14ac:dyDescent="0.2">
      <c r="B959" s="10"/>
      <c r="C959" s="7"/>
      <c r="D959" s="11"/>
      <c r="E959" s="6"/>
      <c r="F959" s="12" t="str">
        <f t="shared" si="28"/>
        <v/>
      </c>
      <c r="G959" s="13" t="str">
        <f t="shared" si="29"/>
        <v/>
      </c>
      <c r="H959" s="9"/>
      <c r="I959" s="9"/>
      <c r="J959" s="14" t="str">
        <f>IF(E959="","",IFERROR(VLOOKUP(E959,TabProd,5,FALSE),0)+SUMIFS($H$5:H959,$E$5:E959,E959)-SUMIFS($I$5:I959,$E$5:E959,E959))</f>
        <v/>
      </c>
      <c r="K959" s="7"/>
      <c r="L959" s="7"/>
      <c r="M959" s="1" t="str">
        <f>IF(E959="","",E959&amp;"|"&amp;COUNTIF($E$5:E959,E959))</f>
        <v/>
      </c>
    </row>
    <row r="960" spans="2:13" x14ac:dyDescent="0.2">
      <c r="B960" s="10"/>
      <c r="C960" s="7"/>
      <c r="D960" s="11"/>
      <c r="E960" s="6"/>
      <c r="F960" s="12" t="str">
        <f t="shared" si="28"/>
        <v/>
      </c>
      <c r="G960" s="13" t="str">
        <f t="shared" si="29"/>
        <v/>
      </c>
      <c r="H960" s="9"/>
      <c r="I960" s="9"/>
      <c r="J960" s="14" t="str">
        <f>IF(E960="","",IFERROR(VLOOKUP(E960,TabProd,5,FALSE),0)+SUMIFS($H$5:H960,$E$5:E960,E960)-SUMIFS($I$5:I960,$E$5:E960,E960))</f>
        <v/>
      </c>
      <c r="K960" s="7"/>
      <c r="L960" s="7"/>
      <c r="M960" s="1" t="str">
        <f>IF(E960="","",E960&amp;"|"&amp;COUNTIF($E$5:E960,E960))</f>
        <v/>
      </c>
    </row>
    <row r="961" spans="2:13" x14ac:dyDescent="0.2">
      <c r="B961" s="10"/>
      <c r="C961" s="7"/>
      <c r="D961" s="11"/>
      <c r="E961" s="6"/>
      <c r="F961" s="12" t="str">
        <f t="shared" si="28"/>
        <v/>
      </c>
      <c r="G961" s="13" t="str">
        <f t="shared" si="29"/>
        <v/>
      </c>
      <c r="H961" s="9"/>
      <c r="I961" s="9"/>
      <c r="J961" s="14" t="str">
        <f>IF(E961="","",IFERROR(VLOOKUP(E961,TabProd,5,FALSE),0)+SUMIFS($H$5:H961,$E$5:E961,E961)-SUMIFS($I$5:I961,$E$5:E961,E961))</f>
        <v/>
      </c>
      <c r="K961" s="7"/>
      <c r="L961" s="7"/>
      <c r="M961" s="1" t="str">
        <f>IF(E961="","",E961&amp;"|"&amp;COUNTIF($E$5:E961,E961))</f>
        <v/>
      </c>
    </row>
    <row r="962" spans="2:13" x14ac:dyDescent="0.2">
      <c r="B962" s="10"/>
      <c r="C962" s="7"/>
      <c r="D962" s="11"/>
      <c r="E962" s="6"/>
      <c r="F962" s="12" t="str">
        <f t="shared" si="28"/>
        <v/>
      </c>
      <c r="G962" s="13" t="str">
        <f t="shared" si="29"/>
        <v/>
      </c>
      <c r="H962" s="9"/>
      <c r="I962" s="9"/>
      <c r="J962" s="14" t="str">
        <f>IF(E962="","",IFERROR(VLOOKUP(E962,TabProd,5,FALSE),0)+SUMIFS($H$5:H962,$E$5:E962,E962)-SUMIFS($I$5:I962,$E$5:E962,E962))</f>
        <v/>
      </c>
      <c r="K962" s="7"/>
      <c r="L962" s="7"/>
      <c r="M962" s="1" t="str">
        <f>IF(E962="","",E962&amp;"|"&amp;COUNTIF($E$5:E962,E962))</f>
        <v/>
      </c>
    </row>
    <row r="963" spans="2:13" x14ac:dyDescent="0.2">
      <c r="B963" s="10"/>
      <c r="C963" s="7"/>
      <c r="D963" s="11"/>
      <c r="E963" s="6"/>
      <c r="F963" s="12" t="str">
        <f t="shared" si="28"/>
        <v/>
      </c>
      <c r="G963" s="13" t="str">
        <f t="shared" si="29"/>
        <v/>
      </c>
      <c r="H963" s="9"/>
      <c r="I963" s="9"/>
      <c r="J963" s="14" t="str">
        <f>IF(E963="","",IFERROR(VLOOKUP(E963,TabProd,5,FALSE),0)+SUMIFS($H$5:H963,$E$5:E963,E963)-SUMIFS($I$5:I963,$E$5:E963,E963))</f>
        <v/>
      </c>
      <c r="K963" s="7"/>
      <c r="L963" s="7"/>
      <c r="M963" s="1" t="str">
        <f>IF(E963="","",E963&amp;"|"&amp;COUNTIF($E$5:E963,E963))</f>
        <v/>
      </c>
    </row>
    <row r="964" spans="2:13" x14ac:dyDescent="0.2">
      <c r="B964" s="10"/>
      <c r="C964" s="7"/>
      <c r="D964" s="11"/>
      <c r="E964" s="6"/>
      <c r="F964" s="12" t="str">
        <f t="shared" si="28"/>
        <v/>
      </c>
      <c r="G964" s="13" t="str">
        <f t="shared" si="29"/>
        <v/>
      </c>
      <c r="H964" s="9"/>
      <c r="I964" s="9"/>
      <c r="J964" s="14" t="str">
        <f>IF(E964="","",IFERROR(VLOOKUP(E964,TabProd,5,FALSE),0)+SUMIFS($H$5:H964,$E$5:E964,E964)-SUMIFS($I$5:I964,$E$5:E964,E964))</f>
        <v/>
      </c>
      <c r="K964" s="7"/>
      <c r="L964" s="7"/>
      <c r="M964" s="1" t="str">
        <f>IF(E964="","",E964&amp;"|"&amp;COUNTIF($E$5:E964,E964))</f>
        <v/>
      </c>
    </row>
    <row r="965" spans="2:13" x14ac:dyDescent="0.2">
      <c r="B965" s="10"/>
      <c r="C965" s="7"/>
      <c r="D965" s="11"/>
      <c r="E965" s="6"/>
      <c r="F965" s="12" t="str">
        <f t="shared" ref="F965:F1028" si="30">IF(E965="","",IFERROR(VLOOKUP(E965,TabProd,2,FALSE),"Cod inexistent"))</f>
        <v/>
      </c>
      <c r="G965" s="13" t="str">
        <f t="shared" ref="G965:G1028" si="31">IF(E965="","",IFERROR(VLOOKUP(E965,TabProd,3,FALSE),""))</f>
        <v/>
      </c>
      <c r="H965" s="9"/>
      <c r="I965" s="9"/>
      <c r="J965" s="14" t="str">
        <f>IF(E965="","",IFERROR(VLOOKUP(E965,TabProd,5,FALSE),0)+SUMIFS($H$5:H965,$E$5:E965,E965)-SUMIFS($I$5:I965,$E$5:E965,E965))</f>
        <v/>
      </c>
      <c r="K965" s="7"/>
      <c r="L965" s="7"/>
      <c r="M965" s="1" t="str">
        <f>IF(E965="","",E965&amp;"|"&amp;COUNTIF($E$5:E965,E965))</f>
        <v/>
      </c>
    </row>
    <row r="966" spans="2:13" x14ac:dyDescent="0.2">
      <c r="B966" s="10"/>
      <c r="C966" s="7"/>
      <c r="D966" s="11"/>
      <c r="E966" s="6"/>
      <c r="F966" s="12" t="str">
        <f t="shared" si="30"/>
        <v/>
      </c>
      <c r="G966" s="13" t="str">
        <f t="shared" si="31"/>
        <v/>
      </c>
      <c r="H966" s="9"/>
      <c r="I966" s="9"/>
      <c r="J966" s="14" t="str">
        <f>IF(E966="","",IFERROR(VLOOKUP(E966,TabProd,5,FALSE),0)+SUMIFS($H$5:H966,$E$5:E966,E966)-SUMIFS($I$5:I966,$E$5:E966,E966))</f>
        <v/>
      </c>
      <c r="K966" s="7"/>
      <c r="L966" s="7"/>
      <c r="M966" s="1" t="str">
        <f>IF(E966="","",E966&amp;"|"&amp;COUNTIF($E$5:E966,E966))</f>
        <v/>
      </c>
    </row>
    <row r="967" spans="2:13" x14ac:dyDescent="0.2">
      <c r="B967" s="10"/>
      <c r="C967" s="7"/>
      <c r="D967" s="11"/>
      <c r="E967" s="6"/>
      <c r="F967" s="12" t="str">
        <f t="shared" si="30"/>
        <v/>
      </c>
      <c r="G967" s="13" t="str">
        <f t="shared" si="31"/>
        <v/>
      </c>
      <c r="H967" s="9"/>
      <c r="I967" s="9"/>
      <c r="J967" s="14" t="str">
        <f>IF(E967="","",IFERROR(VLOOKUP(E967,TabProd,5,FALSE),0)+SUMIFS($H$5:H967,$E$5:E967,E967)-SUMIFS($I$5:I967,$E$5:E967,E967))</f>
        <v/>
      </c>
      <c r="K967" s="7"/>
      <c r="L967" s="7"/>
      <c r="M967" s="1" t="str">
        <f>IF(E967="","",E967&amp;"|"&amp;COUNTIF($E$5:E967,E967))</f>
        <v/>
      </c>
    </row>
    <row r="968" spans="2:13" x14ac:dyDescent="0.2">
      <c r="B968" s="10"/>
      <c r="C968" s="7"/>
      <c r="D968" s="11"/>
      <c r="E968" s="6"/>
      <c r="F968" s="12" t="str">
        <f t="shared" si="30"/>
        <v/>
      </c>
      <c r="G968" s="13" t="str">
        <f t="shared" si="31"/>
        <v/>
      </c>
      <c r="H968" s="9"/>
      <c r="I968" s="9"/>
      <c r="J968" s="14" t="str">
        <f>IF(E968="","",IFERROR(VLOOKUP(E968,TabProd,5,FALSE),0)+SUMIFS($H$5:H968,$E$5:E968,E968)-SUMIFS($I$5:I968,$E$5:E968,E968))</f>
        <v/>
      </c>
      <c r="K968" s="7"/>
      <c r="L968" s="7"/>
      <c r="M968" s="1" t="str">
        <f>IF(E968="","",E968&amp;"|"&amp;COUNTIF($E$5:E968,E968))</f>
        <v/>
      </c>
    </row>
    <row r="969" spans="2:13" x14ac:dyDescent="0.2">
      <c r="B969" s="10"/>
      <c r="C969" s="7"/>
      <c r="D969" s="11"/>
      <c r="E969" s="6"/>
      <c r="F969" s="12" t="str">
        <f t="shared" si="30"/>
        <v/>
      </c>
      <c r="G969" s="13" t="str">
        <f t="shared" si="31"/>
        <v/>
      </c>
      <c r="H969" s="9"/>
      <c r="I969" s="9"/>
      <c r="J969" s="14" t="str">
        <f>IF(E969="","",IFERROR(VLOOKUP(E969,TabProd,5,FALSE),0)+SUMIFS($H$5:H969,$E$5:E969,E969)-SUMIFS($I$5:I969,$E$5:E969,E969))</f>
        <v/>
      </c>
      <c r="K969" s="7"/>
      <c r="L969" s="7"/>
      <c r="M969" s="1" t="str">
        <f>IF(E969="","",E969&amp;"|"&amp;COUNTIF($E$5:E969,E969))</f>
        <v/>
      </c>
    </row>
    <row r="970" spans="2:13" x14ac:dyDescent="0.2">
      <c r="B970" s="10"/>
      <c r="C970" s="7"/>
      <c r="D970" s="11"/>
      <c r="E970" s="6"/>
      <c r="F970" s="12" t="str">
        <f t="shared" si="30"/>
        <v/>
      </c>
      <c r="G970" s="13" t="str">
        <f t="shared" si="31"/>
        <v/>
      </c>
      <c r="H970" s="9"/>
      <c r="I970" s="9"/>
      <c r="J970" s="14" t="str">
        <f>IF(E970="","",IFERROR(VLOOKUP(E970,TabProd,5,FALSE),0)+SUMIFS($H$5:H970,$E$5:E970,E970)-SUMIFS($I$5:I970,$E$5:E970,E970))</f>
        <v/>
      </c>
      <c r="K970" s="7"/>
      <c r="L970" s="7"/>
      <c r="M970" s="1" t="str">
        <f>IF(E970="","",E970&amp;"|"&amp;COUNTIF($E$5:E970,E970))</f>
        <v/>
      </c>
    </row>
    <row r="971" spans="2:13" x14ac:dyDescent="0.2">
      <c r="B971" s="10"/>
      <c r="C971" s="7"/>
      <c r="D971" s="11"/>
      <c r="E971" s="6"/>
      <c r="F971" s="12" t="str">
        <f t="shared" si="30"/>
        <v/>
      </c>
      <c r="G971" s="13" t="str">
        <f t="shared" si="31"/>
        <v/>
      </c>
      <c r="H971" s="9"/>
      <c r="I971" s="9"/>
      <c r="J971" s="14" t="str">
        <f>IF(E971="","",IFERROR(VLOOKUP(E971,TabProd,5,FALSE),0)+SUMIFS($H$5:H971,$E$5:E971,E971)-SUMIFS($I$5:I971,$E$5:E971,E971))</f>
        <v/>
      </c>
      <c r="K971" s="7"/>
      <c r="L971" s="7"/>
      <c r="M971" s="1" t="str">
        <f>IF(E971="","",E971&amp;"|"&amp;COUNTIF($E$5:E971,E971))</f>
        <v/>
      </c>
    </row>
    <row r="972" spans="2:13" x14ac:dyDescent="0.2">
      <c r="B972" s="10"/>
      <c r="C972" s="7"/>
      <c r="D972" s="11"/>
      <c r="E972" s="6"/>
      <c r="F972" s="12" t="str">
        <f t="shared" si="30"/>
        <v/>
      </c>
      <c r="G972" s="13" t="str">
        <f t="shared" si="31"/>
        <v/>
      </c>
      <c r="H972" s="9"/>
      <c r="I972" s="9"/>
      <c r="J972" s="14" t="str">
        <f>IF(E972="","",IFERROR(VLOOKUP(E972,TabProd,5,FALSE),0)+SUMIFS($H$5:H972,$E$5:E972,E972)-SUMIFS($I$5:I972,$E$5:E972,E972))</f>
        <v/>
      </c>
      <c r="K972" s="7"/>
      <c r="L972" s="7"/>
      <c r="M972" s="1" t="str">
        <f>IF(E972="","",E972&amp;"|"&amp;COUNTIF($E$5:E972,E972))</f>
        <v/>
      </c>
    </row>
    <row r="973" spans="2:13" x14ac:dyDescent="0.2">
      <c r="B973" s="10"/>
      <c r="C973" s="7"/>
      <c r="D973" s="11"/>
      <c r="E973" s="6"/>
      <c r="F973" s="12" t="str">
        <f t="shared" si="30"/>
        <v/>
      </c>
      <c r="G973" s="13" t="str">
        <f t="shared" si="31"/>
        <v/>
      </c>
      <c r="H973" s="9"/>
      <c r="I973" s="9"/>
      <c r="J973" s="14" t="str">
        <f>IF(E973="","",IFERROR(VLOOKUP(E973,TabProd,5,FALSE),0)+SUMIFS($H$5:H973,$E$5:E973,E973)-SUMIFS($I$5:I973,$E$5:E973,E973))</f>
        <v/>
      </c>
      <c r="K973" s="7"/>
      <c r="L973" s="7"/>
      <c r="M973" s="1" t="str">
        <f>IF(E973="","",E973&amp;"|"&amp;COUNTIF($E$5:E973,E973))</f>
        <v/>
      </c>
    </row>
    <row r="974" spans="2:13" x14ac:dyDescent="0.2">
      <c r="B974" s="10"/>
      <c r="C974" s="7"/>
      <c r="D974" s="11"/>
      <c r="E974" s="6"/>
      <c r="F974" s="12" t="str">
        <f t="shared" si="30"/>
        <v/>
      </c>
      <c r="G974" s="13" t="str">
        <f t="shared" si="31"/>
        <v/>
      </c>
      <c r="H974" s="9"/>
      <c r="I974" s="9"/>
      <c r="J974" s="14" t="str">
        <f>IF(E974="","",IFERROR(VLOOKUP(E974,TabProd,5,FALSE),0)+SUMIFS($H$5:H974,$E$5:E974,E974)-SUMIFS($I$5:I974,$E$5:E974,E974))</f>
        <v/>
      </c>
      <c r="K974" s="7"/>
      <c r="L974" s="7"/>
      <c r="M974" s="1" t="str">
        <f>IF(E974="","",E974&amp;"|"&amp;COUNTIF($E$5:E974,E974))</f>
        <v/>
      </c>
    </row>
    <row r="975" spans="2:13" x14ac:dyDescent="0.2">
      <c r="B975" s="10"/>
      <c r="C975" s="7"/>
      <c r="D975" s="11"/>
      <c r="E975" s="6"/>
      <c r="F975" s="12" t="str">
        <f t="shared" si="30"/>
        <v/>
      </c>
      <c r="G975" s="13" t="str">
        <f t="shared" si="31"/>
        <v/>
      </c>
      <c r="H975" s="9"/>
      <c r="I975" s="9"/>
      <c r="J975" s="14" t="str">
        <f>IF(E975="","",IFERROR(VLOOKUP(E975,TabProd,5,FALSE),0)+SUMIFS($H$5:H975,$E$5:E975,E975)-SUMIFS($I$5:I975,$E$5:E975,E975))</f>
        <v/>
      </c>
      <c r="K975" s="7"/>
      <c r="L975" s="7"/>
      <c r="M975" s="1" t="str">
        <f>IF(E975="","",E975&amp;"|"&amp;COUNTIF($E$5:E975,E975))</f>
        <v/>
      </c>
    </row>
    <row r="976" spans="2:13" x14ac:dyDescent="0.2">
      <c r="B976" s="10"/>
      <c r="C976" s="7"/>
      <c r="D976" s="11"/>
      <c r="E976" s="6"/>
      <c r="F976" s="12" t="str">
        <f t="shared" si="30"/>
        <v/>
      </c>
      <c r="G976" s="13" t="str">
        <f t="shared" si="31"/>
        <v/>
      </c>
      <c r="H976" s="9"/>
      <c r="I976" s="9"/>
      <c r="J976" s="14" t="str">
        <f>IF(E976="","",IFERROR(VLOOKUP(E976,TabProd,5,FALSE),0)+SUMIFS($H$5:H976,$E$5:E976,E976)-SUMIFS($I$5:I976,$E$5:E976,E976))</f>
        <v/>
      </c>
      <c r="K976" s="7"/>
      <c r="L976" s="7"/>
      <c r="M976" s="1" t="str">
        <f>IF(E976="","",E976&amp;"|"&amp;COUNTIF($E$5:E976,E976))</f>
        <v/>
      </c>
    </row>
    <row r="977" spans="2:13" x14ac:dyDescent="0.2">
      <c r="B977" s="10"/>
      <c r="C977" s="7"/>
      <c r="D977" s="11"/>
      <c r="E977" s="6"/>
      <c r="F977" s="12" t="str">
        <f t="shared" si="30"/>
        <v/>
      </c>
      <c r="G977" s="13" t="str">
        <f t="shared" si="31"/>
        <v/>
      </c>
      <c r="H977" s="9"/>
      <c r="I977" s="9"/>
      <c r="J977" s="14" t="str">
        <f>IF(E977="","",IFERROR(VLOOKUP(E977,TabProd,5,FALSE),0)+SUMIFS($H$5:H977,$E$5:E977,E977)-SUMIFS($I$5:I977,$E$5:E977,E977))</f>
        <v/>
      </c>
      <c r="K977" s="7"/>
      <c r="L977" s="7"/>
      <c r="M977" s="1" t="str">
        <f>IF(E977="","",E977&amp;"|"&amp;COUNTIF($E$5:E977,E977))</f>
        <v/>
      </c>
    </row>
    <row r="978" spans="2:13" x14ac:dyDescent="0.2">
      <c r="B978" s="10"/>
      <c r="C978" s="7"/>
      <c r="D978" s="11"/>
      <c r="E978" s="6"/>
      <c r="F978" s="12" t="str">
        <f t="shared" si="30"/>
        <v/>
      </c>
      <c r="G978" s="13" t="str">
        <f t="shared" si="31"/>
        <v/>
      </c>
      <c r="H978" s="9"/>
      <c r="I978" s="9"/>
      <c r="J978" s="14" t="str">
        <f>IF(E978="","",IFERROR(VLOOKUP(E978,TabProd,5,FALSE),0)+SUMIFS($H$5:H978,$E$5:E978,E978)-SUMIFS($I$5:I978,$E$5:E978,E978))</f>
        <v/>
      </c>
      <c r="K978" s="7"/>
      <c r="L978" s="7"/>
      <c r="M978" s="1" t="str">
        <f>IF(E978="","",E978&amp;"|"&amp;COUNTIF($E$5:E978,E978))</f>
        <v/>
      </c>
    </row>
    <row r="979" spans="2:13" x14ac:dyDescent="0.2">
      <c r="B979" s="10"/>
      <c r="C979" s="7"/>
      <c r="D979" s="11"/>
      <c r="E979" s="6"/>
      <c r="F979" s="12" t="str">
        <f t="shared" si="30"/>
        <v/>
      </c>
      <c r="G979" s="13" t="str">
        <f t="shared" si="31"/>
        <v/>
      </c>
      <c r="H979" s="9"/>
      <c r="I979" s="9"/>
      <c r="J979" s="14" t="str">
        <f>IF(E979="","",IFERROR(VLOOKUP(E979,TabProd,5,FALSE),0)+SUMIFS($H$5:H979,$E$5:E979,E979)-SUMIFS($I$5:I979,$E$5:E979,E979))</f>
        <v/>
      </c>
      <c r="K979" s="7"/>
      <c r="L979" s="7"/>
      <c r="M979" s="1" t="str">
        <f>IF(E979="","",E979&amp;"|"&amp;COUNTIF($E$5:E979,E979))</f>
        <v/>
      </c>
    </row>
    <row r="980" spans="2:13" x14ac:dyDescent="0.2">
      <c r="B980" s="10"/>
      <c r="C980" s="7"/>
      <c r="D980" s="11"/>
      <c r="E980" s="6"/>
      <c r="F980" s="12" t="str">
        <f t="shared" si="30"/>
        <v/>
      </c>
      <c r="G980" s="13" t="str">
        <f t="shared" si="31"/>
        <v/>
      </c>
      <c r="H980" s="9"/>
      <c r="I980" s="9"/>
      <c r="J980" s="14" t="str">
        <f>IF(E980="","",IFERROR(VLOOKUP(E980,TabProd,5,FALSE),0)+SUMIFS($H$5:H980,$E$5:E980,E980)-SUMIFS($I$5:I980,$E$5:E980,E980))</f>
        <v/>
      </c>
      <c r="K980" s="7"/>
      <c r="L980" s="7"/>
      <c r="M980" s="1" t="str">
        <f>IF(E980="","",E980&amp;"|"&amp;COUNTIF($E$5:E980,E980))</f>
        <v/>
      </c>
    </row>
    <row r="981" spans="2:13" x14ac:dyDescent="0.2">
      <c r="B981" s="10"/>
      <c r="C981" s="7"/>
      <c r="D981" s="11"/>
      <c r="E981" s="6"/>
      <c r="F981" s="12" t="str">
        <f t="shared" si="30"/>
        <v/>
      </c>
      <c r="G981" s="13" t="str">
        <f t="shared" si="31"/>
        <v/>
      </c>
      <c r="H981" s="9"/>
      <c r="I981" s="9"/>
      <c r="J981" s="14" t="str">
        <f>IF(E981="","",IFERROR(VLOOKUP(E981,TabProd,5,FALSE),0)+SUMIFS($H$5:H981,$E$5:E981,E981)-SUMIFS($I$5:I981,$E$5:E981,E981))</f>
        <v/>
      </c>
      <c r="K981" s="7"/>
      <c r="L981" s="7"/>
      <c r="M981" s="1" t="str">
        <f>IF(E981="","",E981&amp;"|"&amp;COUNTIF($E$5:E981,E981))</f>
        <v/>
      </c>
    </row>
    <row r="982" spans="2:13" x14ac:dyDescent="0.2">
      <c r="B982" s="10"/>
      <c r="C982" s="7"/>
      <c r="D982" s="11"/>
      <c r="E982" s="6"/>
      <c r="F982" s="12" t="str">
        <f t="shared" si="30"/>
        <v/>
      </c>
      <c r="G982" s="13" t="str">
        <f t="shared" si="31"/>
        <v/>
      </c>
      <c r="H982" s="9"/>
      <c r="I982" s="9"/>
      <c r="J982" s="14" t="str">
        <f>IF(E982="","",IFERROR(VLOOKUP(E982,TabProd,5,FALSE),0)+SUMIFS($H$5:H982,$E$5:E982,E982)-SUMIFS($I$5:I982,$E$5:E982,E982))</f>
        <v/>
      </c>
      <c r="K982" s="7"/>
      <c r="L982" s="7"/>
      <c r="M982" s="1" t="str">
        <f>IF(E982="","",E982&amp;"|"&amp;COUNTIF($E$5:E982,E982))</f>
        <v/>
      </c>
    </row>
    <row r="983" spans="2:13" x14ac:dyDescent="0.2">
      <c r="B983" s="10"/>
      <c r="C983" s="7"/>
      <c r="D983" s="11"/>
      <c r="E983" s="6"/>
      <c r="F983" s="12" t="str">
        <f t="shared" si="30"/>
        <v/>
      </c>
      <c r="G983" s="13" t="str">
        <f t="shared" si="31"/>
        <v/>
      </c>
      <c r="H983" s="9"/>
      <c r="I983" s="9"/>
      <c r="J983" s="14" t="str">
        <f>IF(E983="","",IFERROR(VLOOKUP(E983,TabProd,5,FALSE),0)+SUMIFS($H$5:H983,$E$5:E983,E983)-SUMIFS($I$5:I983,$E$5:E983,E983))</f>
        <v/>
      </c>
      <c r="K983" s="7"/>
      <c r="L983" s="7"/>
      <c r="M983" s="1" t="str">
        <f>IF(E983="","",E983&amp;"|"&amp;COUNTIF($E$5:E983,E983))</f>
        <v/>
      </c>
    </row>
    <row r="984" spans="2:13" x14ac:dyDescent="0.2">
      <c r="B984" s="10"/>
      <c r="C984" s="7"/>
      <c r="D984" s="11"/>
      <c r="E984" s="6"/>
      <c r="F984" s="12" t="str">
        <f t="shared" si="30"/>
        <v/>
      </c>
      <c r="G984" s="13" t="str">
        <f t="shared" si="31"/>
        <v/>
      </c>
      <c r="H984" s="9"/>
      <c r="I984" s="9"/>
      <c r="J984" s="14" t="str">
        <f>IF(E984="","",IFERROR(VLOOKUP(E984,TabProd,5,FALSE),0)+SUMIFS($H$5:H984,$E$5:E984,E984)-SUMIFS($I$5:I984,$E$5:E984,E984))</f>
        <v/>
      </c>
      <c r="K984" s="7"/>
      <c r="L984" s="7"/>
      <c r="M984" s="1" t="str">
        <f>IF(E984="","",E984&amp;"|"&amp;COUNTIF($E$5:E984,E984))</f>
        <v/>
      </c>
    </row>
    <row r="985" spans="2:13" x14ac:dyDescent="0.2">
      <c r="B985" s="10"/>
      <c r="C985" s="7"/>
      <c r="D985" s="11"/>
      <c r="E985" s="6"/>
      <c r="F985" s="12" t="str">
        <f t="shared" si="30"/>
        <v/>
      </c>
      <c r="G985" s="13" t="str">
        <f t="shared" si="31"/>
        <v/>
      </c>
      <c r="H985" s="9"/>
      <c r="I985" s="9"/>
      <c r="J985" s="14" t="str">
        <f>IF(E985="","",IFERROR(VLOOKUP(E985,TabProd,5,FALSE),0)+SUMIFS($H$5:H985,$E$5:E985,E985)-SUMIFS($I$5:I985,$E$5:E985,E985))</f>
        <v/>
      </c>
      <c r="K985" s="7"/>
      <c r="L985" s="7"/>
      <c r="M985" s="1" t="str">
        <f>IF(E985="","",E985&amp;"|"&amp;COUNTIF($E$5:E985,E985))</f>
        <v/>
      </c>
    </row>
    <row r="986" spans="2:13" x14ac:dyDescent="0.2">
      <c r="B986" s="10"/>
      <c r="C986" s="7"/>
      <c r="D986" s="11"/>
      <c r="E986" s="6"/>
      <c r="F986" s="12" t="str">
        <f t="shared" si="30"/>
        <v/>
      </c>
      <c r="G986" s="13" t="str">
        <f t="shared" si="31"/>
        <v/>
      </c>
      <c r="H986" s="9"/>
      <c r="I986" s="9"/>
      <c r="J986" s="14" t="str">
        <f>IF(E986="","",IFERROR(VLOOKUP(E986,TabProd,5,FALSE),0)+SUMIFS($H$5:H986,$E$5:E986,E986)-SUMIFS($I$5:I986,$E$5:E986,E986))</f>
        <v/>
      </c>
      <c r="K986" s="7"/>
      <c r="L986" s="7"/>
      <c r="M986" s="1" t="str">
        <f>IF(E986="","",E986&amp;"|"&amp;COUNTIF($E$5:E986,E986))</f>
        <v/>
      </c>
    </row>
    <row r="987" spans="2:13" x14ac:dyDescent="0.2">
      <c r="B987" s="10"/>
      <c r="C987" s="7"/>
      <c r="D987" s="11"/>
      <c r="E987" s="6"/>
      <c r="F987" s="12" t="str">
        <f t="shared" si="30"/>
        <v/>
      </c>
      <c r="G987" s="13" t="str">
        <f t="shared" si="31"/>
        <v/>
      </c>
      <c r="H987" s="9"/>
      <c r="I987" s="9"/>
      <c r="J987" s="14" t="str">
        <f>IF(E987="","",IFERROR(VLOOKUP(E987,TabProd,5,FALSE),0)+SUMIFS($H$5:H987,$E$5:E987,E987)-SUMIFS($I$5:I987,$E$5:E987,E987))</f>
        <v/>
      </c>
      <c r="K987" s="7"/>
      <c r="L987" s="7"/>
      <c r="M987" s="1" t="str">
        <f>IF(E987="","",E987&amp;"|"&amp;COUNTIF($E$5:E987,E987))</f>
        <v/>
      </c>
    </row>
    <row r="988" spans="2:13" x14ac:dyDescent="0.2">
      <c r="B988" s="10"/>
      <c r="C988" s="7"/>
      <c r="D988" s="11"/>
      <c r="E988" s="6"/>
      <c r="F988" s="12" t="str">
        <f t="shared" si="30"/>
        <v/>
      </c>
      <c r="G988" s="13" t="str">
        <f t="shared" si="31"/>
        <v/>
      </c>
      <c r="H988" s="9"/>
      <c r="I988" s="9"/>
      <c r="J988" s="14" t="str">
        <f>IF(E988="","",IFERROR(VLOOKUP(E988,TabProd,5,FALSE),0)+SUMIFS($H$5:H988,$E$5:E988,E988)-SUMIFS($I$5:I988,$E$5:E988,E988))</f>
        <v/>
      </c>
      <c r="K988" s="7"/>
      <c r="L988" s="7"/>
      <c r="M988" s="1" t="str">
        <f>IF(E988="","",E988&amp;"|"&amp;COUNTIF($E$5:E988,E988))</f>
        <v/>
      </c>
    </row>
    <row r="989" spans="2:13" x14ac:dyDescent="0.2">
      <c r="B989" s="10"/>
      <c r="C989" s="7"/>
      <c r="D989" s="11"/>
      <c r="E989" s="6"/>
      <c r="F989" s="12" t="str">
        <f t="shared" si="30"/>
        <v/>
      </c>
      <c r="G989" s="13" t="str">
        <f t="shared" si="31"/>
        <v/>
      </c>
      <c r="H989" s="9"/>
      <c r="I989" s="9"/>
      <c r="J989" s="14" t="str">
        <f>IF(E989="","",IFERROR(VLOOKUP(E989,TabProd,5,FALSE),0)+SUMIFS($H$5:H989,$E$5:E989,E989)-SUMIFS($I$5:I989,$E$5:E989,E989))</f>
        <v/>
      </c>
      <c r="K989" s="7"/>
      <c r="L989" s="7"/>
      <c r="M989" s="1" t="str">
        <f>IF(E989="","",E989&amp;"|"&amp;COUNTIF($E$5:E989,E989))</f>
        <v/>
      </c>
    </row>
    <row r="990" spans="2:13" x14ac:dyDescent="0.2">
      <c r="B990" s="10"/>
      <c r="C990" s="7"/>
      <c r="D990" s="11"/>
      <c r="E990" s="6"/>
      <c r="F990" s="12" t="str">
        <f t="shared" si="30"/>
        <v/>
      </c>
      <c r="G990" s="13" t="str">
        <f t="shared" si="31"/>
        <v/>
      </c>
      <c r="H990" s="9"/>
      <c r="I990" s="9"/>
      <c r="J990" s="14" t="str">
        <f>IF(E990="","",IFERROR(VLOOKUP(E990,TabProd,5,FALSE),0)+SUMIFS($H$5:H990,$E$5:E990,E990)-SUMIFS($I$5:I990,$E$5:E990,E990))</f>
        <v/>
      </c>
      <c r="K990" s="7"/>
      <c r="L990" s="7"/>
      <c r="M990" s="1" t="str">
        <f>IF(E990="","",E990&amp;"|"&amp;COUNTIF($E$5:E990,E990))</f>
        <v/>
      </c>
    </row>
    <row r="991" spans="2:13" x14ac:dyDescent="0.2">
      <c r="B991" s="10"/>
      <c r="C991" s="7"/>
      <c r="D991" s="11"/>
      <c r="E991" s="6"/>
      <c r="F991" s="12" t="str">
        <f t="shared" si="30"/>
        <v/>
      </c>
      <c r="G991" s="13" t="str">
        <f t="shared" si="31"/>
        <v/>
      </c>
      <c r="H991" s="9"/>
      <c r="I991" s="9"/>
      <c r="J991" s="14" t="str">
        <f>IF(E991="","",IFERROR(VLOOKUP(E991,TabProd,5,FALSE),0)+SUMIFS($H$5:H991,$E$5:E991,E991)-SUMIFS($I$5:I991,$E$5:E991,E991))</f>
        <v/>
      </c>
      <c r="K991" s="7"/>
      <c r="L991" s="7"/>
      <c r="M991" s="1" t="str">
        <f>IF(E991="","",E991&amp;"|"&amp;COUNTIF($E$5:E991,E991))</f>
        <v/>
      </c>
    </row>
    <row r="992" spans="2:13" x14ac:dyDescent="0.2">
      <c r="B992" s="10"/>
      <c r="C992" s="7"/>
      <c r="D992" s="11"/>
      <c r="E992" s="6"/>
      <c r="F992" s="12" t="str">
        <f t="shared" si="30"/>
        <v/>
      </c>
      <c r="G992" s="13" t="str">
        <f t="shared" si="31"/>
        <v/>
      </c>
      <c r="H992" s="9"/>
      <c r="I992" s="9"/>
      <c r="J992" s="14" t="str">
        <f>IF(E992="","",IFERROR(VLOOKUP(E992,TabProd,5,FALSE),0)+SUMIFS($H$5:H992,$E$5:E992,E992)-SUMIFS($I$5:I992,$E$5:E992,E992))</f>
        <v/>
      </c>
      <c r="K992" s="7"/>
      <c r="L992" s="7"/>
      <c r="M992" s="1" t="str">
        <f>IF(E992="","",E992&amp;"|"&amp;COUNTIF($E$5:E992,E992))</f>
        <v/>
      </c>
    </row>
    <row r="993" spans="2:702" x14ac:dyDescent="0.2">
      <c r="B993" s="10"/>
      <c r="C993" s="7"/>
      <c r="D993" s="11"/>
      <c r="E993" s="6"/>
      <c r="F993" s="12" t="str">
        <f t="shared" si="30"/>
        <v/>
      </c>
      <c r="G993" s="13" t="str">
        <f t="shared" si="31"/>
        <v/>
      </c>
      <c r="H993" s="9"/>
      <c r="I993" s="9"/>
      <c r="J993" s="14" t="str">
        <f>IF(E993="","",IFERROR(VLOOKUP(E993,TabProd,5,FALSE),0)+SUMIFS($H$5:H993,$E$5:E993,E993)-SUMIFS($I$5:I993,$E$5:E993,E993))</f>
        <v/>
      </c>
      <c r="K993" s="7"/>
      <c r="L993" s="7"/>
      <c r="M993" s="1" t="str">
        <f>IF(E993="","",E993&amp;"|"&amp;COUNTIF($E$5:E993,E993))</f>
        <v/>
      </c>
    </row>
    <row r="994" spans="2:702" x14ac:dyDescent="0.2">
      <c r="B994" s="10"/>
      <c r="C994" s="7"/>
      <c r="D994" s="11"/>
      <c r="E994" s="6"/>
      <c r="F994" s="12" t="str">
        <f t="shared" si="30"/>
        <v/>
      </c>
      <c r="G994" s="13" t="str">
        <f t="shared" si="31"/>
        <v/>
      </c>
      <c r="H994" s="9"/>
      <c r="I994" s="9"/>
      <c r="J994" s="14" t="str">
        <f>IF(E994="","",IFERROR(VLOOKUP(E994,TabProd,5,FALSE),0)+SUMIFS($H$5:H994,$E$5:E994,E994)-SUMIFS($I$5:I994,$E$5:E994,E994))</f>
        <v/>
      </c>
      <c r="K994" s="7"/>
      <c r="L994" s="7"/>
      <c r="M994" s="1" t="str">
        <f>IF(E994="","",E994&amp;"|"&amp;COUNTIF($E$5:E994,E994))</f>
        <v/>
      </c>
    </row>
    <row r="995" spans="2:702" x14ac:dyDescent="0.2">
      <c r="B995" s="10"/>
      <c r="C995" s="7"/>
      <c r="D995" s="11"/>
      <c r="E995" s="6"/>
      <c r="F995" s="12" t="str">
        <f t="shared" si="30"/>
        <v/>
      </c>
      <c r="G995" s="13" t="str">
        <f t="shared" si="31"/>
        <v/>
      </c>
      <c r="H995" s="9"/>
      <c r="I995" s="9"/>
      <c r="J995" s="14" t="str">
        <f>IF(E995="","",IFERROR(VLOOKUP(E995,TabProd,5,FALSE),0)+SUMIFS($H$5:H995,$E$5:E995,E995)-SUMIFS($I$5:I995,$E$5:E995,E995))</f>
        <v/>
      </c>
      <c r="K995" s="7"/>
      <c r="L995" s="7"/>
      <c r="M995" s="1" t="str">
        <f>IF(E995="","",E995&amp;"|"&amp;COUNTIF($E$5:E995,E995))</f>
        <v/>
      </c>
    </row>
    <row r="996" spans="2:702" x14ac:dyDescent="0.2">
      <c r="B996" s="10"/>
      <c r="C996" s="7"/>
      <c r="D996" s="11"/>
      <c r="E996" s="6"/>
      <c r="F996" s="12" t="str">
        <f t="shared" si="30"/>
        <v/>
      </c>
      <c r="G996" s="13" t="str">
        <f t="shared" si="31"/>
        <v/>
      </c>
      <c r="H996" s="9"/>
      <c r="I996" s="9"/>
      <c r="J996" s="14" t="str">
        <f>IF(E996="","",IFERROR(VLOOKUP(E996,TabProd,5,FALSE),0)+SUMIFS($H$5:H996,$E$5:E996,E996)-SUMIFS($I$5:I996,$E$5:E996,E996))</f>
        <v/>
      </c>
      <c r="K996" s="7"/>
      <c r="L996" s="7"/>
      <c r="M996" s="1" t="str">
        <f>IF(E996="","",E996&amp;"|"&amp;COUNTIF($E$5:E996,E996))</f>
        <v/>
      </c>
    </row>
    <row r="997" spans="2:702" x14ac:dyDescent="0.2">
      <c r="B997" s="10"/>
      <c r="C997" s="7"/>
      <c r="D997" s="11"/>
      <c r="E997" s="6"/>
      <c r="F997" s="12" t="str">
        <f t="shared" si="30"/>
        <v/>
      </c>
      <c r="G997" s="13" t="str">
        <f t="shared" si="31"/>
        <v/>
      </c>
      <c r="H997" s="9"/>
      <c r="I997" s="9"/>
      <c r="J997" s="14" t="str">
        <f>IF(E997="","",IFERROR(VLOOKUP(E997,TabProd,5,FALSE),0)+SUMIFS($H$5:H997,$E$5:E997,E997)-SUMIFS($I$5:I997,$E$5:E997,E997))</f>
        <v/>
      </c>
      <c r="K997" s="7"/>
      <c r="L997" s="7"/>
      <c r="M997" s="1" t="str">
        <f>IF(E997="","",E997&amp;"|"&amp;COUNTIF($E$5:E997,E997))</f>
        <v/>
      </c>
    </row>
    <row r="998" spans="2:702" x14ac:dyDescent="0.2">
      <c r="B998" s="10"/>
      <c r="C998" s="7"/>
      <c r="D998" s="11"/>
      <c r="E998" s="6"/>
      <c r="F998" s="12" t="str">
        <f t="shared" si="30"/>
        <v/>
      </c>
      <c r="G998" s="13" t="str">
        <f t="shared" si="31"/>
        <v/>
      </c>
      <c r="H998" s="9"/>
      <c r="I998" s="9"/>
      <c r="J998" s="14" t="str">
        <f>IF(E998="","",IFERROR(VLOOKUP(E998,TabProd,5,FALSE),0)+SUMIFS($H$5:H998,$E$5:E998,E998)-SUMIFS($I$5:I998,$E$5:E998,E998))</f>
        <v/>
      </c>
      <c r="K998" s="7"/>
      <c r="L998" s="7"/>
      <c r="M998" s="1" t="str">
        <f>IF(E998="","",E998&amp;"|"&amp;COUNTIF($E$5:E998,E998))</f>
        <v/>
      </c>
    </row>
    <row r="999" spans="2:702" x14ac:dyDescent="0.2">
      <c r="B999" s="10"/>
      <c r="C999" s="7"/>
      <c r="D999" s="11"/>
      <c r="E999" s="6"/>
      <c r="F999" s="12" t="str">
        <f t="shared" si="30"/>
        <v/>
      </c>
      <c r="G999" s="13" t="str">
        <f t="shared" si="31"/>
        <v/>
      </c>
      <c r="H999" s="9"/>
      <c r="I999" s="9"/>
      <c r="J999" s="14" t="str">
        <f>IF(E999="","",IFERROR(VLOOKUP(E999,TabProd,5,FALSE),0)+SUMIFS($H$5:H999,$E$5:E999,E999)-SUMIFS($I$5:I999,$E$5:E999,E999))</f>
        <v/>
      </c>
      <c r="K999" s="7"/>
      <c r="L999" s="7"/>
      <c r="M999" s="1" t="str">
        <f>IF(E999="","",E999&amp;"|"&amp;COUNTIF($E$5:E999,E999))</f>
        <v/>
      </c>
    </row>
    <row r="1000" spans="2:702" ht="15" x14ac:dyDescent="0.25">
      <c r="B1000" s="10"/>
      <c r="C1000" s="7"/>
      <c r="D1000" s="11"/>
      <c r="E1000" s="6"/>
      <c r="F1000" s="12" t="str">
        <f t="shared" si="30"/>
        <v/>
      </c>
      <c r="G1000" s="13" t="str">
        <f t="shared" si="31"/>
        <v/>
      </c>
      <c r="H1000" s="9"/>
      <c r="I1000" s="9"/>
      <c r="J1000" s="14" t="str">
        <f>IF(E1000="","",IFERROR(VLOOKUP(E1000,TabProd,5,FALSE),0)+SUMIFS($H$5:H1000,$E$5:E1000,E1000)-SUMIFS($I$5:I1000,$E$5:E1000,E1000))</f>
        <v/>
      </c>
      <c r="K1000" s="7"/>
      <c r="L1000" s="7"/>
      <c r="M1000" s="1" t="str">
        <f>IF(E1000="","",E1000&amp;"|"&amp;COUNTIF($E$5:E1000,E1000))</f>
        <v/>
      </c>
      <c r="ZZ1000"/>
    </row>
    <row r="1001" spans="2:702" x14ac:dyDescent="0.2">
      <c r="B1001" s="10"/>
      <c r="C1001" s="7"/>
      <c r="D1001" s="11"/>
      <c r="E1001" s="6"/>
      <c r="F1001" s="12" t="str">
        <f t="shared" si="30"/>
        <v/>
      </c>
      <c r="G1001" s="13" t="str">
        <f t="shared" si="31"/>
        <v/>
      </c>
      <c r="H1001" s="9"/>
      <c r="I1001" s="9"/>
      <c r="J1001" s="14" t="str">
        <f>IF(E1001="","",IFERROR(VLOOKUP(E1001,TabProd,5,FALSE),0)+SUMIFS($H$5:H1001,$E$5:E1001,E1001)-SUMIFS($I$5:I1001,$E$5:E1001,E1001))</f>
        <v/>
      </c>
      <c r="K1001" s="7"/>
      <c r="L1001" s="7"/>
      <c r="M1001" s="1" t="str">
        <f>IF(E1001="","",E1001&amp;"|"&amp;COUNTIF($E$5:E1001,E1001))</f>
        <v/>
      </c>
    </row>
    <row r="1002" spans="2:702" x14ac:dyDescent="0.2">
      <c r="B1002" s="10"/>
      <c r="C1002" s="7"/>
      <c r="D1002" s="11"/>
      <c r="E1002" s="6"/>
      <c r="F1002" s="12" t="str">
        <f t="shared" si="30"/>
        <v/>
      </c>
      <c r="G1002" s="13" t="str">
        <f t="shared" si="31"/>
        <v/>
      </c>
      <c r="H1002" s="9"/>
      <c r="I1002" s="9"/>
      <c r="J1002" s="14" t="str">
        <f>IF(E1002="","",IFERROR(VLOOKUP(E1002,TabProd,5,FALSE),0)+SUMIFS($H$5:H1002,$E$5:E1002,E1002)-SUMIFS($I$5:I1002,$E$5:E1002,E1002))</f>
        <v/>
      </c>
      <c r="K1002" s="7"/>
      <c r="L1002" s="7"/>
      <c r="M1002" s="1" t="str">
        <f>IF(E1002="","",E1002&amp;"|"&amp;COUNTIF($E$5:E1002,E1002))</f>
        <v/>
      </c>
    </row>
    <row r="1003" spans="2:702" x14ac:dyDescent="0.2">
      <c r="B1003" s="10"/>
      <c r="C1003" s="7"/>
      <c r="D1003" s="11"/>
      <c r="E1003" s="6"/>
      <c r="F1003" s="12" t="str">
        <f t="shared" si="30"/>
        <v/>
      </c>
      <c r="G1003" s="13" t="str">
        <f t="shared" si="31"/>
        <v/>
      </c>
      <c r="H1003" s="9"/>
      <c r="I1003" s="9"/>
      <c r="J1003" s="14" t="str">
        <f>IF(E1003="","",IFERROR(VLOOKUP(E1003,TabProd,5,FALSE),0)+SUMIFS($H$5:H1003,$E$5:E1003,E1003)-SUMIFS($I$5:I1003,$E$5:E1003,E1003))</f>
        <v/>
      </c>
      <c r="K1003" s="7"/>
      <c r="L1003" s="7"/>
      <c r="M1003" s="1" t="str">
        <f>IF(E1003="","",E1003&amp;"|"&amp;COUNTIF($E$5:E1003,E1003))</f>
        <v/>
      </c>
    </row>
    <row r="1004" spans="2:702" x14ac:dyDescent="0.2">
      <c r="B1004" s="10"/>
      <c r="C1004" s="7"/>
      <c r="D1004" s="11"/>
      <c r="E1004" s="6"/>
      <c r="F1004" s="12" t="str">
        <f t="shared" si="30"/>
        <v/>
      </c>
      <c r="G1004" s="13" t="str">
        <f t="shared" si="31"/>
        <v/>
      </c>
      <c r="H1004" s="9"/>
      <c r="I1004" s="9"/>
      <c r="J1004" s="14" t="str">
        <f>IF(E1004="","",IFERROR(VLOOKUP(E1004,TabProd,5,FALSE),0)+SUMIFS($H$5:H1004,$E$5:E1004,E1004)-SUMIFS($I$5:I1004,$E$5:E1004,E1004))</f>
        <v/>
      </c>
      <c r="K1004" s="7"/>
      <c r="L1004" s="7"/>
      <c r="M1004" s="1" t="str">
        <f>IF(E1004="","",E1004&amp;"|"&amp;COUNTIF($E$5:E1004,E1004))</f>
        <v/>
      </c>
    </row>
    <row r="1005" spans="2:702" x14ac:dyDescent="0.2">
      <c r="B1005" s="10"/>
      <c r="C1005" s="7"/>
      <c r="D1005" s="11"/>
      <c r="E1005" s="6"/>
      <c r="F1005" s="12" t="str">
        <f t="shared" si="30"/>
        <v/>
      </c>
      <c r="G1005" s="13" t="str">
        <f t="shared" si="31"/>
        <v/>
      </c>
      <c r="H1005" s="9"/>
      <c r="I1005" s="9"/>
      <c r="J1005" s="14" t="str">
        <f>IF(E1005="","",IFERROR(VLOOKUP(E1005,TabProd,5,FALSE),0)+SUMIFS($H$5:H1005,$E$5:E1005,E1005)-SUMIFS($I$5:I1005,$E$5:E1005,E1005))</f>
        <v/>
      </c>
      <c r="K1005" s="7"/>
      <c r="L1005" s="7"/>
      <c r="M1005" s="1" t="str">
        <f>IF(E1005="","",E1005&amp;"|"&amp;COUNTIF($E$5:E1005,E1005))</f>
        <v/>
      </c>
    </row>
    <row r="1006" spans="2:702" x14ac:dyDescent="0.2">
      <c r="B1006" s="10"/>
      <c r="C1006" s="7"/>
      <c r="D1006" s="11"/>
      <c r="E1006" s="6"/>
      <c r="F1006" s="12" t="str">
        <f t="shared" si="30"/>
        <v/>
      </c>
      <c r="G1006" s="13" t="str">
        <f t="shared" si="31"/>
        <v/>
      </c>
      <c r="H1006" s="9"/>
      <c r="I1006" s="9"/>
      <c r="J1006" s="14" t="str">
        <f>IF(E1006="","",IFERROR(VLOOKUP(E1006,TabProd,5,FALSE),0)+SUMIFS($H$5:H1006,$E$5:E1006,E1006)-SUMIFS($I$5:I1006,$E$5:E1006,E1006))</f>
        <v/>
      </c>
      <c r="K1006" s="7"/>
      <c r="L1006" s="7"/>
      <c r="M1006" s="1" t="str">
        <f>IF(E1006="","",E1006&amp;"|"&amp;COUNTIF($E$5:E1006,E1006))</f>
        <v/>
      </c>
    </row>
    <row r="1007" spans="2:702" x14ac:dyDescent="0.2">
      <c r="B1007" s="10"/>
      <c r="C1007" s="7"/>
      <c r="D1007" s="11"/>
      <c r="E1007" s="6"/>
      <c r="F1007" s="12" t="str">
        <f t="shared" si="30"/>
        <v/>
      </c>
      <c r="G1007" s="13" t="str">
        <f t="shared" si="31"/>
        <v/>
      </c>
      <c r="H1007" s="9"/>
      <c r="I1007" s="9"/>
      <c r="J1007" s="14" t="str">
        <f>IF(E1007="","",IFERROR(VLOOKUP(E1007,TabProd,5,FALSE),0)+SUMIFS($H$5:H1007,$E$5:E1007,E1007)-SUMIFS($I$5:I1007,$E$5:E1007,E1007))</f>
        <v/>
      </c>
      <c r="K1007" s="7"/>
      <c r="L1007" s="7"/>
      <c r="M1007" s="1" t="str">
        <f>IF(E1007="","",E1007&amp;"|"&amp;COUNTIF($E$5:E1007,E1007))</f>
        <v/>
      </c>
    </row>
    <row r="1008" spans="2:702" x14ac:dyDescent="0.2">
      <c r="B1008" s="10"/>
      <c r="C1008" s="7"/>
      <c r="D1008" s="11"/>
      <c r="E1008" s="6"/>
      <c r="F1008" s="12" t="str">
        <f t="shared" si="30"/>
        <v/>
      </c>
      <c r="G1008" s="13" t="str">
        <f t="shared" si="31"/>
        <v/>
      </c>
      <c r="H1008" s="9"/>
      <c r="I1008" s="9"/>
      <c r="J1008" s="14" t="str">
        <f>IF(E1008="","",IFERROR(VLOOKUP(E1008,TabProd,5,FALSE),0)+SUMIFS($H$5:H1008,$E$5:E1008,E1008)-SUMIFS($I$5:I1008,$E$5:E1008,E1008))</f>
        <v/>
      </c>
      <c r="K1008" s="7"/>
      <c r="L1008" s="7"/>
      <c r="M1008" s="1" t="str">
        <f>IF(E1008="","",E1008&amp;"|"&amp;COUNTIF($E$5:E1008,E1008))</f>
        <v/>
      </c>
    </row>
    <row r="1009" spans="2:13" x14ac:dyDescent="0.2">
      <c r="B1009" s="10"/>
      <c r="C1009" s="7"/>
      <c r="D1009" s="11"/>
      <c r="E1009" s="6"/>
      <c r="F1009" s="12" t="str">
        <f t="shared" si="30"/>
        <v/>
      </c>
      <c r="G1009" s="13" t="str">
        <f t="shared" si="31"/>
        <v/>
      </c>
      <c r="H1009" s="9"/>
      <c r="I1009" s="9"/>
      <c r="J1009" s="14" t="str">
        <f>IF(E1009="","",IFERROR(VLOOKUP(E1009,TabProd,5,FALSE),0)+SUMIFS($H$5:H1009,$E$5:E1009,E1009)-SUMIFS($I$5:I1009,$E$5:E1009,E1009))</f>
        <v/>
      </c>
      <c r="K1009" s="7"/>
      <c r="L1009" s="7"/>
      <c r="M1009" s="1" t="str">
        <f>IF(E1009="","",E1009&amp;"|"&amp;COUNTIF($E$5:E1009,E1009))</f>
        <v/>
      </c>
    </row>
    <row r="1010" spans="2:13" x14ac:dyDescent="0.2">
      <c r="B1010" s="10"/>
      <c r="C1010" s="7"/>
      <c r="D1010" s="11"/>
      <c r="E1010" s="6"/>
      <c r="F1010" s="12" t="str">
        <f t="shared" si="30"/>
        <v/>
      </c>
      <c r="G1010" s="13" t="str">
        <f t="shared" si="31"/>
        <v/>
      </c>
      <c r="H1010" s="9"/>
      <c r="I1010" s="9"/>
      <c r="J1010" s="14" t="str">
        <f>IF(E1010="","",IFERROR(VLOOKUP(E1010,TabProd,5,FALSE),0)+SUMIFS($H$5:H1010,$E$5:E1010,E1010)-SUMIFS($I$5:I1010,$E$5:E1010,E1010))</f>
        <v/>
      </c>
      <c r="K1010" s="7"/>
      <c r="L1010" s="7"/>
      <c r="M1010" s="1" t="str">
        <f>IF(E1010="","",E1010&amp;"|"&amp;COUNTIF($E$5:E1010,E1010))</f>
        <v/>
      </c>
    </row>
    <row r="1011" spans="2:13" x14ac:dyDescent="0.2">
      <c r="B1011" s="10"/>
      <c r="C1011" s="7"/>
      <c r="D1011" s="11"/>
      <c r="E1011" s="6"/>
      <c r="F1011" s="12" t="str">
        <f t="shared" si="30"/>
        <v/>
      </c>
      <c r="G1011" s="13" t="str">
        <f t="shared" si="31"/>
        <v/>
      </c>
      <c r="H1011" s="9"/>
      <c r="I1011" s="9"/>
      <c r="J1011" s="14" t="str">
        <f>IF(E1011="","",IFERROR(VLOOKUP(E1011,TabProd,5,FALSE),0)+SUMIFS($H$5:H1011,$E$5:E1011,E1011)-SUMIFS($I$5:I1011,$E$5:E1011,E1011))</f>
        <v/>
      </c>
      <c r="K1011" s="7"/>
      <c r="L1011" s="7"/>
      <c r="M1011" s="1" t="str">
        <f>IF(E1011="","",E1011&amp;"|"&amp;COUNTIF($E$5:E1011,E1011))</f>
        <v/>
      </c>
    </row>
    <row r="1012" spans="2:13" x14ac:dyDescent="0.2">
      <c r="B1012" s="10"/>
      <c r="C1012" s="7"/>
      <c r="D1012" s="11"/>
      <c r="E1012" s="6"/>
      <c r="F1012" s="12" t="str">
        <f t="shared" si="30"/>
        <v/>
      </c>
      <c r="G1012" s="13" t="str">
        <f t="shared" si="31"/>
        <v/>
      </c>
      <c r="H1012" s="9"/>
      <c r="I1012" s="9"/>
      <c r="J1012" s="14" t="str">
        <f>IF(E1012="","",IFERROR(VLOOKUP(E1012,TabProd,5,FALSE),0)+SUMIFS($H$5:H1012,$E$5:E1012,E1012)-SUMIFS($I$5:I1012,$E$5:E1012,E1012))</f>
        <v/>
      </c>
      <c r="K1012" s="7"/>
      <c r="L1012" s="7"/>
      <c r="M1012" s="1" t="str">
        <f>IF(E1012="","",E1012&amp;"|"&amp;COUNTIF($E$5:E1012,E1012))</f>
        <v/>
      </c>
    </row>
    <row r="1013" spans="2:13" x14ac:dyDescent="0.2">
      <c r="B1013" s="10"/>
      <c r="C1013" s="7"/>
      <c r="D1013" s="11"/>
      <c r="E1013" s="6"/>
      <c r="F1013" s="12" t="str">
        <f t="shared" si="30"/>
        <v/>
      </c>
      <c r="G1013" s="13" t="str">
        <f t="shared" si="31"/>
        <v/>
      </c>
      <c r="H1013" s="9"/>
      <c r="I1013" s="9"/>
      <c r="J1013" s="14" t="str">
        <f>IF(E1013="","",IFERROR(VLOOKUP(E1013,TabProd,5,FALSE),0)+SUMIFS($H$5:H1013,$E$5:E1013,E1013)-SUMIFS($I$5:I1013,$E$5:E1013,E1013))</f>
        <v/>
      </c>
      <c r="K1013" s="7"/>
      <c r="L1013" s="7"/>
      <c r="M1013" s="1" t="str">
        <f>IF(E1013="","",E1013&amp;"|"&amp;COUNTIF($E$5:E1013,E1013))</f>
        <v/>
      </c>
    </row>
    <row r="1014" spans="2:13" x14ac:dyDescent="0.2">
      <c r="B1014" s="10"/>
      <c r="C1014" s="7"/>
      <c r="D1014" s="11"/>
      <c r="E1014" s="6"/>
      <c r="F1014" s="12" t="str">
        <f t="shared" si="30"/>
        <v/>
      </c>
      <c r="G1014" s="13" t="str">
        <f t="shared" si="31"/>
        <v/>
      </c>
      <c r="H1014" s="9"/>
      <c r="I1014" s="9"/>
      <c r="J1014" s="14" t="str">
        <f>IF(E1014="","",IFERROR(VLOOKUP(E1014,TabProd,5,FALSE),0)+SUMIFS($H$5:H1014,$E$5:E1014,E1014)-SUMIFS($I$5:I1014,$E$5:E1014,E1014))</f>
        <v/>
      </c>
      <c r="K1014" s="7"/>
      <c r="L1014" s="7"/>
      <c r="M1014" s="1" t="str">
        <f>IF(E1014="","",E1014&amp;"|"&amp;COUNTIF($E$5:E1014,E1014))</f>
        <v/>
      </c>
    </row>
    <row r="1015" spans="2:13" x14ac:dyDescent="0.2">
      <c r="B1015" s="10"/>
      <c r="C1015" s="7"/>
      <c r="D1015" s="11"/>
      <c r="E1015" s="6"/>
      <c r="F1015" s="12" t="str">
        <f t="shared" si="30"/>
        <v/>
      </c>
      <c r="G1015" s="13" t="str">
        <f t="shared" si="31"/>
        <v/>
      </c>
      <c r="H1015" s="9"/>
      <c r="I1015" s="9"/>
      <c r="J1015" s="14" t="str">
        <f>IF(E1015="","",IFERROR(VLOOKUP(E1015,TabProd,5,FALSE),0)+SUMIFS($H$5:H1015,$E$5:E1015,E1015)-SUMIFS($I$5:I1015,$E$5:E1015,E1015))</f>
        <v/>
      </c>
      <c r="K1015" s="7"/>
      <c r="L1015" s="7"/>
      <c r="M1015" s="1" t="str">
        <f>IF(E1015="","",E1015&amp;"|"&amp;COUNTIF($E$5:E1015,E1015))</f>
        <v/>
      </c>
    </row>
    <row r="1016" spans="2:13" x14ac:dyDescent="0.2">
      <c r="B1016" s="10"/>
      <c r="C1016" s="7"/>
      <c r="D1016" s="11"/>
      <c r="E1016" s="6"/>
      <c r="F1016" s="12" t="str">
        <f t="shared" si="30"/>
        <v/>
      </c>
      <c r="G1016" s="13" t="str">
        <f t="shared" si="31"/>
        <v/>
      </c>
      <c r="H1016" s="9"/>
      <c r="I1016" s="9"/>
      <c r="J1016" s="14" t="str">
        <f>IF(E1016="","",IFERROR(VLOOKUP(E1016,TabProd,5,FALSE),0)+SUMIFS($H$5:H1016,$E$5:E1016,E1016)-SUMIFS($I$5:I1016,$E$5:E1016,E1016))</f>
        <v/>
      </c>
      <c r="K1016" s="7"/>
      <c r="L1016" s="7"/>
      <c r="M1016" s="1" t="str">
        <f>IF(E1016="","",E1016&amp;"|"&amp;COUNTIF($E$5:E1016,E1016))</f>
        <v/>
      </c>
    </row>
    <row r="1017" spans="2:13" x14ac:dyDescent="0.2">
      <c r="B1017" s="10"/>
      <c r="C1017" s="7"/>
      <c r="D1017" s="11"/>
      <c r="E1017" s="6"/>
      <c r="F1017" s="12" t="str">
        <f t="shared" si="30"/>
        <v/>
      </c>
      <c r="G1017" s="13" t="str">
        <f t="shared" si="31"/>
        <v/>
      </c>
      <c r="H1017" s="9"/>
      <c r="I1017" s="9"/>
      <c r="J1017" s="14" t="str">
        <f>IF(E1017="","",IFERROR(VLOOKUP(E1017,TabProd,5,FALSE),0)+SUMIFS($H$5:H1017,$E$5:E1017,E1017)-SUMIFS($I$5:I1017,$E$5:E1017,E1017))</f>
        <v/>
      </c>
      <c r="K1017" s="7"/>
      <c r="L1017" s="7"/>
      <c r="M1017" s="1" t="str">
        <f>IF(E1017="","",E1017&amp;"|"&amp;COUNTIF($E$5:E1017,E1017))</f>
        <v/>
      </c>
    </row>
    <row r="1018" spans="2:13" x14ac:dyDescent="0.2">
      <c r="B1018" s="10"/>
      <c r="C1018" s="7"/>
      <c r="D1018" s="11"/>
      <c r="E1018" s="6"/>
      <c r="F1018" s="12" t="str">
        <f t="shared" si="30"/>
        <v/>
      </c>
      <c r="G1018" s="13" t="str">
        <f t="shared" si="31"/>
        <v/>
      </c>
      <c r="H1018" s="9"/>
      <c r="I1018" s="9"/>
      <c r="J1018" s="14" t="str">
        <f>IF(E1018="","",IFERROR(VLOOKUP(E1018,TabProd,5,FALSE),0)+SUMIFS($H$5:H1018,$E$5:E1018,E1018)-SUMIFS($I$5:I1018,$E$5:E1018,E1018))</f>
        <v/>
      </c>
      <c r="K1018" s="7"/>
      <c r="L1018" s="7"/>
      <c r="M1018" s="1" t="str">
        <f>IF(E1018="","",E1018&amp;"|"&amp;COUNTIF($E$5:E1018,E1018))</f>
        <v/>
      </c>
    </row>
    <row r="1019" spans="2:13" x14ac:dyDescent="0.2">
      <c r="B1019" s="10"/>
      <c r="C1019" s="7"/>
      <c r="D1019" s="11"/>
      <c r="E1019" s="6"/>
      <c r="F1019" s="12" t="str">
        <f t="shared" si="30"/>
        <v/>
      </c>
      <c r="G1019" s="13" t="str">
        <f t="shared" si="31"/>
        <v/>
      </c>
      <c r="H1019" s="9"/>
      <c r="I1019" s="9"/>
      <c r="J1019" s="14" t="str">
        <f>IF(E1019="","",IFERROR(VLOOKUP(E1019,TabProd,5,FALSE),0)+SUMIFS($H$5:H1019,$E$5:E1019,E1019)-SUMIFS($I$5:I1019,$E$5:E1019,E1019))</f>
        <v/>
      </c>
      <c r="K1019" s="7"/>
      <c r="L1019" s="7"/>
      <c r="M1019" s="1" t="str">
        <f>IF(E1019="","",E1019&amp;"|"&amp;COUNTIF($E$5:E1019,E1019))</f>
        <v/>
      </c>
    </row>
    <row r="1020" spans="2:13" x14ac:dyDescent="0.2">
      <c r="B1020" s="10"/>
      <c r="C1020" s="7"/>
      <c r="D1020" s="11"/>
      <c r="E1020" s="6"/>
      <c r="F1020" s="12" t="str">
        <f t="shared" si="30"/>
        <v/>
      </c>
      <c r="G1020" s="13" t="str">
        <f t="shared" si="31"/>
        <v/>
      </c>
      <c r="H1020" s="9"/>
      <c r="I1020" s="9"/>
      <c r="J1020" s="14" t="str">
        <f>IF(E1020="","",IFERROR(VLOOKUP(E1020,TabProd,5,FALSE),0)+SUMIFS($H$5:H1020,$E$5:E1020,E1020)-SUMIFS($I$5:I1020,$E$5:E1020,E1020))</f>
        <v/>
      </c>
      <c r="K1020" s="7"/>
      <c r="L1020" s="7"/>
      <c r="M1020" s="1" t="str">
        <f>IF(E1020="","",E1020&amp;"|"&amp;COUNTIF($E$5:E1020,E1020))</f>
        <v/>
      </c>
    </row>
    <row r="1021" spans="2:13" x14ac:dyDescent="0.2">
      <c r="B1021" s="10"/>
      <c r="C1021" s="7"/>
      <c r="D1021" s="11"/>
      <c r="E1021" s="6"/>
      <c r="F1021" s="12" t="str">
        <f t="shared" si="30"/>
        <v/>
      </c>
      <c r="G1021" s="13" t="str">
        <f t="shared" si="31"/>
        <v/>
      </c>
      <c r="H1021" s="9"/>
      <c r="I1021" s="9"/>
      <c r="J1021" s="14" t="str">
        <f>IF(E1021="","",IFERROR(VLOOKUP(E1021,TabProd,5,FALSE),0)+SUMIFS($H$5:H1021,$E$5:E1021,E1021)-SUMIFS($I$5:I1021,$E$5:E1021,E1021))</f>
        <v/>
      </c>
      <c r="K1021" s="7"/>
      <c r="L1021" s="7"/>
      <c r="M1021" s="1" t="str">
        <f>IF(E1021="","",E1021&amp;"|"&amp;COUNTIF($E$5:E1021,E1021))</f>
        <v/>
      </c>
    </row>
    <row r="1022" spans="2:13" x14ac:dyDescent="0.2">
      <c r="B1022" s="10"/>
      <c r="C1022" s="7"/>
      <c r="D1022" s="11"/>
      <c r="E1022" s="6"/>
      <c r="F1022" s="12" t="str">
        <f t="shared" si="30"/>
        <v/>
      </c>
      <c r="G1022" s="13" t="str">
        <f t="shared" si="31"/>
        <v/>
      </c>
      <c r="H1022" s="9"/>
      <c r="I1022" s="9"/>
      <c r="J1022" s="14" t="str">
        <f>IF(E1022="","",IFERROR(VLOOKUP(E1022,TabProd,5,FALSE),0)+SUMIFS($H$5:H1022,$E$5:E1022,E1022)-SUMIFS($I$5:I1022,$E$5:E1022,E1022))</f>
        <v/>
      </c>
      <c r="K1022" s="7"/>
      <c r="L1022" s="7"/>
      <c r="M1022" s="1" t="str">
        <f>IF(E1022="","",E1022&amp;"|"&amp;COUNTIF($E$5:E1022,E1022))</f>
        <v/>
      </c>
    </row>
    <row r="1023" spans="2:13" x14ac:dyDescent="0.2">
      <c r="B1023" s="10"/>
      <c r="C1023" s="7"/>
      <c r="D1023" s="11"/>
      <c r="E1023" s="6"/>
      <c r="F1023" s="12" t="str">
        <f t="shared" si="30"/>
        <v/>
      </c>
      <c r="G1023" s="13" t="str">
        <f t="shared" si="31"/>
        <v/>
      </c>
      <c r="H1023" s="9"/>
      <c r="I1023" s="9"/>
      <c r="J1023" s="14" t="str">
        <f>IF(E1023="","",IFERROR(VLOOKUP(E1023,TabProd,5,FALSE),0)+SUMIFS($H$5:H1023,$E$5:E1023,E1023)-SUMIFS($I$5:I1023,$E$5:E1023,E1023))</f>
        <v/>
      </c>
      <c r="K1023" s="7"/>
      <c r="L1023" s="7"/>
      <c r="M1023" s="1" t="str">
        <f>IF(E1023="","",E1023&amp;"|"&amp;COUNTIF($E$5:E1023,E1023))</f>
        <v/>
      </c>
    </row>
    <row r="1024" spans="2:13" x14ac:dyDescent="0.2">
      <c r="B1024" s="10"/>
      <c r="C1024" s="7"/>
      <c r="D1024" s="11"/>
      <c r="E1024" s="6"/>
      <c r="F1024" s="12" t="str">
        <f t="shared" si="30"/>
        <v/>
      </c>
      <c r="G1024" s="13" t="str">
        <f t="shared" si="31"/>
        <v/>
      </c>
      <c r="H1024" s="9"/>
      <c r="I1024" s="9"/>
      <c r="J1024" s="14" t="str">
        <f>IF(E1024="","",IFERROR(VLOOKUP(E1024,TabProd,5,FALSE),0)+SUMIFS($H$5:H1024,$E$5:E1024,E1024)-SUMIFS($I$5:I1024,$E$5:E1024,E1024))</f>
        <v/>
      </c>
      <c r="K1024" s="7"/>
      <c r="L1024" s="7"/>
      <c r="M1024" s="1" t="str">
        <f>IF(E1024="","",E1024&amp;"|"&amp;COUNTIF($E$5:E1024,E1024))</f>
        <v/>
      </c>
    </row>
    <row r="1025" spans="2:13" x14ac:dyDescent="0.2">
      <c r="B1025" s="10"/>
      <c r="C1025" s="7"/>
      <c r="D1025" s="11"/>
      <c r="E1025" s="6"/>
      <c r="F1025" s="12" t="str">
        <f t="shared" si="30"/>
        <v/>
      </c>
      <c r="G1025" s="13" t="str">
        <f t="shared" si="31"/>
        <v/>
      </c>
      <c r="H1025" s="9"/>
      <c r="I1025" s="9"/>
      <c r="J1025" s="14" t="str">
        <f>IF(E1025="","",IFERROR(VLOOKUP(E1025,TabProd,5,FALSE),0)+SUMIFS($H$5:H1025,$E$5:E1025,E1025)-SUMIFS($I$5:I1025,$E$5:E1025,E1025))</f>
        <v/>
      </c>
      <c r="K1025" s="7"/>
      <c r="L1025" s="7"/>
      <c r="M1025" s="1" t="str">
        <f>IF(E1025="","",E1025&amp;"|"&amp;COUNTIF($E$5:E1025,E1025))</f>
        <v/>
      </c>
    </row>
    <row r="1026" spans="2:13" x14ac:dyDescent="0.2">
      <c r="B1026" s="10"/>
      <c r="C1026" s="7"/>
      <c r="D1026" s="11"/>
      <c r="E1026" s="6"/>
      <c r="F1026" s="12" t="str">
        <f t="shared" si="30"/>
        <v/>
      </c>
      <c r="G1026" s="13" t="str">
        <f t="shared" si="31"/>
        <v/>
      </c>
      <c r="H1026" s="9"/>
      <c r="I1026" s="9"/>
      <c r="J1026" s="14" t="str">
        <f>IF(E1026="","",IFERROR(VLOOKUP(E1026,TabProd,5,FALSE),0)+SUMIFS($H$5:H1026,$E$5:E1026,E1026)-SUMIFS($I$5:I1026,$E$5:E1026,E1026))</f>
        <v/>
      </c>
      <c r="K1026" s="7"/>
      <c r="L1026" s="7"/>
      <c r="M1026" s="1" t="str">
        <f>IF(E1026="","",E1026&amp;"|"&amp;COUNTIF($E$5:E1026,E1026))</f>
        <v/>
      </c>
    </row>
    <row r="1027" spans="2:13" x14ac:dyDescent="0.2">
      <c r="B1027" s="10"/>
      <c r="C1027" s="7"/>
      <c r="D1027" s="11"/>
      <c r="E1027" s="6"/>
      <c r="F1027" s="12" t="str">
        <f t="shared" si="30"/>
        <v/>
      </c>
      <c r="G1027" s="13" t="str">
        <f t="shared" si="31"/>
        <v/>
      </c>
      <c r="H1027" s="9"/>
      <c r="I1027" s="9"/>
      <c r="J1027" s="14" t="str">
        <f>IF(E1027="","",IFERROR(VLOOKUP(E1027,TabProd,5,FALSE),0)+SUMIFS($H$5:H1027,$E$5:E1027,E1027)-SUMIFS($I$5:I1027,$E$5:E1027,E1027))</f>
        <v/>
      </c>
      <c r="K1027" s="7"/>
      <c r="L1027" s="7"/>
      <c r="M1027" s="1" t="str">
        <f>IF(E1027="","",E1027&amp;"|"&amp;COUNTIF($E$5:E1027,E1027))</f>
        <v/>
      </c>
    </row>
    <row r="1028" spans="2:13" x14ac:dyDescent="0.2">
      <c r="B1028" s="10"/>
      <c r="C1028" s="7"/>
      <c r="D1028" s="11"/>
      <c r="E1028" s="6"/>
      <c r="F1028" s="12" t="str">
        <f t="shared" si="30"/>
        <v/>
      </c>
      <c r="G1028" s="13" t="str">
        <f t="shared" si="31"/>
        <v/>
      </c>
      <c r="H1028" s="9"/>
      <c r="I1028" s="9"/>
      <c r="J1028" s="14" t="str">
        <f>IF(E1028="","",IFERROR(VLOOKUP(E1028,TabProd,5,FALSE),0)+SUMIFS($H$5:H1028,$E$5:E1028,E1028)-SUMIFS($I$5:I1028,$E$5:E1028,E1028))</f>
        <v/>
      </c>
      <c r="K1028" s="7"/>
      <c r="L1028" s="7"/>
      <c r="M1028" s="1" t="str">
        <f>IF(E1028="","",E1028&amp;"|"&amp;COUNTIF($E$5:E1028,E1028))</f>
        <v/>
      </c>
    </row>
    <row r="1029" spans="2:13" x14ac:dyDescent="0.2">
      <c r="B1029" s="10"/>
      <c r="C1029" s="7"/>
      <c r="D1029" s="11"/>
      <c r="E1029" s="6"/>
      <c r="F1029" s="12" t="str">
        <f t="shared" ref="F1029:F1092" si="32">IF(E1029="","",IFERROR(VLOOKUP(E1029,TabProd,2,FALSE),"Cod inexistent"))</f>
        <v/>
      </c>
      <c r="G1029" s="13" t="str">
        <f t="shared" ref="G1029:G1092" si="33">IF(E1029="","",IFERROR(VLOOKUP(E1029,TabProd,3,FALSE),""))</f>
        <v/>
      </c>
      <c r="H1029" s="9"/>
      <c r="I1029" s="9"/>
      <c r="J1029" s="14" t="str">
        <f>IF(E1029="","",IFERROR(VLOOKUP(E1029,TabProd,5,FALSE),0)+SUMIFS($H$5:H1029,$E$5:E1029,E1029)-SUMIFS($I$5:I1029,$E$5:E1029,E1029))</f>
        <v/>
      </c>
      <c r="K1029" s="7"/>
      <c r="L1029" s="7"/>
      <c r="M1029" s="1" t="str">
        <f>IF(E1029="","",E1029&amp;"|"&amp;COUNTIF($E$5:E1029,E1029))</f>
        <v/>
      </c>
    </row>
    <row r="1030" spans="2:13" x14ac:dyDescent="0.2">
      <c r="B1030" s="10"/>
      <c r="C1030" s="7"/>
      <c r="D1030" s="11"/>
      <c r="E1030" s="6"/>
      <c r="F1030" s="12" t="str">
        <f t="shared" si="32"/>
        <v/>
      </c>
      <c r="G1030" s="13" t="str">
        <f t="shared" si="33"/>
        <v/>
      </c>
      <c r="H1030" s="9"/>
      <c r="I1030" s="9"/>
      <c r="J1030" s="14" t="str">
        <f>IF(E1030="","",IFERROR(VLOOKUP(E1030,TabProd,5,FALSE),0)+SUMIFS($H$5:H1030,$E$5:E1030,E1030)-SUMIFS($I$5:I1030,$E$5:E1030,E1030))</f>
        <v/>
      </c>
      <c r="K1030" s="7"/>
      <c r="L1030" s="7"/>
      <c r="M1030" s="1" t="str">
        <f>IF(E1030="","",E1030&amp;"|"&amp;COUNTIF($E$5:E1030,E1030))</f>
        <v/>
      </c>
    </row>
    <row r="1031" spans="2:13" x14ac:dyDescent="0.2">
      <c r="B1031" s="10"/>
      <c r="C1031" s="7"/>
      <c r="D1031" s="11"/>
      <c r="E1031" s="6"/>
      <c r="F1031" s="12" t="str">
        <f t="shared" si="32"/>
        <v/>
      </c>
      <c r="G1031" s="13" t="str">
        <f t="shared" si="33"/>
        <v/>
      </c>
      <c r="H1031" s="9"/>
      <c r="I1031" s="9"/>
      <c r="J1031" s="14" t="str">
        <f>IF(E1031="","",IFERROR(VLOOKUP(E1031,TabProd,5,FALSE),0)+SUMIFS($H$5:H1031,$E$5:E1031,E1031)-SUMIFS($I$5:I1031,$E$5:E1031,E1031))</f>
        <v/>
      </c>
      <c r="K1031" s="7"/>
      <c r="L1031" s="7"/>
      <c r="M1031" s="1" t="str">
        <f>IF(E1031="","",E1031&amp;"|"&amp;COUNTIF($E$5:E1031,E1031))</f>
        <v/>
      </c>
    </row>
    <row r="1032" spans="2:13" x14ac:dyDescent="0.2">
      <c r="B1032" s="10"/>
      <c r="C1032" s="7"/>
      <c r="D1032" s="11"/>
      <c r="E1032" s="6"/>
      <c r="F1032" s="12" t="str">
        <f t="shared" si="32"/>
        <v/>
      </c>
      <c r="G1032" s="13" t="str">
        <f t="shared" si="33"/>
        <v/>
      </c>
      <c r="H1032" s="9"/>
      <c r="I1032" s="9"/>
      <c r="J1032" s="14" t="str">
        <f>IF(E1032="","",IFERROR(VLOOKUP(E1032,TabProd,5,FALSE),0)+SUMIFS($H$5:H1032,$E$5:E1032,E1032)-SUMIFS($I$5:I1032,$E$5:E1032,E1032))</f>
        <v/>
      </c>
      <c r="K1032" s="7"/>
      <c r="L1032" s="7"/>
      <c r="M1032" s="1" t="str">
        <f>IF(E1032="","",E1032&amp;"|"&amp;COUNTIF($E$5:E1032,E1032))</f>
        <v/>
      </c>
    </row>
    <row r="1033" spans="2:13" x14ac:dyDescent="0.2">
      <c r="B1033" s="10"/>
      <c r="C1033" s="7"/>
      <c r="D1033" s="11"/>
      <c r="E1033" s="6"/>
      <c r="F1033" s="12" t="str">
        <f t="shared" si="32"/>
        <v/>
      </c>
      <c r="G1033" s="13" t="str">
        <f t="shared" si="33"/>
        <v/>
      </c>
      <c r="H1033" s="9"/>
      <c r="I1033" s="9"/>
      <c r="J1033" s="14" t="str">
        <f>IF(E1033="","",IFERROR(VLOOKUP(E1033,TabProd,5,FALSE),0)+SUMIFS($H$5:H1033,$E$5:E1033,E1033)-SUMIFS($I$5:I1033,$E$5:E1033,E1033))</f>
        <v/>
      </c>
      <c r="K1033" s="7"/>
      <c r="L1033" s="7"/>
      <c r="M1033" s="1" t="str">
        <f>IF(E1033="","",E1033&amp;"|"&amp;COUNTIF($E$5:E1033,E1033))</f>
        <v/>
      </c>
    </row>
    <row r="1034" spans="2:13" x14ac:dyDescent="0.2">
      <c r="B1034" s="10"/>
      <c r="C1034" s="7"/>
      <c r="D1034" s="11"/>
      <c r="E1034" s="6"/>
      <c r="F1034" s="12" t="str">
        <f t="shared" si="32"/>
        <v/>
      </c>
      <c r="G1034" s="13" t="str">
        <f t="shared" si="33"/>
        <v/>
      </c>
      <c r="H1034" s="9"/>
      <c r="I1034" s="9"/>
      <c r="J1034" s="14" t="str">
        <f>IF(E1034="","",IFERROR(VLOOKUP(E1034,TabProd,5,FALSE),0)+SUMIFS($H$5:H1034,$E$5:E1034,E1034)-SUMIFS($I$5:I1034,$E$5:E1034,E1034))</f>
        <v/>
      </c>
      <c r="K1034" s="7"/>
      <c r="L1034" s="7"/>
      <c r="M1034" s="1" t="str">
        <f>IF(E1034="","",E1034&amp;"|"&amp;COUNTIF($E$5:E1034,E1034))</f>
        <v/>
      </c>
    </row>
    <row r="1035" spans="2:13" x14ac:dyDescent="0.2">
      <c r="B1035" s="10"/>
      <c r="C1035" s="7"/>
      <c r="D1035" s="11"/>
      <c r="E1035" s="6"/>
      <c r="F1035" s="12" t="str">
        <f t="shared" si="32"/>
        <v/>
      </c>
      <c r="G1035" s="13" t="str">
        <f t="shared" si="33"/>
        <v/>
      </c>
      <c r="H1035" s="9"/>
      <c r="I1035" s="9"/>
      <c r="J1035" s="14" t="str">
        <f>IF(E1035="","",IFERROR(VLOOKUP(E1035,TabProd,5,FALSE),0)+SUMIFS($H$5:H1035,$E$5:E1035,E1035)-SUMIFS($I$5:I1035,$E$5:E1035,E1035))</f>
        <v/>
      </c>
      <c r="K1035" s="7"/>
      <c r="L1035" s="7"/>
      <c r="M1035" s="1" t="str">
        <f>IF(E1035="","",E1035&amp;"|"&amp;COUNTIF($E$5:E1035,E1035))</f>
        <v/>
      </c>
    </row>
    <row r="1036" spans="2:13" x14ac:dyDescent="0.2">
      <c r="B1036" s="10"/>
      <c r="C1036" s="7"/>
      <c r="D1036" s="11"/>
      <c r="E1036" s="6"/>
      <c r="F1036" s="12" t="str">
        <f t="shared" si="32"/>
        <v/>
      </c>
      <c r="G1036" s="13" t="str">
        <f t="shared" si="33"/>
        <v/>
      </c>
      <c r="H1036" s="9"/>
      <c r="I1036" s="9"/>
      <c r="J1036" s="14" t="str">
        <f>IF(E1036="","",IFERROR(VLOOKUP(E1036,TabProd,5,FALSE),0)+SUMIFS($H$5:H1036,$E$5:E1036,E1036)-SUMIFS($I$5:I1036,$E$5:E1036,E1036))</f>
        <v/>
      </c>
      <c r="K1036" s="7"/>
      <c r="L1036" s="7"/>
      <c r="M1036" s="1" t="str">
        <f>IF(E1036="","",E1036&amp;"|"&amp;COUNTIF($E$5:E1036,E1036))</f>
        <v/>
      </c>
    </row>
    <row r="1037" spans="2:13" x14ac:dyDescent="0.2">
      <c r="B1037" s="10"/>
      <c r="C1037" s="7"/>
      <c r="D1037" s="11"/>
      <c r="E1037" s="6"/>
      <c r="F1037" s="12" t="str">
        <f t="shared" si="32"/>
        <v/>
      </c>
      <c r="G1037" s="13" t="str">
        <f t="shared" si="33"/>
        <v/>
      </c>
      <c r="H1037" s="9"/>
      <c r="I1037" s="9"/>
      <c r="J1037" s="14" t="str">
        <f>IF(E1037="","",IFERROR(VLOOKUP(E1037,TabProd,5,FALSE),0)+SUMIFS($H$5:H1037,$E$5:E1037,E1037)-SUMIFS($I$5:I1037,$E$5:E1037,E1037))</f>
        <v/>
      </c>
      <c r="K1037" s="7"/>
      <c r="L1037" s="7"/>
      <c r="M1037" s="1" t="str">
        <f>IF(E1037="","",E1037&amp;"|"&amp;COUNTIF($E$5:E1037,E1037))</f>
        <v/>
      </c>
    </row>
    <row r="1038" spans="2:13" x14ac:dyDescent="0.2">
      <c r="B1038" s="10"/>
      <c r="C1038" s="7"/>
      <c r="D1038" s="11"/>
      <c r="E1038" s="6"/>
      <c r="F1038" s="12" t="str">
        <f t="shared" si="32"/>
        <v/>
      </c>
      <c r="G1038" s="13" t="str">
        <f t="shared" si="33"/>
        <v/>
      </c>
      <c r="H1038" s="9"/>
      <c r="I1038" s="9"/>
      <c r="J1038" s="14" t="str">
        <f>IF(E1038="","",IFERROR(VLOOKUP(E1038,TabProd,5,FALSE),0)+SUMIFS($H$5:H1038,$E$5:E1038,E1038)-SUMIFS($I$5:I1038,$E$5:E1038,E1038))</f>
        <v/>
      </c>
      <c r="K1038" s="7"/>
      <c r="L1038" s="7"/>
      <c r="M1038" s="1" t="str">
        <f>IF(E1038="","",E1038&amp;"|"&amp;COUNTIF($E$5:E1038,E1038))</f>
        <v/>
      </c>
    </row>
    <row r="1039" spans="2:13" x14ac:dyDescent="0.2">
      <c r="B1039" s="10"/>
      <c r="C1039" s="7"/>
      <c r="D1039" s="11"/>
      <c r="E1039" s="6"/>
      <c r="F1039" s="12" t="str">
        <f t="shared" si="32"/>
        <v/>
      </c>
      <c r="G1039" s="13" t="str">
        <f t="shared" si="33"/>
        <v/>
      </c>
      <c r="H1039" s="9"/>
      <c r="I1039" s="9"/>
      <c r="J1039" s="14" t="str">
        <f>IF(E1039="","",IFERROR(VLOOKUP(E1039,TabProd,5,FALSE),0)+SUMIFS($H$5:H1039,$E$5:E1039,E1039)-SUMIFS($I$5:I1039,$E$5:E1039,E1039))</f>
        <v/>
      </c>
      <c r="K1039" s="7"/>
      <c r="L1039" s="7"/>
      <c r="M1039" s="1" t="str">
        <f>IF(E1039="","",E1039&amp;"|"&amp;COUNTIF($E$5:E1039,E1039))</f>
        <v/>
      </c>
    </row>
    <row r="1040" spans="2:13" x14ac:dyDescent="0.2">
      <c r="B1040" s="10"/>
      <c r="C1040" s="7"/>
      <c r="D1040" s="11"/>
      <c r="E1040" s="6"/>
      <c r="F1040" s="12" t="str">
        <f t="shared" si="32"/>
        <v/>
      </c>
      <c r="G1040" s="13" t="str">
        <f t="shared" si="33"/>
        <v/>
      </c>
      <c r="H1040" s="9"/>
      <c r="I1040" s="9"/>
      <c r="J1040" s="14" t="str">
        <f>IF(E1040="","",IFERROR(VLOOKUP(E1040,TabProd,5,FALSE),0)+SUMIFS($H$5:H1040,$E$5:E1040,E1040)-SUMIFS($I$5:I1040,$E$5:E1040,E1040))</f>
        <v/>
      </c>
      <c r="K1040" s="7"/>
      <c r="L1040" s="7"/>
      <c r="M1040" s="1" t="str">
        <f>IF(E1040="","",E1040&amp;"|"&amp;COUNTIF($E$5:E1040,E1040))</f>
        <v/>
      </c>
    </row>
    <row r="1041" spans="2:13" x14ac:dyDescent="0.2">
      <c r="B1041" s="10"/>
      <c r="C1041" s="7"/>
      <c r="D1041" s="11"/>
      <c r="E1041" s="6"/>
      <c r="F1041" s="12" t="str">
        <f t="shared" si="32"/>
        <v/>
      </c>
      <c r="G1041" s="13" t="str">
        <f t="shared" si="33"/>
        <v/>
      </c>
      <c r="H1041" s="9"/>
      <c r="I1041" s="9"/>
      <c r="J1041" s="14" t="str">
        <f>IF(E1041="","",IFERROR(VLOOKUP(E1041,TabProd,5,FALSE),0)+SUMIFS($H$5:H1041,$E$5:E1041,E1041)-SUMIFS($I$5:I1041,$E$5:E1041,E1041))</f>
        <v/>
      </c>
      <c r="K1041" s="7"/>
      <c r="L1041" s="7"/>
      <c r="M1041" s="1" t="str">
        <f>IF(E1041="","",E1041&amp;"|"&amp;COUNTIF($E$5:E1041,E1041))</f>
        <v/>
      </c>
    </row>
    <row r="1042" spans="2:13" x14ac:dyDescent="0.2">
      <c r="B1042" s="10"/>
      <c r="C1042" s="7"/>
      <c r="D1042" s="11"/>
      <c r="E1042" s="6"/>
      <c r="F1042" s="12" t="str">
        <f t="shared" si="32"/>
        <v/>
      </c>
      <c r="G1042" s="13" t="str">
        <f t="shared" si="33"/>
        <v/>
      </c>
      <c r="H1042" s="9"/>
      <c r="I1042" s="9"/>
      <c r="J1042" s="14" t="str">
        <f>IF(E1042="","",IFERROR(VLOOKUP(E1042,TabProd,5,FALSE),0)+SUMIFS($H$5:H1042,$E$5:E1042,E1042)-SUMIFS($I$5:I1042,$E$5:E1042,E1042))</f>
        <v/>
      </c>
      <c r="K1042" s="7"/>
      <c r="L1042" s="7"/>
      <c r="M1042" s="1" t="str">
        <f>IF(E1042="","",E1042&amp;"|"&amp;COUNTIF($E$5:E1042,E1042))</f>
        <v/>
      </c>
    </row>
    <row r="1043" spans="2:13" x14ac:dyDescent="0.2">
      <c r="B1043" s="10"/>
      <c r="C1043" s="7"/>
      <c r="D1043" s="11"/>
      <c r="E1043" s="6"/>
      <c r="F1043" s="12" t="str">
        <f t="shared" si="32"/>
        <v/>
      </c>
      <c r="G1043" s="13" t="str">
        <f t="shared" si="33"/>
        <v/>
      </c>
      <c r="H1043" s="9"/>
      <c r="I1043" s="9"/>
      <c r="J1043" s="14" t="str">
        <f>IF(E1043="","",IFERROR(VLOOKUP(E1043,TabProd,5,FALSE),0)+SUMIFS($H$5:H1043,$E$5:E1043,E1043)-SUMIFS($I$5:I1043,$E$5:E1043,E1043))</f>
        <v/>
      </c>
      <c r="K1043" s="7"/>
      <c r="L1043" s="7"/>
      <c r="M1043" s="1" t="str">
        <f>IF(E1043="","",E1043&amp;"|"&amp;COUNTIF($E$5:E1043,E1043))</f>
        <v/>
      </c>
    </row>
    <row r="1044" spans="2:13" x14ac:dyDescent="0.2">
      <c r="B1044" s="10"/>
      <c r="C1044" s="7"/>
      <c r="D1044" s="11"/>
      <c r="E1044" s="6"/>
      <c r="F1044" s="12" t="str">
        <f t="shared" si="32"/>
        <v/>
      </c>
      <c r="G1044" s="13" t="str">
        <f t="shared" si="33"/>
        <v/>
      </c>
      <c r="H1044" s="9"/>
      <c r="I1044" s="9"/>
      <c r="J1044" s="14" t="str">
        <f>IF(E1044="","",IFERROR(VLOOKUP(E1044,TabProd,5,FALSE),0)+SUMIFS($H$5:H1044,$E$5:E1044,E1044)-SUMIFS($I$5:I1044,$E$5:E1044,E1044))</f>
        <v/>
      </c>
      <c r="K1044" s="7"/>
      <c r="L1044" s="7"/>
      <c r="M1044" s="1" t="str">
        <f>IF(E1044="","",E1044&amp;"|"&amp;COUNTIF($E$5:E1044,E1044))</f>
        <v/>
      </c>
    </row>
    <row r="1045" spans="2:13" x14ac:dyDescent="0.2">
      <c r="B1045" s="10"/>
      <c r="C1045" s="7"/>
      <c r="D1045" s="11"/>
      <c r="E1045" s="6"/>
      <c r="F1045" s="12" t="str">
        <f t="shared" si="32"/>
        <v/>
      </c>
      <c r="G1045" s="13" t="str">
        <f t="shared" si="33"/>
        <v/>
      </c>
      <c r="H1045" s="9"/>
      <c r="I1045" s="9"/>
      <c r="J1045" s="14" t="str">
        <f>IF(E1045="","",IFERROR(VLOOKUP(E1045,TabProd,5,FALSE),0)+SUMIFS($H$5:H1045,$E$5:E1045,E1045)-SUMIFS($I$5:I1045,$E$5:E1045,E1045))</f>
        <v/>
      </c>
      <c r="K1045" s="7"/>
      <c r="L1045" s="7"/>
      <c r="M1045" s="1" t="str">
        <f>IF(E1045="","",E1045&amp;"|"&amp;COUNTIF($E$5:E1045,E1045))</f>
        <v/>
      </c>
    </row>
    <row r="1046" spans="2:13" x14ac:dyDescent="0.2">
      <c r="B1046" s="10"/>
      <c r="C1046" s="7"/>
      <c r="D1046" s="11"/>
      <c r="E1046" s="6"/>
      <c r="F1046" s="12" t="str">
        <f t="shared" si="32"/>
        <v/>
      </c>
      <c r="G1046" s="13" t="str">
        <f t="shared" si="33"/>
        <v/>
      </c>
      <c r="H1046" s="9"/>
      <c r="I1046" s="9"/>
      <c r="J1046" s="14" t="str">
        <f>IF(E1046="","",IFERROR(VLOOKUP(E1046,TabProd,5,FALSE),0)+SUMIFS($H$5:H1046,$E$5:E1046,E1046)-SUMIFS($I$5:I1046,$E$5:E1046,E1046))</f>
        <v/>
      </c>
      <c r="K1046" s="7"/>
      <c r="L1046" s="7"/>
      <c r="M1046" s="1" t="str">
        <f>IF(E1046="","",E1046&amp;"|"&amp;COUNTIF($E$5:E1046,E1046))</f>
        <v/>
      </c>
    </row>
    <row r="1047" spans="2:13" x14ac:dyDescent="0.2">
      <c r="B1047" s="10"/>
      <c r="C1047" s="7"/>
      <c r="D1047" s="11"/>
      <c r="E1047" s="6"/>
      <c r="F1047" s="12" t="str">
        <f t="shared" si="32"/>
        <v/>
      </c>
      <c r="G1047" s="13" t="str">
        <f t="shared" si="33"/>
        <v/>
      </c>
      <c r="H1047" s="9"/>
      <c r="I1047" s="9"/>
      <c r="J1047" s="14" t="str">
        <f>IF(E1047="","",IFERROR(VLOOKUP(E1047,TabProd,5,FALSE),0)+SUMIFS($H$5:H1047,$E$5:E1047,E1047)-SUMIFS($I$5:I1047,$E$5:E1047,E1047))</f>
        <v/>
      </c>
      <c r="K1047" s="7"/>
      <c r="L1047" s="7"/>
      <c r="M1047" s="1" t="str">
        <f>IF(E1047="","",E1047&amp;"|"&amp;COUNTIF($E$5:E1047,E1047))</f>
        <v/>
      </c>
    </row>
    <row r="1048" spans="2:13" x14ac:dyDescent="0.2">
      <c r="B1048" s="10"/>
      <c r="C1048" s="7"/>
      <c r="D1048" s="11"/>
      <c r="E1048" s="6"/>
      <c r="F1048" s="12" t="str">
        <f t="shared" si="32"/>
        <v/>
      </c>
      <c r="G1048" s="13" t="str">
        <f t="shared" si="33"/>
        <v/>
      </c>
      <c r="H1048" s="9"/>
      <c r="I1048" s="9"/>
      <c r="J1048" s="14" t="str">
        <f>IF(E1048="","",IFERROR(VLOOKUP(E1048,TabProd,5,FALSE),0)+SUMIFS($H$5:H1048,$E$5:E1048,E1048)-SUMIFS($I$5:I1048,$E$5:E1048,E1048))</f>
        <v/>
      </c>
      <c r="K1048" s="7"/>
      <c r="L1048" s="7"/>
      <c r="M1048" s="1" t="str">
        <f>IF(E1048="","",E1048&amp;"|"&amp;COUNTIF($E$5:E1048,E1048))</f>
        <v/>
      </c>
    </row>
    <row r="1049" spans="2:13" x14ac:dyDescent="0.2">
      <c r="B1049" s="10"/>
      <c r="C1049" s="7"/>
      <c r="D1049" s="11"/>
      <c r="E1049" s="6"/>
      <c r="F1049" s="12" t="str">
        <f t="shared" si="32"/>
        <v/>
      </c>
      <c r="G1049" s="13" t="str">
        <f t="shared" si="33"/>
        <v/>
      </c>
      <c r="H1049" s="9"/>
      <c r="I1049" s="9"/>
      <c r="J1049" s="14" t="str">
        <f>IF(E1049="","",IFERROR(VLOOKUP(E1049,TabProd,5,FALSE),0)+SUMIFS($H$5:H1049,$E$5:E1049,E1049)-SUMIFS($I$5:I1049,$E$5:E1049,E1049))</f>
        <v/>
      </c>
      <c r="K1049" s="7"/>
      <c r="L1049" s="7"/>
      <c r="M1049" s="1" t="str">
        <f>IF(E1049="","",E1049&amp;"|"&amp;COUNTIF($E$5:E1049,E1049))</f>
        <v/>
      </c>
    </row>
    <row r="1050" spans="2:13" x14ac:dyDescent="0.2">
      <c r="B1050" s="10"/>
      <c r="C1050" s="7"/>
      <c r="D1050" s="11"/>
      <c r="E1050" s="6"/>
      <c r="F1050" s="12" t="str">
        <f t="shared" si="32"/>
        <v/>
      </c>
      <c r="G1050" s="13" t="str">
        <f t="shared" si="33"/>
        <v/>
      </c>
      <c r="H1050" s="9"/>
      <c r="I1050" s="9"/>
      <c r="J1050" s="14" t="str">
        <f>IF(E1050="","",IFERROR(VLOOKUP(E1050,TabProd,5,FALSE),0)+SUMIFS($H$5:H1050,$E$5:E1050,E1050)-SUMIFS($I$5:I1050,$E$5:E1050,E1050))</f>
        <v/>
      </c>
      <c r="K1050" s="7"/>
      <c r="L1050" s="7"/>
      <c r="M1050" s="1" t="str">
        <f>IF(E1050="","",E1050&amp;"|"&amp;COUNTIF($E$5:E1050,E1050))</f>
        <v/>
      </c>
    </row>
    <row r="1051" spans="2:13" x14ac:dyDescent="0.2">
      <c r="B1051" s="10"/>
      <c r="C1051" s="7"/>
      <c r="D1051" s="11"/>
      <c r="E1051" s="6"/>
      <c r="F1051" s="12" t="str">
        <f t="shared" si="32"/>
        <v/>
      </c>
      <c r="G1051" s="13" t="str">
        <f t="shared" si="33"/>
        <v/>
      </c>
      <c r="H1051" s="9"/>
      <c r="I1051" s="9"/>
      <c r="J1051" s="14" t="str">
        <f>IF(E1051="","",IFERROR(VLOOKUP(E1051,TabProd,5,FALSE),0)+SUMIFS($H$5:H1051,$E$5:E1051,E1051)-SUMIFS($I$5:I1051,$E$5:E1051,E1051))</f>
        <v/>
      </c>
      <c r="K1051" s="7"/>
      <c r="L1051" s="7"/>
      <c r="M1051" s="1" t="str">
        <f>IF(E1051="","",E1051&amp;"|"&amp;COUNTIF($E$5:E1051,E1051))</f>
        <v/>
      </c>
    </row>
    <row r="1052" spans="2:13" x14ac:dyDescent="0.2">
      <c r="B1052" s="10"/>
      <c r="C1052" s="7"/>
      <c r="D1052" s="11"/>
      <c r="E1052" s="6"/>
      <c r="F1052" s="12" t="str">
        <f t="shared" si="32"/>
        <v/>
      </c>
      <c r="G1052" s="13" t="str">
        <f t="shared" si="33"/>
        <v/>
      </c>
      <c r="H1052" s="9"/>
      <c r="I1052" s="9"/>
      <c r="J1052" s="14" t="str">
        <f>IF(E1052="","",IFERROR(VLOOKUP(E1052,TabProd,5,FALSE),0)+SUMIFS($H$5:H1052,$E$5:E1052,E1052)-SUMIFS($I$5:I1052,$E$5:E1052,E1052))</f>
        <v/>
      </c>
      <c r="K1052" s="7"/>
      <c r="L1052" s="7"/>
      <c r="M1052" s="1" t="str">
        <f>IF(E1052="","",E1052&amp;"|"&amp;COUNTIF($E$5:E1052,E1052))</f>
        <v/>
      </c>
    </row>
    <row r="1053" spans="2:13" x14ac:dyDescent="0.2">
      <c r="B1053" s="10"/>
      <c r="C1053" s="7"/>
      <c r="D1053" s="11"/>
      <c r="E1053" s="6"/>
      <c r="F1053" s="12" t="str">
        <f t="shared" si="32"/>
        <v/>
      </c>
      <c r="G1053" s="13" t="str">
        <f t="shared" si="33"/>
        <v/>
      </c>
      <c r="H1053" s="9"/>
      <c r="I1053" s="9"/>
      <c r="J1053" s="14" t="str">
        <f>IF(E1053="","",IFERROR(VLOOKUP(E1053,TabProd,5,FALSE),0)+SUMIFS($H$5:H1053,$E$5:E1053,E1053)-SUMIFS($I$5:I1053,$E$5:E1053,E1053))</f>
        <v/>
      </c>
      <c r="K1053" s="7"/>
      <c r="L1053" s="7"/>
      <c r="M1053" s="1" t="str">
        <f>IF(E1053="","",E1053&amp;"|"&amp;COUNTIF($E$5:E1053,E1053))</f>
        <v/>
      </c>
    </row>
    <row r="1054" spans="2:13" x14ac:dyDescent="0.2">
      <c r="B1054" s="10"/>
      <c r="C1054" s="7"/>
      <c r="D1054" s="11"/>
      <c r="E1054" s="6"/>
      <c r="F1054" s="12" t="str">
        <f t="shared" si="32"/>
        <v/>
      </c>
      <c r="G1054" s="13" t="str">
        <f t="shared" si="33"/>
        <v/>
      </c>
      <c r="H1054" s="9"/>
      <c r="I1054" s="9"/>
      <c r="J1054" s="14" t="str">
        <f>IF(E1054="","",IFERROR(VLOOKUP(E1054,TabProd,5,FALSE),0)+SUMIFS($H$5:H1054,$E$5:E1054,E1054)-SUMIFS($I$5:I1054,$E$5:E1054,E1054))</f>
        <v/>
      </c>
      <c r="K1054" s="7"/>
      <c r="L1054" s="7"/>
      <c r="M1054" s="1" t="str">
        <f>IF(E1054="","",E1054&amp;"|"&amp;COUNTIF($E$5:E1054,E1054))</f>
        <v/>
      </c>
    </row>
    <row r="1055" spans="2:13" x14ac:dyDescent="0.2">
      <c r="B1055" s="10"/>
      <c r="C1055" s="7"/>
      <c r="D1055" s="11"/>
      <c r="E1055" s="6"/>
      <c r="F1055" s="12" t="str">
        <f t="shared" si="32"/>
        <v/>
      </c>
      <c r="G1055" s="13" t="str">
        <f t="shared" si="33"/>
        <v/>
      </c>
      <c r="H1055" s="9"/>
      <c r="I1055" s="9"/>
      <c r="J1055" s="14" t="str">
        <f>IF(E1055="","",IFERROR(VLOOKUP(E1055,TabProd,5,FALSE),0)+SUMIFS($H$5:H1055,$E$5:E1055,E1055)-SUMIFS($I$5:I1055,$E$5:E1055,E1055))</f>
        <v/>
      </c>
      <c r="K1055" s="7"/>
      <c r="L1055" s="7"/>
      <c r="M1055" s="1" t="str">
        <f>IF(E1055="","",E1055&amp;"|"&amp;COUNTIF($E$5:E1055,E1055))</f>
        <v/>
      </c>
    </row>
    <row r="1056" spans="2:13" x14ac:dyDescent="0.2">
      <c r="B1056" s="10"/>
      <c r="C1056" s="7"/>
      <c r="D1056" s="11"/>
      <c r="E1056" s="6"/>
      <c r="F1056" s="12" t="str">
        <f t="shared" si="32"/>
        <v/>
      </c>
      <c r="G1056" s="13" t="str">
        <f t="shared" si="33"/>
        <v/>
      </c>
      <c r="H1056" s="9"/>
      <c r="I1056" s="9"/>
      <c r="J1056" s="14" t="str">
        <f>IF(E1056="","",IFERROR(VLOOKUP(E1056,TabProd,5,FALSE),0)+SUMIFS($H$5:H1056,$E$5:E1056,E1056)-SUMIFS($I$5:I1056,$E$5:E1056,E1056))</f>
        <v/>
      </c>
      <c r="K1056" s="7"/>
      <c r="L1056" s="7"/>
      <c r="M1056" s="1" t="str">
        <f>IF(E1056="","",E1056&amp;"|"&amp;COUNTIF($E$5:E1056,E1056))</f>
        <v/>
      </c>
    </row>
    <row r="1057" spans="2:13" x14ac:dyDescent="0.2">
      <c r="B1057" s="10"/>
      <c r="C1057" s="7"/>
      <c r="D1057" s="11"/>
      <c r="E1057" s="6"/>
      <c r="F1057" s="12" t="str">
        <f t="shared" si="32"/>
        <v/>
      </c>
      <c r="G1057" s="13" t="str">
        <f t="shared" si="33"/>
        <v/>
      </c>
      <c r="H1057" s="9"/>
      <c r="I1057" s="9"/>
      <c r="J1057" s="14" t="str">
        <f>IF(E1057="","",IFERROR(VLOOKUP(E1057,TabProd,5,FALSE),0)+SUMIFS($H$5:H1057,$E$5:E1057,E1057)-SUMIFS($I$5:I1057,$E$5:E1057,E1057))</f>
        <v/>
      </c>
      <c r="K1057" s="7"/>
      <c r="L1057" s="7"/>
      <c r="M1057" s="1" t="str">
        <f>IF(E1057="","",E1057&amp;"|"&amp;COUNTIF($E$5:E1057,E1057))</f>
        <v/>
      </c>
    </row>
    <row r="1058" spans="2:13" x14ac:dyDescent="0.2">
      <c r="B1058" s="10"/>
      <c r="C1058" s="7"/>
      <c r="D1058" s="11"/>
      <c r="E1058" s="6"/>
      <c r="F1058" s="12" t="str">
        <f t="shared" si="32"/>
        <v/>
      </c>
      <c r="G1058" s="13" t="str">
        <f t="shared" si="33"/>
        <v/>
      </c>
      <c r="H1058" s="9"/>
      <c r="I1058" s="9"/>
      <c r="J1058" s="14" t="str">
        <f>IF(E1058="","",IFERROR(VLOOKUP(E1058,TabProd,5,FALSE),0)+SUMIFS($H$5:H1058,$E$5:E1058,E1058)-SUMIFS($I$5:I1058,$E$5:E1058,E1058))</f>
        <v/>
      </c>
      <c r="K1058" s="7"/>
      <c r="L1058" s="7"/>
      <c r="M1058" s="1" t="str">
        <f>IF(E1058="","",E1058&amp;"|"&amp;COUNTIF($E$5:E1058,E1058))</f>
        <v/>
      </c>
    </row>
    <row r="1059" spans="2:13" x14ac:dyDescent="0.2">
      <c r="B1059" s="10"/>
      <c r="C1059" s="7"/>
      <c r="D1059" s="11"/>
      <c r="E1059" s="6"/>
      <c r="F1059" s="12" t="str">
        <f t="shared" si="32"/>
        <v/>
      </c>
      <c r="G1059" s="13" t="str">
        <f t="shared" si="33"/>
        <v/>
      </c>
      <c r="H1059" s="9"/>
      <c r="I1059" s="9"/>
      <c r="J1059" s="14" t="str">
        <f>IF(E1059="","",IFERROR(VLOOKUP(E1059,TabProd,5,FALSE),0)+SUMIFS($H$5:H1059,$E$5:E1059,E1059)-SUMIFS($I$5:I1059,$E$5:E1059,E1059))</f>
        <v/>
      </c>
      <c r="K1059" s="7"/>
      <c r="L1059" s="7"/>
      <c r="M1059" s="1" t="str">
        <f>IF(E1059="","",E1059&amp;"|"&amp;COUNTIF($E$5:E1059,E1059))</f>
        <v/>
      </c>
    </row>
    <row r="1060" spans="2:13" x14ac:dyDescent="0.2">
      <c r="B1060" s="10"/>
      <c r="C1060" s="7"/>
      <c r="D1060" s="11"/>
      <c r="E1060" s="6"/>
      <c r="F1060" s="12" t="str">
        <f t="shared" si="32"/>
        <v/>
      </c>
      <c r="G1060" s="13" t="str">
        <f t="shared" si="33"/>
        <v/>
      </c>
      <c r="H1060" s="9"/>
      <c r="I1060" s="9"/>
      <c r="J1060" s="14" t="str">
        <f>IF(E1060="","",IFERROR(VLOOKUP(E1060,TabProd,5,FALSE),0)+SUMIFS($H$5:H1060,$E$5:E1060,E1060)-SUMIFS($I$5:I1060,$E$5:E1060,E1060))</f>
        <v/>
      </c>
      <c r="K1060" s="7"/>
      <c r="L1060" s="7"/>
      <c r="M1060" s="1" t="str">
        <f>IF(E1060="","",E1060&amp;"|"&amp;COUNTIF($E$5:E1060,E1060))</f>
        <v/>
      </c>
    </row>
    <row r="1061" spans="2:13" x14ac:dyDescent="0.2">
      <c r="B1061" s="10"/>
      <c r="C1061" s="7"/>
      <c r="D1061" s="11"/>
      <c r="E1061" s="6"/>
      <c r="F1061" s="12" t="str">
        <f t="shared" si="32"/>
        <v/>
      </c>
      <c r="G1061" s="13" t="str">
        <f t="shared" si="33"/>
        <v/>
      </c>
      <c r="H1061" s="9"/>
      <c r="I1061" s="9"/>
      <c r="J1061" s="14" t="str">
        <f>IF(E1061="","",IFERROR(VLOOKUP(E1061,TabProd,5,FALSE),0)+SUMIFS($H$5:H1061,$E$5:E1061,E1061)-SUMIFS($I$5:I1061,$E$5:E1061,E1061))</f>
        <v/>
      </c>
      <c r="K1061" s="7"/>
      <c r="L1061" s="7"/>
      <c r="M1061" s="1" t="str">
        <f>IF(E1061="","",E1061&amp;"|"&amp;COUNTIF($E$5:E1061,E1061))</f>
        <v/>
      </c>
    </row>
    <row r="1062" spans="2:13" x14ac:dyDescent="0.2">
      <c r="B1062" s="10"/>
      <c r="C1062" s="7"/>
      <c r="D1062" s="11"/>
      <c r="E1062" s="6"/>
      <c r="F1062" s="12" t="str">
        <f t="shared" si="32"/>
        <v/>
      </c>
      <c r="G1062" s="13" t="str">
        <f t="shared" si="33"/>
        <v/>
      </c>
      <c r="H1062" s="9"/>
      <c r="I1062" s="9"/>
      <c r="J1062" s="14" t="str">
        <f>IF(E1062="","",IFERROR(VLOOKUP(E1062,TabProd,5,FALSE),0)+SUMIFS($H$5:H1062,$E$5:E1062,E1062)-SUMIFS($I$5:I1062,$E$5:E1062,E1062))</f>
        <v/>
      </c>
      <c r="K1062" s="7"/>
      <c r="L1062" s="7"/>
      <c r="M1062" s="1" t="str">
        <f>IF(E1062="","",E1062&amp;"|"&amp;COUNTIF($E$5:E1062,E1062))</f>
        <v/>
      </c>
    </row>
    <row r="1063" spans="2:13" x14ac:dyDescent="0.2">
      <c r="B1063" s="10"/>
      <c r="C1063" s="7"/>
      <c r="D1063" s="11"/>
      <c r="E1063" s="6"/>
      <c r="F1063" s="12" t="str">
        <f t="shared" si="32"/>
        <v/>
      </c>
      <c r="G1063" s="13" t="str">
        <f t="shared" si="33"/>
        <v/>
      </c>
      <c r="H1063" s="9"/>
      <c r="I1063" s="9"/>
      <c r="J1063" s="14" t="str">
        <f>IF(E1063="","",IFERROR(VLOOKUP(E1063,TabProd,5,FALSE),0)+SUMIFS($H$5:H1063,$E$5:E1063,E1063)-SUMIFS($I$5:I1063,$E$5:E1063,E1063))</f>
        <v/>
      </c>
      <c r="K1063" s="7"/>
      <c r="L1063" s="7"/>
      <c r="M1063" s="1" t="str">
        <f>IF(E1063="","",E1063&amp;"|"&amp;COUNTIF($E$5:E1063,E1063))</f>
        <v/>
      </c>
    </row>
    <row r="1064" spans="2:13" x14ac:dyDescent="0.2">
      <c r="B1064" s="10"/>
      <c r="C1064" s="7"/>
      <c r="D1064" s="11"/>
      <c r="E1064" s="6"/>
      <c r="F1064" s="12" t="str">
        <f t="shared" si="32"/>
        <v/>
      </c>
      <c r="G1064" s="13" t="str">
        <f t="shared" si="33"/>
        <v/>
      </c>
      <c r="H1064" s="9"/>
      <c r="I1064" s="9"/>
      <c r="J1064" s="14" t="str">
        <f>IF(E1064="","",IFERROR(VLOOKUP(E1064,TabProd,5,FALSE),0)+SUMIFS($H$5:H1064,$E$5:E1064,E1064)-SUMIFS($I$5:I1064,$E$5:E1064,E1064))</f>
        <v/>
      </c>
      <c r="K1064" s="7"/>
      <c r="L1064" s="7"/>
      <c r="M1064" s="1" t="str">
        <f>IF(E1064="","",E1064&amp;"|"&amp;COUNTIF($E$5:E1064,E1064))</f>
        <v/>
      </c>
    </row>
    <row r="1065" spans="2:13" x14ac:dyDescent="0.2">
      <c r="B1065" s="10"/>
      <c r="C1065" s="7"/>
      <c r="D1065" s="11"/>
      <c r="E1065" s="6"/>
      <c r="F1065" s="12" t="str">
        <f t="shared" si="32"/>
        <v/>
      </c>
      <c r="G1065" s="13" t="str">
        <f t="shared" si="33"/>
        <v/>
      </c>
      <c r="H1065" s="9"/>
      <c r="I1065" s="9"/>
      <c r="J1065" s="14" t="str">
        <f>IF(E1065="","",IFERROR(VLOOKUP(E1065,TabProd,5,FALSE),0)+SUMIFS($H$5:H1065,$E$5:E1065,E1065)-SUMIFS($I$5:I1065,$E$5:E1065,E1065))</f>
        <v/>
      </c>
      <c r="K1065" s="7"/>
      <c r="L1065" s="7"/>
      <c r="M1065" s="1" t="str">
        <f>IF(E1065="","",E1065&amp;"|"&amp;COUNTIF($E$5:E1065,E1065))</f>
        <v/>
      </c>
    </row>
    <row r="1066" spans="2:13" x14ac:dyDescent="0.2">
      <c r="B1066" s="10"/>
      <c r="C1066" s="7"/>
      <c r="D1066" s="11"/>
      <c r="E1066" s="6"/>
      <c r="F1066" s="12" t="str">
        <f t="shared" si="32"/>
        <v/>
      </c>
      <c r="G1066" s="13" t="str">
        <f t="shared" si="33"/>
        <v/>
      </c>
      <c r="H1066" s="9"/>
      <c r="I1066" s="9"/>
      <c r="J1066" s="14" t="str">
        <f>IF(E1066="","",IFERROR(VLOOKUP(E1066,TabProd,5,FALSE),0)+SUMIFS($H$5:H1066,$E$5:E1066,E1066)-SUMIFS($I$5:I1066,$E$5:E1066,E1066))</f>
        <v/>
      </c>
      <c r="K1066" s="7"/>
      <c r="L1066" s="7"/>
      <c r="M1066" s="1" t="str">
        <f>IF(E1066="","",E1066&amp;"|"&amp;COUNTIF($E$5:E1066,E1066))</f>
        <v/>
      </c>
    </row>
    <row r="1067" spans="2:13" x14ac:dyDescent="0.2">
      <c r="B1067" s="10"/>
      <c r="C1067" s="7"/>
      <c r="D1067" s="11"/>
      <c r="E1067" s="6"/>
      <c r="F1067" s="12" t="str">
        <f t="shared" si="32"/>
        <v/>
      </c>
      <c r="G1067" s="13" t="str">
        <f t="shared" si="33"/>
        <v/>
      </c>
      <c r="H1067" s="9"/>
      <c r="I1067" s="9"/>
      <c r="J1067" s="14" t="str">
        <f>IF(E1067="","",IFERROR(VLOOKUP(E1067,TabProd,5,FALSE),0)+SUMIFS($H$5:H1067,$E$5:E1067,E1067)-SUMIFS($I$5:I1067,$E$5:E1067,E1067))</f>
        <v/>
      </c>
      <c r="K1067" s="7"/>
      <c r="L1067" s="7"/>
      <c r="M1067" s="1" t="str">
        <f>IF(E1067="","",E1067&amp;"|"&amp;COUNTIF($E$5:E1067,E1067))</f>
        <v/>
      </c>
    </row>
    <row r="1068" spans="2:13" x14ac:dyDescent="0.2">
      <c r="B1068" s="10"/>
      <c r="C1068" s="7"/>
      <c r="D1068" s="11"/>
      <c r="E1068" s="6"/>
      <c r="F1068" s="12" t="str">
        <f t="shared" si="32"/>
        <v/>
      </c>
      <c r="G1068" s="13" t="str">
        <f t="shared" si="33"/>
        <v/>
      </c>
      <c r="H1068" s="9"/>
      <c r="I1068" s="9"/>
      <c r="J1068" s="14" t="str">
        <f>IF(E1068="","",IFERROR(VLOOKUP(E1068,TabProd,5,FALSE),0)+SUMIFS($H$5:H1068,$E$5:E1068,E1068)-SUMIFS($I$5:I1068,$E$5:E1068,E1068))</f>
        <v/>
      </c>
      <c r="K1068" s="7"/>
      <c r="L1068" s="7"/>
      <c r="M1068" s="1" t="str">
        <f>IF(E1068="","",E1068&amp;"|"&amp;COUNTIF($E$5:E1068,E1068))</f>
        <v/>
      </c>
    </row>
    <row r="1069" spans="2:13" x14ac:dyDescent="0.2">
      <c r="B1069" s="10"/>
      <c r="C1069" s="7"/>
      <c r="D1069" s="11"/>
      <c r="E1069" s="6"/>
      <c r="F1069" s="12" t="str">
        <f t="shared" si="32"/>
        <v/>
      </c>
      <c r="G1069" s="13" t="str">
        <f t="shared" si="33"/>
        <v/>
      </c>
      <c r="H1069" s="9"/>
      <c r="I1069" s="9"/>
      <c r="J1069" s="14" t="str">
        <f>IF(E1069="","",IFERROR(VLOOKUP(E1069,TabProd,5,FALSE),0)+SUMIFS($H$5:H1069,$E$5:E1069,E1069)-SUMIFS($I$5:I1069,$E$5:E1069,E1069))</f>
        <v/>
      </c>
      <c r="K1069" s="7"/>
      <c r="L1069" s="7"/>
      <c r="M1069" s="1" t="str">
        <f>IF(E1069="","",E1069&amp;"|"&amp;COUNTIF($E$5:E1069,E1069))</f>
        <v/>
      </c>
    </row>
    <row r="1070" spans="2:13" x14ac:dyDescent="0.2">
      <c r="B1070" s="10"/>
      <c r="C1070" s="7"/>
      <c r="D1070" s="11"/>
      <c r="E1070" s="6"/>
      <c r="F1070" s="12" t="str">
        <f t="shared" si="32"/>
        <v/>
      </c>
      <c r="G1070" s="13" t="str">
        <f t="shared" si="33"/>
        <v/>
      </c>
      <c r="H1070" s="9"/>
      <c r="I1070" s="9"/>
      <c r="J1070" s="14" t="str">
        <f>IF(E1070="","",IFERROR(VLOOKUP(E1070,TabProd,5,FALSE),0)+SUMIFS($H$5:H1070,$E$5:E1070,E1070)-SUMIFS($I$5:I1070,$E$5:E1070,E1070))</f>
        <v/>
      </c>
      <c r="K1070" s="7"/>
      <c r="L1070" s="7"/>
      <c r="M1070" s="1" t="str">
        <f>IF(E1070="","",E1070&amp;"|"&amp;COUNTIF($E$5:E1070,E1070))</f>
        <v/>
      </c>
    </row>
    <row r="1071" spans="2:13" x14ac:dyDescent="0.2">
      <c r="B1071" s="10"/>
      <c r="C1071" s="7"/>
      <c r="D1071" s="11"/>
      <c r="E1071" s="6"/>
      <c r="F1071" s="12" t="str">
        <f t="shared" si="32"/>
        <v/>
      </c>
      <c r="G1071" s="13" t="str">
        <f t="shared" si="33"/>
        <v/>
      </c>
      <c r="H1071" s="9"/>
      <c r="I1071" s="9"/>
      <c r="J1071" s="14" t="str">
        <f>IF(E1071="","",IFERROR(VLOOKUP(E1071,TabProd,5,FALSE),0)+SUMIFS($H$5:H1071,$E$5:E1071,E1071)-SUMIFS($I$5:I1071,$E$5:E1071,E1071))</f>
        <v/>
      </c>
      <c r="K1071" s="7"/>
      <c r="L1071" s="7"/>
      <c r="M1071" s="1" t="str">
        <f>IF(E1071="","",E1071&amp;"|"&amp;COUNTIF($E$5:E1071,E1071))</f>
        <v/>
      </c>
    </row>
    <row r="1072" spans="2:13" x14ac:dyDescent="0.2">
      <c r="B1072" s="10"/>
      <c r="C1072" s="7"/>
      <c r="D1072" s="11"/>
      <c r="E1072" s="6"/>
      <c r="F1072" s="12" t="str">
        <f t="shared" si="32"/>
        <v/>
      </c>
      <c r="G1072" s="13" t="str">
        <f t="shared" si="33"/>
        <v/>
      </c>
      <c r="H1072" s="9"/>
      <c r="I1072" s="9"/>
      <c r="J1072" s="14" t="str">
        <f>IF(E1072="","",IFERROR(VLOOKUP(E1072,TabProd,5,FALSE),0)+SUMIFS($H$5:H1072,$E$5:E1072,E1072)-SUMIFS($I$5:I1072,$E$5:E1072,E1072))</f>
        <v/>
      </c>
      <c r="K1072" s="7"/>
      <c r="L1072" s="7"/>
      <c r="M1072" s="1" t="str">
        <f>IF(E1072="","",E1072&amp;"|"&amp;COUNTIF($E$5:E1072,E1072))</f>
        <v/>
      </c>
    </row>
    <row r="1073" spans="2:13" x14ac:dyDescent="0.2">
      <c r="B1073" s="10"/>
      <c r="C1073" s="7"/>
      <c r="D1073" s="11"/>
      <c r="E1073" s="6"/>
      <c r="F1073" s="12" t="str">
        <f t="shared" si="32"/>
        <v/>
      </c>
      <c r="G1073" s="13" t="str">
        <f t="shared" si="33"/>
        <v/>
      </c>
      <c r="H1073" s="9"/>
      <c r="I1073" s="9"/>
      <c r="J1073" s="14" t="str">
        <f>IF(E1073="","",IFERROR(VLOOKUP(E1073,TabProd,5,FALSE),0)+SUMIFS($H$5:H1073,$E$5:E1073,E1073)-SUMIFS($I$5:I1073,$E$5:E1073,E1073))</f>
        <v/>
      </c>
      <c r="K1073" s="7"/>
      <c r="L1073" s="7"/>
      <c r="M1073" s="1" t="str">
        <f>IF(E1073="","",E1073&amp;"|"&amp;COUNTIF($E$5:E1073,E1073))</f>
        <v/>
      </c>
    </row>
    <row r="1074" spans="2:13" x14ac:dyDescent="0.2">
      <c r="B1074" s="10"/>
      <c r="C1074" s="7"/>
      <c r="D1074" s="11"/>
      <c r="E1074" s="6"/>
      <c r="F1074" s="12" t="str">
        <f t="shared" si="32"/>
        <v/>
      </c>
      <c r="G1074" s="13" t="str">
        <f t="shared" si="33"/>
        <v/>
      </c>
      <c r="H1074" s="9"/>
      <c r="I1074" s="9"/>
      <c r="J1074" s="14" t="str">
        <f>IF(E1074="","",IFERROR(VLOOKUP(E1074,TabProd,5,FALSE),0)+SUMIFS($H$5:H1074,$E$5:E1074,E1074)-SUMIFS($I$5:I1074,$E$5:E1074,E1074))</f>
        <v/>
      </c>
      <c r="K1074" s="7"/>
      <c r="L1074" s="7"/>
      <c r="M1074" s="1" t="str">
        <f>IF(E1074="","",E1074&amp;"|"&amp;COUNTIF($E$5:E1074,E1074))</f>
        <v/>
      </c>
    </row>
    <row r="1075" spans="2:13" x14ac:dyDescent="0.2">
      <c r="B1075" s="10"/>
      <c r="C1075" s="7"/>
      <c r="D1075" s="11"/>
      <c r="E1075" s="6"/>
      <c r="F1075" s="12" t="str">
        <f t="shared" si="32"/>
        <v/>
      </c>
      <c r="G1075" s="13" t="str">
        <f t="shared" si="33"/>
        <v/>
      </c>
      <c r="H1075" s="9"/>
      <c r="I1075" s="9"/>
      <c r="J1075" s="14" t="str">
        <f>IF(E1075="","",IFERROR(VLOOKUP(E1075,TabProd,5,FALSE),0)+SUMIFS($H$5:H1075,$E$5:E1075,E1075)-SUMIFS($I$5:I1075,$E$5:E1075,E1075))</f>
        <v/>
      </c>
      <c r="K1075" s="7"/>
      <c r="L1075" s="7"/>
      <c r="M1075" s="1" t="str">
        <f>IF(E1075="","",E1075&amp;"|"&amp;COUNTIF($E$5:E1075,E1075))</f>
        <v/>
      </c>
    </row>
    <row r="1076" spans="2:13" x14ac:dyDescent="0.2">
      <c r="B1076" s="10"/>
      <c r="C1076" s="7"/>
      <c r="D1076" s="11"/>
      <c r="E1076" s="6"/>
      <c r="F1076" s="12" t="str">
        <f t="shared" si="32"/>
        <v/>
      </c>
      <c r="G1076" s="13" t="str">
        <f t="shared" si="33"/>
        <v/>
      </c>
      <c r="H1076" s="9"/>
      <c r="I1076" s="9"/>
      <c r="J1076" s="14" t="str">
        <f>IF(E1076="","",IFERROR(VLOOKUP(E1076,TabProd,5,FALSE),0)+SUMIFS($H$5:H1076,$E$5:E1076,E1076)-SUMIFS($I$5:I1076,$E$5:E1076,E1076))</f>
        <v/>
      </c>
      <c r="K1076" s="7"/>
      <c r="L1076" s="7"/>
      <c r="M1076" s="1" t="str">
        <f>IF(E1076="","",E1076&amp;"|"&amp;COUNTIF($E$5:E1076,E1076))</f>
        <v/>
      </c>
    </row>
    <row r="1077" spans="2:13" x14ac:dyDescent="0.2">
      <c r="B1077" s="10"/>
      <c r="C1077" s="7"/>
      <c r="D1077" s="11"/>
      <c r="E1077" s="6"/>
      <c r="F1077" s="12" t="str">
        <f t="shared" si="32"/>
        <v/>
      </c>
      <c r="G1077" s="13" t="str">
        <f t="shared" si="33"/>
        <v/>
      </c>
      <c r="H1077" s="9"/>
      <c r="I1077" s="9"/>
      <c r="J1077" s="14" t="str">
        <f>IF(E1077="","",IFERROR(VLOOKUP(E1077,TabProd,5,FALSE),0)+SUMIFS($H$5:H1077,$E$5:E1077,E1077)-SUMIFS($I$5:I1077,$E$5:E1077,E1077))</f>
        <v/>
      </c>
      <c r="K1077" s="7"/>
      <c r="L1077" s="7"/>
      <c r="M1077" s="1" t="str">
        <f>IF(E1077="","",E1077&amp;"|"&amp;COUNTIF($E$5:E1077,E1077))</f>
        <v/>
      </c>
    </row>
    <row r="1078" spans="2:13" x14ac:dyDescent="0.2">
      <c r="B1078" s="10"/>
      <c r="C1078" s="7"/>
      <c r="D1078" s="11"/>
      <c r="E1078" s="6"/>
      <c r="F1078" s="12" t="str">
        <f t="shared" si="32"/>
        <v/>
      </c>
      <c r="G1078" s="13" t="str">
        <f t="shared" si="33"/>
        <v/>
      </c>
      <c r="H1078" s="9"/>
      <c r="I1078" s="9"/>
      <c r="J1078" s="14" t="str">
        <f>IF(E1078="","",IFERROR(VLOOKUP(E1078,TabProd,5,FALSE),0)+SUMIFS($H$5:H1078,$E$5:E1078,E1078)-SUMIFS($I$5:I1078,$E$5:E1078,E1078))</f>
        <v/>
      </c>
      <c r="K1078" s="7"/>
      <c r="L1078" s="7"/>
      <c r="M1078" s="1" t="str">
        <f>IF(E1078="","",E1078&amp;"|"&amp;COUNTIF($E$5:E1078,E1078))</f>
        <v/>
      </c>
    </row>
    <row r="1079" spans="2:13" x14ac:dyDescent="0.2">
      <c r="B1079" s="10"/>
      <c r="C1079" s="7"/>
      <c r="D1079" s="11"/>
      <c r="E1079" s="6"/>
      <c r="F1079" s="12" t="str">
        <f t="shared" si="32"/>
        <v/>
      </c>
      <c r="G1079" s="13" t="str">
        <f t="shared" si="33"/>
        <v/>
      </c>
      <c r="H1079" s="9"/>
      <c r="I1079" s="9"/>
      <c r="J1079" s="14" t="str">
        <f>IF(E1079="","",IFERROR(VLOOKUP(E1079,TabProd,5,FALSE),0)+SUMIFS($H$5:H1079,$E$5:E1079,E1079)-SUMIFS($I$5:I1079,$E$5:E1079,E1079))</f>
        <v/>
      </c>
      <c r="K1079" s="7"/>
      <c r="L1079" s="7"/>
      <c r="M1079" s="1" t="str">
        <f>IF(E1079="","",E1079&amp;"|"&amp;COUNTIF($E$5:E1079,E1079))</f>
        <v/>
      </c>
    </row>
    <row r="1080" spans="2:13" x14ac:dyDescent="0.2">
      <c r="B1080" s="10"/>
      <c r="C1080" s="7"/>
      <c r="D1080" s="11"/>
      <c r="E1080" s="6"/>
      <c r="F1080" s="12" t="str">
        <f t="shared" si="32"/>
        <v/>
      </c>
      <c r="G1080" s="13" t="str">
        <f t="shared" si="33"/>
        <v/>
      </c>
      <c r="H1080" s="9"/>
      <c r="I1080" s="9"/>
      <c r="J1080" s="14" t="str">
        <f>IF(E1080="","",IFERROR(VLOOKUP(E1080,TabProd,5,FALSE),0)+SUMIFS($H$5:H1080,$E$5:E1080,E1080)-SUMIFS($I$5:I1080,$E$5:E1080,E1080))</f>
        <v/>
      </c>
      <c r="K1080" s="7"/>
      <c r="L1080" s="7"/>
      <c r="M1080" s="1" t="str">
        <f>IF(E1080="","",E1080&amp;"|"&amp;COUNTIF($E$5:E1080,E1080))</f>
        <v/>
      </c>
    </row>
    <row r="1081" spans="2:13" x14ac:dyDescent="0.2">
      <c r="B1081" s="10"/>
      <c r="C1081" s="7"/>
      <c r="D1081" s="11"/>
      <c r="E1081" s="6"/>
      <c r="F1081" s="12" t="str">
        <f t="shared" si="32"/>
        <v/>
      </c>
      <c r="G1081" s="13" t="str">
        <f t="shared" si="33"/>
        <v/>
      </c>
      <c r="H1081" s="9"/>
      <c r="I1081" s="9"/>
      <c r="J1081" s="14" t="str">
        <f>IF(E1081="","",IFERROR(VLOOKUP(E1081,TabProd,5,FALSE),0)+SUMIFS($H$5:H1081,$E$5:E1081,E1081)-SUMIFS($I$5:I1081,$E$5:E1081,E1081))</f>
        <v/>
      </c>
      <c r="K1081" s="7"/>
      <c r="L1081" s="7"/>
      <c r="M1081" s="1" t="str">
        <f>IF(E1081="","",E1081&amp;"|"&amp;COUNTIF($E$5:E1081,E1081))</f>
        <v/>
      </c>
    </row>
    <row r="1082" spans="2:13" x14ac:dyDescent="0.2">
      <c r="B1082" s="10"/>
      <c r="C1082" s="7"/>
      <c r="D1082" s="11"/>
      <c r="E1082" s="6"/>
      <c r="F1082" s="12" t="str">
        <f t="shared" si="32"/>
        <v/>
      </c>
      <c r="G1082" s="13" t="str">
        <f t="shared" si="33"/>
        <v/>
      </c>
      <c r="H1082" s="9"/>
      <c r="I1082" s="9"/>
      <c r="J1082" s="14" t="str">
        <f>IF(E1082="","",IFERROR(VLOOKUP(E1082,TabProd,5,FALSE),0)+SUMIFS($H$5:H1082,$E$5:E1082,E1082)-SUMIFS($I$5:I1082,$E$5:E1082,E1082))</f>
        <v/>
      </c>
      <c r="K1082" s="7"/>
      <c r="L1082" s="7"/>
      <c r="M1082" s="1" t="str">
        <f>IF(E1082="","",E1082&amp;"|"&amp;COUNTIF($E$5:E1082,E1082))</f>
        <v/>
      </c>
    </row>
    <row r="1083" spans="2:13" x14ac:dyDescent="0.2">
      <c r="B1083" s="10"/>
      <c r="C1083" s="7"/>
      <c r="D1083" s="11"/>
      <c r="E1083" s="6"/>
      <c r="F1083" s="12" t="str">
        <f t="shared" si="32"/>
        <v/>
      </c>
      <c r="G1083" s="13" t="str">
        <f t="shared" si="33"/>
        <v/>
      </c>
      <c r="H1083" s="9"/>
      <c r="I1083" s="9"/>
      <c r="J1083" s="14" t="str">
        <f>IF(E1083="","",IFERROR(VLOOKUP(E1083,TabProd,5,FALSE),0)+SUMIFS($H$5:H1083,$E$5:E1083,E1083)-SUMIFS($I$5:I1083,$E$5:E1083,E1083))</f>
        <v/>
      </c>
      <c r="K1083" s="7"/>
      <c r="L1083" s="7"/>
      <c r="M1083" s="1" t="str">
        <f>IF(E1083="","",E1083&amp;"|"&amp;COUNTIF($E$5:E1083,E1083))</f>
        <v/>
      </c>
    </row>
    <row r="1084" spans="2:13" x14ac:dyDescent="0.2">
      <c r="B1084" s="10"/>
      <c r="C1084" s="7"/>
      <c r="D1084" s="11"/>
      <c r="E1084" s="6"/>
      <c r="F1084" s="12" t="str">
        <f t="shared" si="32"/>
        <v/>
      </c>
      <c r="G1084" s="13" t="str">
        <f t="shared" si="33"/>
        <v/>
      </c>
      <c r="H1084" s="9"/>
      <c r="I1084" s="9"/>
      <c r="J1084" s="14" t="str">
        <f>IF(E1084="","",IFERROR(VLOOKUP(E1084,TabProd,5,FALSE),0)+SUMIFS($H$5:H1084,$E$5:E1084,E1084)-SUMIFS($I$5:I1084,$E$5:E1084,E1084))</f>
        <v/>
      </c>
      <c r="K1084" s="7"/>
      <c r="L1084" s="7"/>
      <c r="M1084" s="1" t="str">
        <f>IF(E1084="","",E1084&amp;"|"&amp;COUNTIF($E$5:E1084,E1084))</f>
        <v/>
      </c>
    </row>
    <row r="1085" spans="2:13" x14ac:dyDescent="0.2">
      <c r="B1085" s="10"/>
      <c r="C1085" s="7"/>
      <c r="D1085" s="11"/>
      <c r="E1085" s="6"/>
      <c r="F1085" s="12" t="str">
        <f t="shared" si="32"/>
        <v/>
      </c>
      <c r="G1085" s="13" t="str">
        <f t="shared" si="33"/>
        <v/>
      </c>
      <c r="H1085" s="9"/>
      <c r="I1085" s="9"/>
      <c r="J1085" s="14" t="str">
        <f>IF(E1085="","",IFERROR(VLOOKUP(E1085,TabProd,5,FALSE),0)+SUMIFS($H$5:H1085,$E$5:E1085,E1085)-SUMIFS($I$5:I1085,$E$5:E1085,E1085))</f>
        <v/>
      </c>
      <c r="K1085" s="7"/>
      <c r="L1085" s="7"/>
      <c r="M1085" s="1" t="str">
        <f>IF(E1085="","",E1085&amp;"|"&amp;COUNTIF($E$5:E1085,E1085))</f>
        <v/>
      </c>
    </row>
    <row r="1086" spans="2:13" x14ac:dyDescent="0.2">
      <c r="B1086" s="10"/>
      <c r="C1086" s="7"/>
      <c r="D1086" s="11"/>
      <c r="E1086" s="6"/>
      <c r="F1086" s="12" t="str">
        <f t="shared" si="32"/>
        <v/>
      </c>
      <c r="G1086" s="13" t="str">
        <f t="shared" si="33"/>
        <v/>
      </c>
      <c r="H1086" s="9"/>
      <c r="I1086" s="9"/>
      <c r="J1086" s="14" t="str">
        <f>IF(E1086="","",IFERROR(VLOOKUP(E1086,TabProd,5,FALSE),0)+SUMIFS($H$5:H1086,$E$5:E1086,E1086)-SUMIFS($I$5:I1086,$E$5:E1086,E1086))</f>
        <v/>
      </c>
      <c r="K1086" s="7"/>
      <c r="L1086" s="7"/>
      <c r="M1086" s="1" t="str">
        <f>IF(E1086="","",E1086&amp;"|"&amp;COUNTIF($E$5:E1086,E1086))</f>
        <v/>
      </c>
    </row>
    <row r="1087" spans="2:13" x14ac:dyDescent="0.2">
      <c r="B1087" s="10"/>
      <c r="C1087" s="7"/>
      <c r="D1087" s="11"/>
      <c r="E1087" s="6"/>
      <c r="F1087" s="12" t="str">
        <f t="shared" si="32"/>
        <v/>
      </c>
      <c r="G1087" s="13" t="str">
        <f t="shared" si="33"/>
        <v/>
      </c>
      <c r="H1087" s="9"/>
      <c r="I1087" s="9"/>
      <c r="J1087" s="14" t="str">
        <f>IF(E1087="","",IFERROR(VLOOKUP(E1087,TabProd,5,FALSE),0)+SUMIFS($H$5:H1087,$E$5:E1087,E1087)-SUMIFS($I$5:I1087,$E$5:E1087,E1087))</f>
        <v/>
      </c>
      <c r="K1087" s="7"/>
      <c r="L1087" s="7"/>
      <c r="M1087" s="1" t="str">
        <f>IF(E1087="","",E1087&amp;"|"&amp;COUNTIF($E$5:E1087,E1087))</f>
        <v/>
      </c>
    </row>
    <row r="1088" spans="2:13" x14ac:dyDescent="0.2">
      <c r="B1088" s="10"/>
      <c r="C1088" s="7"/>
      <c r="D1088" s="11"/>
      <c r="E1088" s="6"/>
      <c r="F1088" s="12" t="str">
        <f t="shared" si="32"/>
        <v/>
      </c>
      <c r="G1088" s="13" t="str">
        <f t="shared" si="33"/>
        <v/>
      </c>
      <c r="H1088" s="9"/>
      <c r="I1088" s="9"/>
      <c r="J1088" s="14" t="str">
        <f>IF(E1088="","",IFERROR(VLOOKUP(E1088,TabProd,5,FALSE),0)+SUMIFS($H$5:H1088,$E$5:E1088,E1088)-SUMIFS($I$5:I1088,$E$5:E1088,E1088))</f>
        <v/>
      </c>
      <c r="K1088" s="7"/>
      <c r="L1088" s="7"/>
      <c r="M1088" s="1" t="str">
        <f>IF(E1088="","",E1088&amp;"|"&amp;COUNTIF($E$5:E1088,E1088))</f>
        <v/>
      </c>
    </row>
    <row r="1089" spans="2:13" x14ac:dyDescent="0.2">
      <c r="B1089" s="10"/>
      <c r="C1089" s="7"/>
      <c r="D1089" s="11"/>
      <c r="E1089" s="6"/>
      <c r="F1089" s="12" t="str">
        <f t="shared" si="32"/>
        <v/>
      </c>
      <c r="G1089" s="13" t="str">
        <f t="shared" si="33"/>
        <v/>
      </c>
      <c r="H1089" s="9"/>
      <c r="I1089" s="9"/>
      <c r="J1089" s="14" t="str">
        <f>IF(E1089="","",IFERROR(VLOOKUP(E1089,TabProd,5,FALSE),0)+SUMIFS($H$5:H1089,$E$5:E1089,E1089)-SUMIFS($I$5:I1089,$E$5:E1089,E1089))</f>
        <v/>
      </c>
      <c r="K1089" s="7"/>
      <c r="L1089" s="7"/>
      <c r="M1089" s="1" t="str">
        <f>IF(E1089="","",E1089&amp;"|"&amp;COUNTIF($E$5:E1089,E1089))</f>
        <v/>
      </c>
    </row>
    <row r="1090" spans="2:13" x14ac:dyDescent="0.2">
      <c r="B1090" s="10"/>
      <c r="C1090" s="7"/>
      <c r="D1090" s="11"/>
      <c r="E1090" s="6"/>
      <c r="F1090" s="12" t="str">
        <f t="shared" si="32"/>
        <v/>
      </c>
      <c r="G1090" s="13" t="str">
        <f t="shared" si="33"/>
        <v/>
      </c>
      <c r="H1090" s="9"/>
      <c r="I1090" s="9"/>
      <c r="J1090" s="14" t="str">
        <f>IF(E1090="","",IFERROR(VLOOKUP(E1090,TabProd,5,FALSE),0)+SUMIFS($H$5:H1090,$E$5:E1090,E1090)-SUMIFS($I$5:I1090,$E$5:E1090,E1090))</f>
        <v/>
      </c>
      <c r="K1090" s="7"/>
      <c r="L1090" s="7"/>
      <c r="M1090" s="1" t="str">
        <f>IF(E1090="","",E1090&amp;"|"&amp;COUNTIF($E$5:E1090,E1090))</f>
        <v/>
      </c>
    </row>
    <row r="1091" spans="2:13" x14ac:dyDescent="0.2">
      <c r="B1091" s="10"/>
      <c r="C1091" s="7"/>
      <c r="D1091" s="11"/>
      <c r="E1091" s="6"/>
      <c r="F1091" s="12" t="str">
        <f t="shared" si="32"/>
        <v/>
      </c>
      <c r="G1091" s="13" t="str">
        <f t="shared" si="33"/>
        <v/>
      </c>
      <c r="H1091" s="9"/>
      <c r="I1091" s="9"/>
      <c r="J1091" s="14" t="str">
        <f>IF(E1091="","",IFERROR(VLOOKUP(E1091,TabProd,5,FALSE),0)+SUMIFS($H$5:H1091,$E$5:E1091,E1091)-SUMIFS($I$5:I1091,$E$5:E1091,E1091))</f>
        <v/>
      </c>
      <c r="K1091" s="7"/>
      <c r="L1091" s="7"/>
      <c r="M1091" s="1" t="str">
        <f>IF(E1091="","",E1091&amp;"|"&amp;COUNTIF($E$5:E1091,E1091))</f>
        <v/>
      </c>
    </row>
    <row r="1092" spans="2:13" x14ac:dyDescent="0.2">
      <c r="B1092" s="10"/>
      <c r="C1092" s="7"/>
      <c r="D1092" s="11"/>
      <c r="E1092" s="6"/>
      <c r="F1092" s="12" t="str">
        <f t="shared" si="32"/>
        <v/>
      </c>
      <c r="G1092" s="13" t="str">
        <f t="shared" si="33"/>
        <v/>
      </c>
      <c r="H1092" s="9"/>
      <c r="I1092" s="9"/>
      <c r="J1092" s="14" t="str">
        <f>IF(E1092="","",IFERROR(VLOOKUP(E1092,TabProd,5,FALSE),0)+SUMIFS($H$5:H1092,$E$5:E1092,E1092)-SUMIFS($I$5:I1092,$E$5:E1092,E1092))</f>
        <v/>
      </c>
      <c r="K1092" s="7"/>
      <c r="L1092" s="7"/>
      <c r="M1092" s="1" t="str">
        <f>IF(E1092="","",E1092&amp;"|"&amp;COUNTIF($E$5:E1092,E1092))</f>
        <v/>
      </c>
    </row>
    <row r="1093" spans="2:13" x14ac:dyDescent="0.2">
      <c r="B1093" s="10"/>
      <c r="C1093" s="7"/>
      <c r="D1093" s="11"/>
      <c r="E1093" s="6"/>
      <c r="F1093" s="12" t="str">
        <f t="shared" ref="F1093:F1156" si="34">IF(E1093="","",IFERROR(VLOOKUP(E1093,TabProd,2,FALSE),"Cod inexistent"))</f>
        <v/>
      </c>
      <c r="G1093" s="13" t="str">
        <f t="shared" ref="G1093:G1156" si="35">IF(E1093="","",IFERROR(VLOOKUP(E1093,TabProd,3,FALSE),""))</f>
        <v/>
      </c>
      <c r="H1093" s="9"/>
      <c r="I1093" s="9"/>
      <c r="J1093" s="14" t="str">
        <f>IF(E1093="","",IFERROR(VLOOKUP(E1093,TabProd,5,FALSE),0)+SUMIFS($H$5:H1093,$E$5:E1093,E1093)-SUMIFS($I$5:I1093,$E$5:E1093,E1093))</f>
        <v/>
      </c>
      <c r="K1093" s="7"/>
      <c r="L1093" s="7"/>
      <c r="M1093" s="1" t="str">
        <f>IF(E1093="","",E1093&amp;"|"&amp;COUNTIF($E$5:E1093,E1093))</f>
        <v/>
      </c>
    </row>
    <row r="1094" spans="2:13" x14ac:dyDescent="0.2">
      <c r="B1094" s="10"/>
      <c r="C1094" s="7"/>
      <c r="D1094" s="11"/>
      <c r="E1094" s="6"/>
      <c r="F1094" s="12" t="str">
        <f t="shared" si="34"/>
        <v/>
      </c>
      <c r="G1094" s="13" t="str">
        <f t="shared" si="35"/>
        <v/>
      </c>
      <c r="H1094" s="9"/>
      <c r="I1094" s="9"/>
      <c r="J1094" s="14" t="str">
        <f>IF(E1094="","",IFERROR(VLOOKUP(E1094,TabProd,5,FALSE),0)+SUMIFS($H$5:H1094,$E$5:E1094,E1094)-SUMIFS($I$5:I1094,$E$5:E1094,E1094))</f>
        <v/>
      </c>
      <c r="K1094" s="7"/>
      <c r="L1094" s="7"/>
      <c r="M1094" s="1" t="str">
        <f>IF(E1094="","",E1094&amp;"|"&amp;COUNTIF($E$5:E1094,E1094))</f>
        <v/>
      </c>
    </row>
    <row r="1095" spans="2:13" x14ac:dyDescent="0.2">
      <c r="B1095" s="10"/>
      <c r="C1095" s="7"/>
      <c r="D1095" s="11"/>
      <c r="E1095" s="6"/>
      <c r="F1095" s="12" t="str">
        <f t="shared" si="34"/>
        <v/>
      </c>
      <c r="G1095" s="13" t="str">
        <f t="shared" si="35"/>
        <v/>
      </c>
      <c r="H1095" s="9"/>
      <c r="I1095" s="9"/>
      <c r="J1095" s="14" t="str">
        <f>IF(E1095="","",IFERROR(VLOOKUP(E1095,TabProd,5,FALSE),0)+SUMIFS($H$5:H1095,$E$5:E1095,E1095)-SUMIFS($I$5:I1095,$E$5:E1095,E1095))</f>
        <v/>
      </c>
      <c r="K1095" s="7"/>
      <c r="L1095" s="7"/>
      <c r="M1095" s="1" t="str">
        <f>IF(E1095="","",E1095&amp;"|"&amp;COUNTIF($E$5:E1095,E1095))</f>
        <v/>
      </c>
    </row>
    <row r="1096" spans="2:13" x14ac:dyDescent="0.2">
      <c r="B1096" s="10"/>
      <c r="C1096" s="7"/>
      <c r="D1096" s="11"/>
      <c r="E1096" s="6"/>
      <c r="F1096" s="12" t="str">
        <f t="shared" si="34"/>
        <v/>
      </c>
      <c r="G1096" s="13" t="str">
        <f t="shared" si="35"/>
        <v/>
      </c>
      <c r="H1096" s="9"/>
      <c r="I1096" s="9"/>
      <c r="J1096" s="14" t="str">
        <f>IF(E1096="","",IFERROR(VLOOKUP(E1096,TabProd,5,FALSE),0)+SUMIFS($H$5:H1096,$E$5:E1096,E1096)-SUMIFS($I$5:I1096,$E$5:E1096,E1096))</f>
        <v/>
      </c>
      <c r="K1096" s="7"/>
      <c r="L1096" s="7"/>
      <c r="M1096" s="1" t="str">
        <f>IF(E1096="","",E1096&amp;"|"&amp;COUNTIF($E$5:E1096,E1096))</f>
        <v/>
      </c>
    </row>
    <row r="1097" spans="2:13" x14ac:dyDescent="0.2">
      <c r="B1097" s="10"/>
      <c r="C1097" s="7"/>
      <c r="D1097" s="11"/>
      <c r="E1097" s="6"/>
      <c r="F1097" s="12" t="str">
        <f t="shared" si="34"/>
        <v/>
      </c>
      <c r="G1097" s="13" t="str">
        <f t="shared" si="35"/>
        <v/>
      </c>
      <c r="H1097" s="9"/>
      <c r="I1097" s="9"/>
      <c r="J1097" s="14" t="str">
        <f>IF(E1097="","",IFERROR(VLOOKUP(E1097,TabProd,5,FALSE),0)+SUMIFS($H$5:H1097,$E$5:E1097,E1097)-SUMIFS($I$5:I1097,$E$5:E1097,E1097))</f>
        <v/>
      </c>
      <c r="K1097" s="7"/>
      <c r="L1097" s="7"/>
      <c r="M1097" s="1" t="str">
        <f>IF(E1097="","",E1097&amp;"|"&amp;COUNTIF($E$5:E1097,E1097))</f>
        <v/>
      </c>
    </row>
    <row r="1098" spans="2:13" x14ac:dyDescent="0.2">
      <c r="B1098" s="10"/>
      <c r="C1098" s="7"/>
      <c r="D1098" s="11"/>
      <c r="E1098" s="6"/>
      <c r="F1098" s="12" t="str">
        <f t="shared" si="34"/>
        <v/>
      </c>
      <c r="G1098" s="13" t="str">
        <f t="shared" si="35"/>
        <v/>
      </c>
      <c r="H1098" s="9"/>
      <c r="I1098" s="9"/>
      <c r="J1098" s="14" t="str">
        <f>IF(E1098="","",IFERROR(VLOOKUP(E1098,TabProd,5,FALSE),0)+SUMIFS($H$5:H1098,$E$5:E1098,E1098)-SUMIFS($I$5:I1098,$E$5:E1098,E1098))</f>
        <v/>
      </c>
      <c r="K1098" s="7"/>
      <c r="L1098" s="7"/>
      <c r="M1098" s="1" t="str">
        <f>IF(E1098="","",E1098&amp;"|"&amp;COUNTIF($E$5:E1098,E1098))</f>
        <v/>
      </c>
    </row>
    <row r="1099" spans="2:13" x14ac:dyDescent="0.2">
      <c r="B1099" s="10"/>
      <c r="C1099" s="7"/>
      <c r="D1099" s="11"/>
      <c r="E1099" s="6"/>
      <c r="F1099" s="12" t="str">
        <f t="shared" si="34"/>
        <v/>
      </c>
      <c r="G1099" s="13" t="str">
        <f t="shared" si="35"/>
        <v/>
      </c>
      <c r="H1099" s="9"/>
      <c r="I1099" s="9"/>
      <c r="J1099" s="14" t="str">
        <f>IF(E1099="","",IFERROR(VLOOKUP(E1099,TabProd,5,FALSE),0)+SUMIFS($H$5:H1099,$E$5:E1099,E1099)-SUMIFS($I$5:I1099,$E$5:E1099,E1099))</f>
        <v/>
      </c>
      <c r="K1099" s="7"/>
      <c r="L1099" s="7"/>
      <c r="M1099" s="1" t="str">
        <f>IF(E1099="","",E1099&amp;"|"&amp;COUNTIF($E$5:E1099,E1099))</f>
        <v/>
      </c>
    </row>
    <row r="1100" spans="2:13" x14ac:dyDescent="0.2">
      <c r="B1100" s="10"/>
      <c r="C1100" s="7"/>
      <c r="D1100" s="11"/>
      <c r="E1100" s="6"/>
      <c r="F1100" s="12" t="str">
        <f t="shared" si="34"/>
        <v/>
      </c>
      <c r="G1100" s="13" t="str">
        <f t="shared" si="35"/>
        <v/>
      </c>
      <c r="H1100" s="9"/>
      <c r="I1100" s="9"/>
      <c r="J1100" s="14" t="str">
        <f>IF(E1100="","",IFERROR(VLOOKUP(E1100,TabProd,5,FALSE),0)+SUMIFS($H$5:H1100,$E$5:E1100,E1100)-SUMIFS($I$5:I1100,$E$5:E1100,E1100))</f>
        <v/>
      </c>
      <c r="K1100" s="7"/>
      <c r="L1100" s="7"/>
      <c r="M1100" s="1" t="str">
        <f>IF(E1100="","",E1100&amp;"|"&amp;COUNTIF($E$5:E1100,E1100))</f>
        <v/>
      </c>
    </row>
    <row r="1101" spans="2:13" x14ac:dyDescent="0.2">
      <c r="B1101" s="10"/>
      <c r="C1101" s="7"/>
      <c r="D1101" s="11"/>
      <c r="E1101" s="6"/>
      <c r="F1101" s="12" t="str">
        <f t="shared" si="34"/>
        <v/>
      </c>
      <c r="G1101" s="13" t="str">
        <f t="shared" si="35"/>
        <v/>
      </c>
      <c r="H1101" s="9"/>
      <c r="I1101" s="9"/>
      <c r="J1101" s="14" t="str">
        <f>IF(E1101="","",IFERROR(VLOOKUP(E1101,TabProd,5,FALSE),0)+SUMIFS($H$5:H1101,$E$5:E1101,E1101)-SUMIFS($I$5:I1101,$E$5:E1101,E1101))</f>
        <v/>
      </c>
      <c r="K1101" s="7"/>
      <c r="L1101" s="7"/>
      <c r="M1101" s="1" t="str">
        <f>IF(E1101="","",E1101&amp;"|"&amp;COUNTIF($E$5:E1101,E1101))</f>
        <v/>
      </c>
    </row>
    <row r="1102" spans="2:13" x14ac:dyDescent="0.2">
      <c r="B1102" s="10"/>
      <c r="C1102" s="7"/>
      <c r="D1102" s="11"/>
      <c r="E1102" s="6"/>
      <c r="F1102" s="12" t="str">
        <f t="shared" si="34"/>
        <v/>
      </c>
      <c r="G1102" s="13" t="str">
        <f t="shared" si="35"/>
        <v/>
      </c>
      <c r="H1102" s="9"/>
      <c r="I1102" s="9"/>
      <c r="J1102" s="14" t="str">
        <f>IF(E1102="","",IFERROR(VLOOKUP(E1102,TabProd,5,FALSE),0)+SUMIFS($H$5:H1102,$E$5:E1102,E1102)-SUMIFS($I$5:I1102,$E$5:E1102,E1102))</f>
        <v/>
      </c>
      <c r="K1102" s="7"/>
      <c r="L1102" s="7"/>
      <c r="M1102" s="1" t="str">
        <f>IF(E1102="","",E1102&amp;"|"&amp;COUNTIF($E$5:E1102,E1102))</f>
        <v/>
      </c>
    </row>
    <row r="1103" spans="2:13" x14ac:dyDescent="0.2">
      <c r="B1103" s="10"/>
      <c r="C1103" s="7"/>
      <c r="D1103" s="11"/>
      <c r="E1103" s="6"/>
      <c r="F1103" s="12" t="str">
        <f t="shared" si="34"/>
        <v/>
      </c>
      <c r="G1103" s="13" t="str">
        <f t="shared" si="35"/>
        <v/>
      </c>
      <c r="H1103" s="9"/>
      <c r="I1103" s="9"/>
      <c r="J1103" s="14" t="str">
        <f>IF(E1103="","",IFERROR(VLOOKUP(E1103,TabProd,5,FALSE),0)+SUMIFS($H$5:H1103,$E$5:E1103,E1103)-SUMIFS($I$5:I1103,$E$5:E1103,E1103))</f>
        <v/>
      </c>
      <c r="K1103" s="7"/>
      <c r="L1103" s="7"/>
      <c r="M1103" s="1" t="str">
        <f>IF(E1103="","",E1103&amp;"|"&amp;COUNTIF($E$5:E1103,E1103))</f>
        <v/>
      </c>
    </row>
    <row r="1104" spans="2:13" x14ac:dyDescent="0.2">
      <c r="B1104" s="10"/>
      <c r="C1104" s="7"/>
      <c r="D1104" s="11"/>
      <c r="E1104" s="6"/>
      <c r="F1104" s="12" t="str">
        <f t="shared" si="34"/>
        <v/>
      </c>
      <c r="G1104" s="13" t="str">
        <f t="shared" si="35"/>
        <v/>
      </c>
      <c r="H1104" s="9"/>
      <c r="I1104" s="9"/>
      <c r="J1104" s="14" t="str">
        <f>IF(E1104="","",IFERROR(VLOOKUP(E1104,TabProd,5,FALSE),0)+SUMIFS($H$5:H1104,$E$5:E1104,E1104)-SUMIFS($I$5:I1104,$E$5:E1104,E1104))</f>
        <v/>
      </c>
      <c r="K1104" s="7"/>
      <c r="L1104" s="7"/>
      <c r="M1104" s="1" t="str">
        <f>IF(E1104="","",E1104&amp;"|"&amp;COUNTIF($E$5:E1104,E1104))</f>
        <v/>
      </c>
    </row>
    <row r="1105" spans="2:13" x14ac:dyDescent="0.2">
      <c r="B1105" s="10"/>
      <c r="C1105" s="7"/>
      <c r="D1105" s="11"/>
      <c r="E1105" s="6"/>
      <c r="F1105" s="12" t="str">
        <f t="shared" si="34"/>
        <v/>
      </c>
      <c r="G1105" s="13" t="str">
        <f t="shared" si="35"/>
        <v/>
      </c>
      <c r="H1105" s="9"/>
      <c r="I1105" s="9"/>
      <c r="J1105" s="14" t="str">
        <f>IF(E1105="","",IFERROR(VLOOKUP(E1105,TabProd,5,FALSE),0)+SUMIFS($H$5:H1105,$E$5:E1105,E1105)-SUMIFS($I$5:I1105,$E$5:E1105,E1105))</f>
        <v/>
      </c>
      <c r="K1105" s="7"/>
      <c r="L1105" s="7"/>
      <c r="M1105" s="1" t="str">
        <f>IF(E1105="","",E1105&amp;"|"&amp;COUNTIF($E$5:E1105,E1105))</f>
        <v/>
      </c>
    </row>
    <row r="1106" spans="2:13" x14ac:dyDescent="0.2">
      <c r="B1106" s="10"/>
      <c r="C1106" s="7"/>
      <c r="D1106" s="11"/>
      <c r="E1106" s="6"/>
      <c r="F1106" s="12" t="str">
        <f t="shared" si="34"/>
        <v/>
      </c>
      <c r="G1106" s="13" t="str">
        <f t="shared" si="35"/>
        <v/>
      </c>
      <c r="H1106" s="9"/>
      <c r="I1106" s="9"/>
      <c r="J1106" s="14" t="str">
        <f>IF(E1106="","",IFERROR(VLOOKUP(E1106,TabProd,5,FALSE),0)+SUMIFS($H$5:H1106,$E$5:E1106,E1106)-SUMIFS($I$5:I1106,$E$5:E1106,E1106))</f>
        <v/>
      </c>
      <c r="K1106" s="7"/>
      <c r="L1106" s="7"/>
      <c r="M1106" s="1" t="str">
        <f>IF(E1106="","",E1106&amp;"|"&amp;COUNTIF($E$5:E1106,E1106))</f>
        <v/>
      </c>
    </row>
    <row r="1107" spans="2:13" x14ac:dyDescent="0.2">
      <c r="B1107" s="10"/>
      <c r="C1107" s="7"/>
      <c r="D1107" s="11"/>
      <c r="E1107" s="6"/>
      <c r="F1107" s="12" t="str">
        <f t="shared" si="34"/>
        <v/>
      </c>
      <c r="G1107" s="13" t="str">
        <f t="shared" si="35"/>
        <v/>
      </c>
      <c r="H1107" s="9"/>
      <c r="I1107" s="9"/>
      <c r="J1107" s="14" t="str">
        <f>IF(E1107="","",IFERROR(VLOOKUP(E1107,TabProd,5,FALSE),0)+SUMIFS($H$5:H1107,$E$5:E1107,E1107)-SUMIFS($I$5:I1107,$E$5:E1107,E1107))</f>
        <v/>
      </c>
      <c r="K1107" s="7"/>
      <c r="L1107" s="7"/>
      <c r="M1107" s="1" t="str">
        <f>IF(E1107="","",E1107&amp;"|"&amp;COUNTIF($E$5:E1107,E1107))</f>
        <v/>
      </c>
    </row>
    <row r="1108" spans="2:13" x14ac:dyDescent="0.2">
      <c r="B1108" s="10"/>
      <c r="C1108" s="7"/>
      <c r="D1108" s="11"/>
      <c r="E1108" s="6"/>
      <c r="F1108" s="12" t="str">
        <f t="shared" si="34"/>
        <v/>
      </c>
      <c r="G1108" s="13" t="str">
        <f t="shared" si="35"/>
        <v/>
      </c>
      <c r="H1108" s="9"/>
      <c r="I1108" s="9"/>
      <c r="J1108" s="14" t="str">
        <f>IF(E1108="","",IFERROR(VLOOKUP(E1108,TabProd,5,FALSE),0)+SUMIFS($H$5:H1108,$E$5:E1108,E1108)-SUMIFS($I$5:I1108,$E$5:E1108,E1108))</f>
        <v/>
      </c>
      <c r="K1108" s="7"/>
      <c r="L1108" s="7"/>
      <c r="M1108" s="1" t="str">
        <f>IF(E1108="","",E1108&amp;"|"&amp;COUNTIF($E$5:E1108,E1108))</f>
        <v/>
      </c>
    </row>
    <row r="1109" spans="2:13" x14ac:dyDescent="0.2">
      <c r="B1109" s="10"/>
      <c r="C1109" s="7"/>
      <c r="D1109" s="11"/>
      <c r="E1109" s="6"/>
      <c r="F1109" s="12" t="str">
        <f t="shared" si="34"/>
        <v/>
      </c>
      <c r="G1109" s="13" t="str">
        <f t="shared" si="35"/>
        <v/>
      </c>
      <c r="H1109" s="9"/>
      <c r="I1109" s="9"/>
      <c r="J1109" s="14" t="str">
        <f>IF(E1109="","",IFERROR(VLOOKUP(E1109,TabProd,5,FALSE),0)+SUMIFS($H$5:H1109,$E$5:E1109,E1109)-SUMIFS($I$5:I1109,$E$5:E1109,E1109))</f>
        <v/>
      </c>
      <c r="K1109" s="7"/>
      <c r="L1109" s="7"/>
      <c r="M1109" s="1" t="str">
        <f>IF(E1109="","",E1109&amp;"|"&amp;COUNTIF($E$5:E1109,E1109))</f>
        <v/>
      </c>
    </row>
    <row r="1110" spans="2:13" x14ac:dyDescent="0.2">
      <c r="B1110" s="10"/>
      <c r="C1110" s="7"/>
      <c r="D1110" s="11"/>
      <c r="E1110" s="6"/>
      <c r="F1110" s="12" t="str">
        <f t="shared" si="34"/>
        <v/>
      </c>
      <c r="G1110" s="13" t="str">
        <f t="shared" si="35"/>
        <v/>
      </c>
      <c r="H1110" s="9"/>
      <c r="I1110" s="9"/>
      <c r="J1110" s="14" t="str">
        <f>IF(E1110="","",IFERROR(VLOOKUP(E1110,TabProd,5,FALSE),0)+SUMIFS($H$5:H1110,$E$5:E1110,E1110)-SUMIFS($I$5:I1110,$E$5:E1110,E1110))</f>
        <v/>
      </c>
      <c r="K1110" s="7"/>
      <c r="L1110" s="7"/>
      <c r="M1110" s="1" t="str">
        <f>IF(E1110="","",E1110&amp;"|"&amp;COUNTIF($E$5:E1110,E1110))</f>
        <v/>
      </c>
    </row>
    <row r="1111" spans="2:13" x14ac:dyDescent="0.2">
      <c r="B1111" s="10"/>
      <c r="C1111" s="7"/>
      <c r="D1111" s="11"/>
      <c r="E1111" s="6"/>
      <c r="F1111" s="12" t="str">
        <f t="shared" si="34"/>
        <v/>
      </c>
      <c r="G1111" s="13" t="str">
        <f t="shared" si="35"/>
        <v/>
      </c>
      <c r="H1111" s="9"/>
      <c r="I1111" s="9"/>
      <c r="J1111" s="14" t="str">
        <f>IF(E1111="","",IFERROR(VLOOKUP(E1111,TabProd,5,FALSE),0)+SUMIFS($H$5:H1111,$E$5:E1111,E1111)-SUMIFS($I$5:I1111,$E$5:E1111,E1111))</f>
        <v/>
      </c>
      <c r="K1111" s="7"/>
      <c r="L1111" s="7"/>
      <c r="M1111" s="1" t="str">
        <f>IF(E1111="","",E1111&amp;"|"&amp;COUNTIF($E$5:E1111,E1111))</f>
        <v/>
      </c>
    </row>
    <row r="1112" spans="2:13" x14ac:dyDescent="0.2">
      <c r="B1112" s="10"/>
      <c r="C1112" s="7"/>
      <c r="D1112" s="11"/>
      <c r="E1112" s="6"/>
      <c r="F1112" s="12" t="str">
        <f t="shared" si="34"/>
        <v/>
      </c>
      <c r="G1112" s="13" t="str">
        <f t="shared" si="35"/>
        <v/>
      </c>
      <c r="H1112" s="9"/>
      <c r="I1112" s="9"/>
      <c r="J1112" s="14" t="str">
        <f>IF(E1112="","",IFERROR(VLOOKUP(E1112,TabProd,5,FALSE),0)+SUMIFS($H$5:H1112,$E$5:E1112,E1112)-SUMIFS($I$5:I1112,$E$5:E1112,E1112))</f>
        <v/>
      </c>
      <c r="K1112" s="7"/>
      <c r="L1112" s="7"/>
      <c r="M1112" s="1" t="str">
        <f>IF(E1112="","",E1112&amp;"|"&amp;COUNTIF($E$5:E1112,E1112))</f>
        <v/>
      </c>
    </row>
    <row r="1113" spans="2:13" x14ac:dyDescent="0.2">
      <c r="B1113" s="10"/>
      <c r="C1113" s="7"/>
      <c r="D1113" s="11"/>
      <c r="E1113" s="6"/>
      <c r="F1113" s="12" t="str">
        <f t="shared" si="34"/>
        <v/>
      </c>
      <c r="G1113" s="13" t="str">
        <f t="shared" si="35"/>
        <v/>
      </c>
      <c r="H1113" s="9"/>
      <c r="I1113" s="9"/>
      <c r="J1113" s="14" t="str">
        <f>IF(E1113="","",IFERROR(VLOOKUP(E1113,TabProd,5,FALSE),0)+SUMIFS($H$5:H1113,$E$5:E1113,E1113)-SUMIFS($I$5:I1113,$E$5:E1113,E1113))</f>
        <v/>
      </c>
      <c r="K1113" s="7"/>
      <c r="L1113" s="7"/>
      <c r="M1113" s="1" t="str">
        <f>IF(E1113="","",E1113&amp;"|"&amp;COUNTIF($E$5:E1113,E1113))</f>
        <v/>
      </c>
    </row>
    <row r="1114" spans="2:13" x14ac:dyDescent="0.2">
      <c r="B1114" s="10"/>
      <c r="C1114" s="7"/>
      <c r="D1114" s="11"/>
      <c r="E1114" s="6"/>
      <c r="F1114" s="12" t="str">
        <f t="shared" si="34"/>
        <v/>
      </c>
      <c r="G1114" s="13" t="str">
        <f t="shared" si="35"/>
        <v/>
      </c>
      <c r="H1114" s="9"/>
      <c r="I1114" s="9"/>
      <c r="J1114" s="14" t="str">
        <f>IF(E1114="","",IFERROR(VLOOKUP(E1114,TabProd,5,FALSE),0)+SUMIFS($H$5:H1114,$E$5:E1114,E1114)-SUMIFS($I$5:I1114,$E$5:E1114,E1114))</f>
        <v/>
      </c>
      <c r="K1114" s="7"/>
      <c r="L1114" s="7"/>
      <c r="M1114" s="1" t="str">
        <f>IF(E1114="","",E1114&amp;"|"&amp;COUNTIF($E$5:E1114,E1114))</f>
        <v/>
      </c>
    </row>
    <row r="1115" spans="2:13" x14ac:dyDescent="0.2">
      <c r="B1115" s="10"/>
      <c r="C1115" s="7"/>
      <c r="D1115" s="11"/>
      <c r="E1115" s="6"/>
      <c r="F1115" s="12" t="str">
        <f t="shared" si="34"/>
        <v/>
      </c>
      <c r="G1115" s="13" t="str">
        <f t="shared" si="35"/>
        <v/>
      </c>
      <c r="H1115" s="9"/>
      <c r="I1115" s="9"/>
      <c r="J1115" s="14" t="str">
        <f>IF(E1115="","",IFERROR(VLOOKUP(E1115,TabProd,5,FALSE),0)+SUMIFS($H$5:H1115,$E$5:E1115,E1115)-SUMIFS($I$5:I1115,$E$5:E1115,E1115))</f>
        <v/>
      </c>
      <c r="K1115" s="7"/>
      <c r="L1115" s="7"/>
      <c r="M1115" s="1" t="str">
        <f>IF(E1115="","",E1115&amp;"|"&amp;COUNTIF($E$5:E1115,E1115))</f>
        <v/>
      </c>
    </row>
    <row r="1116" spans="2:13" x14ac:dyDescent="0.2">
      <c r="B1116" s="10"/>
      <c r="C1116" s="7"/>
      <c r="D1116" s="11"/>
      <c r="E1116" s="6"/>
      <c r="F1116" s="12" t="str">
        <f t="shared" si="34"/>
        <v/>
      </c>
      <c r="G1116" s="13" t="str">
        <f t="shared" si="35"/>
        <v/>
      </c>
      <c r="H1116" s="9"/>
      <c r="I1116" s="9"/>
      <c r="J1116" s="14" t="str">
        <f>IF(E1116="","",IFERROR(VLOOKUP(E1116,TabProd,5,FALSE),0)+SUMIFS($H$5:H1116,$E$5:E1116,E1116)-SUMIFS($I$5:I1116,$E$5:E1116,E1116))</f>
        <v/>
      </c>
      <c r="K1116" s="7"/>
      <c r="L1116" s="7"/>
      <c r="M1116" s="1" t="str">
        <f>IF(E1116="","",E1116&amp;"|"&amp;COUNTIF($E$5:E1116,E1116))</f>
        <v/>
      </c>
    </row>
    <row r="1117" spans="2:13" x14ac:dyDescent="0.2">
      <c r="B1117" s="10"/>
      <c r="C1117" s="7"/>
      <c r="D1117" s="11"/>
      <c r="E1117" s="6"/>
      <c r="F1117" s="12" t="str">
        <f t="shared" si="34"/>
        <v/>
      </c>
      <c r="G1117" s="13" t="str">
        <f t="shared" si="35"/>
        <v/>
      </c>
      <c r="H1117" s="9"/>
      <c r="I1117" s="9"/>
      <c r="J1117" s="14" t="str">
        <f>IF(E1117="","",IFERROR(VLOOKUP(E1117,TabProd,5,FALSE),0)+SUMIFS($H$5:H1117,$E$5:E1117,E1117)-SUMIFS($I$5:I1117,$E$5:E1117,E1117))</f>
        <v/>
      </c>
      <c r="K1117" s="7"/>
      <c r="L1117" s="7"/>
      <c r="M1117" s="1" t="str">
        <f>IF(E1117="","",E1117&amp;"|"&amp;COUNTIF($E$5:E1117,E1117))</f>
        <v/>
      </c>
    </row>
    <row r="1118" spans="2:13" x14ac:dyDescent="0.2">
      <c r="B1118" s="10"/>
      <c r="C1118" s="7"/>
      <c r="D1118" s="11"/>
      <c r="E1118" s="6"/>
      <c r="F1118" s="12" t="str">
        <f t="shared" si="34"/>
        <v/>
      </c>
      <c r="G1118" s="13" t="str">
        <f t="shared" si="35"/>
        <v/>
      </c>
      <c r="H1118" s="9"/>
      <c r="I1118" s="9"/>
      <c r="J1118" s="14" t="str">
        <f>IF(E1118="","",IFERROR(VLOOKUP(E1118,TabProd,5,FALSE),0)+SUMIFS($H$5:H1118,$E$5:E1118,E1118)-SUMIFS($I$5:I1118,$E$5:E1118,E1118))</f>
        <v/>
      </c>
      <c r="K1118" s="7"/>
      <c r="L1118" s="7"/>
      <c r="M1118" s="1" t="str">
        <f>IF(E1118="","",E1118&amp;"|"&amp;COUNTIF($E$5:E1118,E1118))</f>
        <v/>
      </c>
    </row>
    <row r="1119" spans="2:13" x14ac:dyDescent="0.2">
      <c r="B1119" s="10"/>
      <c r="C1119" s="7"/>
      <c r="D1119" s="11"/>
      <c r="E1119" s="6"/>
      <c r="F1119" s="12" t="str">
        <f t="shared" si="34"/>
        <v/>
      </c>
      <c r="G1119" s="13" t="str">
        <f t="shared" si="35"/>
        <v/>
      </c>
      <c r="H1119" s="9"/>
      <c r="I1119" s="9"/>
      <c r="J1119" s="14" t="str">
        <f>IF(E1119="","",IFERROR(VLOOKUP(E1119,TabProd,5,FALSE),0)+SUMIFS($H$5:H1119,$E$5:E1119,E1119)-SUMIFS($I$5:I1119,$E$5:E1119,E1119))</f>
        <v/>
      </c>
      <c r="K1119" s="7"/>
      <c r="L1119" s="7"/>
      <c r="M1119" s="1" t="str">
        <f>IF(E1119="","",E1119&amp;"|"&amp;COUNTIF($E$5:E1119,E1119))</f>
        <v/>
      </c>
    </row>
    <row r="1120" spans="2:13" x14ac:dyDescent="0.2">
      <c r="B1120" s="10"/>
      <c r="C1120" s="7"/>
      <c r="D1120" s="11"/>
      <c r="E1120" s="6"/>
      <c r="F1120" s="12" t="str">
        <f t="shared" si="34"/>
        <v/>
      </c>
      <c r="G1120" s="13" t="str">
        <f t="shared" si="35"/>
        <v/>
      </c>
      <c r="H1120" s="9"/>
      <c r="I1120" s="9"/>
      <c r="J1120" s="14" t="str">
        <f>IF(E1120="","",IFERROR(VLOOKUP(E1120,TabProd,5,FALSE),0)+SUMIFS($H$5:H1120,$E$5:E1120,E1120)-SUMIFS($I$5:I1120,$E$5:E1120,E1120))</f>
        <v/>
      </c>
      <c r="K1120" s="7"/>
      <c r="L1120" s="7"/>
      <c r="M1120" s="1" t="str">
        <f>IF(E1120="","",E1120&amp;"|"&amp;COUNTIF($E$5:E1120,E1120))</f>
        <v/>
      </c>
    </row>
    <row r="1121" spans="2:13" x14ac:dyDescent="0.2">
      <c r="B1121" s="10"/>
      <c r="C1121" s="7"/>
      <c r="D1121" s="11"/>
      <c r="E1121" s="6"/>
      <c r="F1121" s="12" t="str">
        <f t="shared" si="34"/>
        <v/>
      </c>
      <c r="G1121" s="13" t="str">
        <f t="shared" si="35"/>
        <v/>
      </c>
      <c r="H1121" s="9"/>
      <c r="I1121" s="9"/>
      <c r="J1121" s="14" t="str">
        <f>IF(E1121="","",IFERROR(VLOOKUP(E1121,TabProd,5,FALSE),0)+SUMIFS($H$5:H1121,$E$5:E1121,E1121)-SUMIFS($I$5:I1121,$E$5:E1121,E1121))</f>
        <v/>
      </c>
      <c r="K1121" s="7"/>
      <c r="L1121" s="7"/>
      <c r="M1121" s="1" t="str">
        <f>IF(E1121="","",E1121&amp;"|"&amp;COUNTIF($E$5:E1121,E1121))</f>
        <v/>
      </c>
    </row>
    <row r="1122" spans="2:13" x14ac:dyDescent="0.2">
      <c r="B1122" s="10"/>
      <c r="C1122" s="7"/>
      <c r="D1122" s="11"/>
      <c r="E1122" s="6"/>
      <c r="F1122" s="12" t="str">
        <f t="shared" si="34"/>
        <v/>
      </c>
      <c r="G1122" s="13" t="str">
        <f t="shared" si="35"/>
        <v/>
      </c>
      <c r="H1122" s="9"/>
      <c r="I1122" s="9"/>
      <c r="J1122" s="14" t="str">
        <f>IF(E1122="","",IFERROR(VLOOKUP(E1122,TabProd,5,FALSE),0)+SUMIFS($H$5:H1122,$E$5:E1122,E1122)-SUMIFS($I$5:I1122,$E$5:E1122,E1122))</f>
        <v/>
      </c>
      <c r="K1122" s="7"/>
      <c r="L1122" s="7"/>
      <c r="M1122" s="1" t="str">
        <f>IF(E1122="","",E1122&amp;"|"&amp;COUNTIF($E$5:E1122,E1122))</f>
        <v/>
      </c>
    </row>
    <row r="1123" spans="2:13" x14ac:dyDescent="0.2">
      <c r="B1123" s="10"/>
      <c r="C1123" s="7"/>
      <c r="D1123" s="11"/>
      <c r="E1123" s="6"/>
      <c r="F1123" s="12" t="str">
        <f t="shared" si="34"/>
        <v/>
      </c>
      <c r="G1123" s="13" t="str">
        <f t="shared" si="35"/>
        <v/>
      </c>
      <c r="H1123" s="9"/>
      <c r="I1123" s="9"/>
      <c r="J1123" s="14" t="str">
        <f>IF(E1123="","",IFERROR(VLOOKUP(E1123,TabProd,5,FALSE),0)+SUMIFS($H$5:H1123,$E$5:E1123,E1123)-SUMIFS($I$5:I1123,$E$5:E1123,E1123))</f>
        <v/>
      </c>
      <c r="K1123" s="7"/>
      <c r="L1123" s="7"/>
      <c r="M1123" s="1" t="str">
        <f>IF(E1123="","",E1123&amp;"|"&amp;COUNTIF($E$5:E1123,E1123))</f>
        <v/>
      </c>
    </row>
    <row r="1124" spans="2:13" x14ac:dyDescent="0.2">
      <c r="B1124" s="10"/>
      <c r="C1124" s="7"/>
      <c r="D1124" s="11"/>
      <c r="E1124" s="6"/>
      <c r="F1124" s="12" t="str">
        <f t="shared" si="34"/>
        <v/>
      </c>
      <c r="G1124" s="13" t="str">
        <f t="shared" si="35"/>
        <v/>
      </c>
      <c r="H1124" s="9"/>
      <c r="I1124" s="9"/>
      <c r="J1124" s="14" t="str">
        <f>IF(E1124="","",IFERROR(VLOOKUP(E1124,TabProd,5,FALSE),0)+SUMIFS($H$5:H1124,$E$5:E1124,E1124)-SUMIFS($I$5:I1124,$E$5:E1124,E1124))</f>
        <v/>
      </c>
      <c r="K1124" s="7"/>
      <c r="L1124" s="7"/>
      <c r="M1124" s="1" t="str">
        <f>IF(E1124="","",E1124&amp;"|"&amp;COUNTIF($E$5:E1124,E1124))</f>
        <v/>
      </c>
    </row>
    <row r="1125" spans="2:13" x14ac:dyDescent="0.2">
      <c r="B1125" s="10"/>
      <c r="C1125" s="7"/>
      <c r="D1125" s="11"/>
      <c r="E1125" s="6"/>
      <c r="F1125" s="12" t="str">
        <f t="shared" si="34"/>
        <v/>
      </c>
      <c r="G1125" s="13" t="str">
        <f t="shared" si="35"/>
        <v/>
      </c>
      <c r="H1125" s="9"/>
      <c r="I1125" s="9"/>
      <c r="J1125" s="14" t="str">
        <f>IF(E1125="","",IFERROR(VLOOKUP(E1125,TabProd,5,FALSE),0)+SUMIFS($H$5:H1125,$E$5:E1125,E1125)-SUMIFS($I$5:I1125,$E$5:E1125,E1125))</f>
        <v/>
      </c>
      <c r="K1125" s="7"/>
      <c r="L1125" s="7"/>
      <c r="M1125" s="1" t="str">
        <f>IF(E1125="","",E1125&amp;"|"&amp;COUNTIF($E$5:E1125,E1125))</f>
        <v/>
      </c>
    </row>
    <row r="1126" spans="2:13" x14ac:dyDescent="0.2">
      <c r="B1126" s="10"/>
      <c r="C1126" s="7"/>
      <c r="D1126" s="11"/>
      <c r="E1126" s="6"/>
      <c r="F1126" s="12" t="str">
        <f t="shared" si="34"/>
        <v/>
      </c>
      <c r="G1126" s="13" t="str">
        <f t="shared" si="35"/>
        <v/>
      </c>
      <c r="H1126" s="9"/>
      <c r="I1126" s="9"/>
      <c r="J1126" s="14" t="str">
        <f>IF(E1126="","",IFERROR(VLOOKUP(E1126,TabProd,5,FALSE),0)+SUMIFS($H$5:H1126,$E$5:E1126,E1126)-SUMIFS($I$5:I1126,$E$5:E1126,E1126))</f>
        <v/>
      </c>
      <c r="K1126" s="7"/>
      <c r="L1126" s="7"/>
      <c r="M1126" s="1" t="str">
        <f>IF(E1126="","",E1126&amp;"|"&amp;COUNTIF($E$5:E1126,E1126))</f>
        <v/>
      </c>
    </row>
    <row r="1127" spans="2:13" x14ac:dyDescent="0.2">
      <c r="B1127" s="10"/>
      <c r="C1127" s="7"/>
      <c r="D1127" s="11"/>
      <c r="E1127" s="6"/>
      <c r="F1127" s="12" t="str">
        <f t="shared" si="34"/>
        <v/>
      </c>
      <c r="G1127" s="13" t="str">
        <f t="shared" si="35"/>
        <v/>
      </c>
      <c r="H1127" s="9"/>
      <c r="I1127" s="9"/>
      <c r="J1127" s="14" t="str">
        <f>IF(E1127="","",IFERROR(VLOOKUP(E1127,TabProd,5,FALSE),0)+SUMIFS($H$5:H1127,$E$5:E1127,E1127)-SUMIFS($I$5:I1127,$E$5:E1127,E1127))</f>
        <v/>
      </c>
      <c r="K1127" s="7"/>
      <c r="L1127" s="7"/>
      <c r="M1127" s="1" t="str">
        <f>IF(E1127="","",E1127&amp;"|"&amp;COUNTIF($E$5:E1127,E1127))</f>
        <v/>
      </c>
    </row>
    <row r="1128" spans="2:13" x14ac:dyDescent="0.2">
      <c r="B1128" s="10"/>
      <c r="C1128" s="7"/>
      <c r="D1128" s="11"/>
      <c r="E1128" s="6"/>
      <c r="F1128" s="12" t="str">
        <f t="shared" si="34"/>
        <v/>
      </c>
      <c r="G1128" s="13" t="str">
        <f t="shared" si="35"/>
        <v/>
      </c>
      <c r="H1128" s="9"/>
      <c r="I1128" s="9"/>
      <c r="J1128" s="14" t="str">
        <f>IF(E1128="","",IFERROR(VLOOKUP(E1128,TabProd,5,FALSE),0)+SUMIFS($H$5:H1128,$E$5:E1128,E1128)-SUMIFS($I$5:I1128,$E$5:E1128,E1128))</f>
        <v/>
      </c>
      <c r="K1128" s="7"/>
      <c r="L1128" s="7"/>
      <c r="M1128" s="1" t="str">
        <f>IF(E1128="","",E1128&amp;"|"&amp;COUNTIF($E$5:E1128,E1128))</f>
        <v/>
      </c>
    </row>
    <row r="1129" spans="2:13" x14ac:dyDescent="0.2">
      <c r="B1129" s="10"/>
      <c r="C1129" s="7"/>
      <c r="D1129" s="11"/>
      <c r="E1129" s="6"/>
      <c r="F1129" s="12" t="str">
        <f t="shared" si="34"/>
        <v/>
      </c>
      <c r="G1129" s="13" t="str">
        <f t="shared" si="35"/>
        <v/>
      </c>
      <c r="H1129" s="9"/>
      <c r="I1129" s="9"/>
      <c r="J1129" s="14" t="str">
        <f>IF(E1129="","",IFERROR(VLOOKUP(E1129,TabProd,5,FALSE),0)+SUMIFS($H$5:H1129,$E$5:E1129,E1129)-SUMIFS($I$5:I1129,$E$5:E1129,E1129))</f>
        <v/>
      </c>
      <c r="K1129" s="7"/>
      <c r="L1129" s="7"/>
      <c r="M1129" s="1" t="str">
        <f>IF(E1129="","",E1129&amp;"|"&amp;COUNTIF($E$5:E1129,E1129))</f>
        <v/>
      </c>
    </row>
    <row r="1130" spans="2:13" x14ac:dyDescent="0.2">
      <c r="B1130" s="10"/>
      <c r="C1130" s="7"/>
      <c r="D1130" s="11"/>
      <c r="E1130" s="6"/>
      <c r="F1130" s="12" t="str">
        <f t="shared" si="34"/>
        <v/>
      </c>
      <c r="G1130" s="13" t="str">
        <f t="shared" si="35"/>
        <v/>
      </c>
      <c r="H1130" s="9"/>
      <c r="I1130" s="9"/>
      <c r="J1130" s="14" t="str">
        <f>IF(E1130="","",IFERROR(VLOOKUP(E1130,TabProd,5,FALSE),0)+SUMIFS($H$5:H1130,$E$5:E1130,E1130)-SUMIFS($I$5:I1130,$E$5:E1130,E1130))</f>
        <v/>
      </c>
      <c r="K1130" s="7"/>
      <c r="L1130" s="7"/>
      <c r="M1130" s="1" t="str">
        <f>IF(E1130="","",E1130&amp;"|"&amp;COUNTIF($E$5:E1130,E1130))</f>
        <v/>
      </c>
    </row>
    <row r="1131" spans="2:13" x14ac:dyDescent="0.2">
      <c r="B1131" s="10"/>
      <c r="C1131" s="7"/>
      <c r="D1131" s="11"/>
      <c r="E1131" s="6"/>
      <c r="F1131" s="12" t="str">
        <f t="shared" si="34"/>
        <v/>
      </c>
      <c r="G1131" s="13" t="str">
        <f t="shared" si="35"/>
        <v/>
      </c>
      <c r="H1131" s="9"/>
      <c r="I1131" s="9"/>
      <c r="J1131" s="14" t="str">
        <f>IF(E1131="","",IFERROR(VLOOKUP(E1131,TabProd,5,FALSE),0)+SUMIFS($H$5:H1131,$E$5:E1131,E1131)-SUMIFS($I$5:I1131,$E$5:E1131,E1131))</f>
        <v/>
      </c>
      <c r="K1131" s="7"/>
      <c r="L1131" s="7"/>
      <c r="M1131" s="1" t="str">
        <f>IF(E1131="","",E1131&amp;"|"&amp;COUNTIF($E$5:E1131,E1131))</f>
        <v/>
      </c>
    </row>
    <row r="1132" spans="2:13" x14ac:dyDescent="0.2">
      <c r="B1132" s="10"/>
      <c r="C1132" s="7"/>
      <c r="D1132" s="11"/>
      <c r="E1132" s="6"/>
      <c r="F1132" s="12" t="str">
        <f t="shared" si="34"/>
        <v/>
      </c>
      <c r="G1132" s="13" t="str">
        <f t="shared" si="35"/>
        <v/>
      </c>
      <c r="H1132" s="9"/>
      <c r="I1132" s="9"/>
      <c r="J1132" s="14" t="str">
        <f>IF(E1132="","",IFERROR(VLOOKUP(E1132,TabProd,5,FALSE),0)+SUMIFS($H$5:H1132,$E$5:E1132,E1132)-SUMIFS($I$5:I1132,$E$5:E1132,E1132))</f>
        <v/>
      </c>
      <c r="K1132" s="7"/>
      <c r="L1132" s="7"/>
      <c r="M1132" s="1" t="str">
        <f>IF(E1132="","",E1132&amp;"|"&amp;COUNTIF($E$5:E1132,E1132))</f>
        <v/>
      </c>
    </row>
    <row r="1133" spans="2:13" x14ac:dyDescent="0.2">
      <c r="B1133" s="10"/>
      <c r="C1133" s="7"/>
      <c r="D1133" s="11"/>
      <c r="E1133" s="6"/>
      <c r="F1133" s="12" t="str">
        <f t="shared" si="34"/>
        <v/>
      </c>
      <c r="G1133" s="13" t="str">
        <f t="shared" si="35"/>
        <v/>
      </c>
      <c r="H1133" s="9"/>
      <c r="I1133" s="9"/>
      <c r="J1133" s="14" t="str">
        <f>IF(E1133="","",IFERROR(VLOOKUP(E1133,TabProd,5,FALSE),0)+SUMIFS($H$5:H1133,$E$5:E1133,E1133)-SUMIFS($I$5:I1133,$E$5:E1133,E1133))</f>
        <v/>
      </c>
      <c r="K1133" s="7"/>
      <c r="L1133" s="7"/>
      <c r="M1133" s="1" t="str">
        <f>IF(E1133="","",E1133&amp;"|"&amp;COUNTIF($E$5:E1133,E1133))</f>
        <v/>
      </c>
    </row>
    <row r="1134" spans="2:13" x14ac:dyDescent="0.2">
      <c r="B1134" s="10"/>
      <c r="C1134" s="7"/>
      <c r="D1134" s="11"/>
      <c r="E1134" s="6"/>
      <c r="F1134" s="12" t="str">
        <f t="shared" si="34"/>
        <v/>
      </c>
      <c r="G1134" s="13" t="str">
        <f t="shared" si="35"/>
        <v/>
      </c>
      <c r="H1134" s="9"/>
      <c r="I1134" s="9"/>
      <c r="J1134" s="14" t="str">
        <f>IF(E1134="","",IFERROR(VLOOKUP(E1134,TabProd,5,FALSE),0)+SUMIFS($H$5:H1134,$E$5:E1134,E1134)-SUMIFS($I$5:I1134,$E$5:E1134,E1134))</f>
        <v/>
      </c>
      <c r="K1134" s="7"/>
      <c r="L1134" s="7"/>
      <c r="M1134" s="1" t="str">
        <f>IF(E1134="","",E1134&amp;"|"&amp;COUNTIF($E$5:E1134,E1134))</f>
        <v/>
      </c>
    </row>
    <row r="1135" spans="2:13" x14ac:dyDescent="0.2">
      <c r="B1135" s="10"/>
      <c r="C1135" s="7"/>
      <c r="D1135" s="11"/>
      <c r="E1135" s="6"/>
      <c r="F1135" s="12" t="str">
        <f t="shared" si="34"/>
        <v/>
      </c>
      <c r="G1135" s="13" t="str">
        <f t="shared" si="35"/>
        <v/>
      </c>
      <c r="H1135" s="9"/>
      <c r="I1135" s="9"/>
      <c r="J1135" s="14" t="str">
        <f>IF(E1135="","",IFERROR(VLOOKUP(E1135,TabProd,5,FALSE),0)+SUMIFS($H$5:H1135,$E$5:E1135,E1135)-SUMIFS($I$5:I1135,$E$5:E1135,E1135))</f>
        <v/>
      </c>
      <c r="K1135" s="7"/>
      <c r="L1135" s="7"/>
      <c r="M1135" s="1" t="str">
        <f>IF(E1135="","",E1135&amp;"|"&amp;COUNTIF($E$5:E1135,E1135))</f>
        <v/>
      </c>
    </row>
    <row r="1136" spans="2:13" x14ac:dyDescent="0.2">
      <c r="B1136" s="10"/>
      <c r="C1136" s="7"/>
      <c r="D1136" s="11"/>
      <c r="E1136" s="6"/>
      <c r="F1136" s="12" t="str">
        <f t="shared" si="34"/>
        <v/>
      </c>
      <c r="G1136" s="13" t="str">
        <f t="shared" si="35"/>
        <v/>
      </c>
      <c r="H1136" s="9"/>
      <c r="I1136" s="9"/>
      <c r="J1136" s="14" t="str">
        <f>IF(E1136="","",IFERROR(VLOOKUP(E1136,TabProd,5,FALSE),0)+SUMIFS($H$5:H1136,$E$5:E1136,E1136)-SUMIFS($I$5:I1136,$E$5:E1136,E1136))</f>
        <v/>
      </c>
      <c r="K1136" s="7"/>
      <c r="L1136" s="7"/>
      <c r="M1136" s="1" t="str">
        <f>IF(E1136="","",E1136&amp;"|"&amp;COUNTIF($E$5:E1136,E1136))</f>
        <v/>
      </c>
    </row>
    <row r="1137" spans="2:13" x14ac:dyDescent="0.2">
      <c r="B1137" s="10"/>
      <c r="C1137" s="7"/>
      <c r="D1137" s="11"/>
      <c r="E1137" s="6"/>
      <c r="F1137" s="12" t="str">
        <f t="shared" si="34"/>
        <v/>
      </c>
      <c r="G1137" s="13" t="str">
        <f t="shared" si="35"/>
        <v/>
      </c>
      <c r="H1137" s="9"/>
      <c r="I1137" s="9"/>
      <c r="J1137" s="14" t="str">
        <f>IF(E1137="","",IFERROR(VLOOKUP(E1137,TabProd,5,FALSE),0)+SUMIFS($H$5:H1137,$E$5:E1137,E1137)-SUMIFS($I$5:I1137,$E$5:E1137,E1137))</f>
        <v/>
      </c>
      <c r="K1137" s="7"/>
      <c r="L1137" s="7"/>
      <c r="M1137" s="1" t="str">
        <f>IF(E1137="","",E1137&amp;"|"&amp;COUNTIF($E$5:E1137,E1137))</f>
        <v/>
      </c>
    </row>
    <row r="1138" spans="2:13" x14ac:dyDescent="0.2">
      <c r="B1138" s="10"/>
      <c r="C1138" s="7"/>
      <c r="D1138" s="11"/>
      <c r="E1138" s="6"/>
      <c r="F1138" s="12" t="str">
        <f t="shared" si="34"/>
        <v/>
      </c>
      <c r="G1138" s="13" t="str">
        <f t="shared" si="35"/>
        <v/>
      </c>
      <c r="H1138" s="9"/>
      <c r="I1138" s="9"/>
      <c r="J1138" s="14" t="str">
        <f>IF(E1138="","",IFERROR(VLOOKUP(E1138,TabProd,5,FALSE),0)+SUMIFS($H$5:H1138,$E$5:E1138,E1138)-SUMIFS($I$5:I1138,$E$5:E1138,E1138))</f>
        <v/>
      </c>
      <c r="K1138" s="7"/>
      <c r="L1138" s="7"/>
      <c r="M1138" s="1" t="str">
        <f>IF(E1138="","",E1138&amp;"|"&amp;COUNTIF($E$5:E1138,E1138))</f>
        <v/>
      </c>
    </row>
    <row r="1139" spans="2:13" x14ac:dyDescent="0.2">
      <c r="B1139" s="10"/>
      <c r="C1139" s="7"/>
      <c r="D1139" s="11"/>
      <c r="E1139" s="6"/>
      <c r="F1139" s="12" t="str">
        <f t="shared" si="34"/>
        <v/>
      </c>
      <c r="G1139" s="13" t="str">
        <f t="shared" si="35"/>
        <v/>
      </c>
      <c r="H1139" s="9"/>
      <c r="I1139" s="9"/>
      <c r="J1139" s="14" t="str">
        <f>IF(E1139="","",IFERROR(VLOOKUP(E1139,TabProd,5,FALSE),0)+SUMIFS($H$5:H1139,$E$5:E1139,E1139)-SUMIFS($I$5:I1139,$E$5:E1139,E1139))</f>
        <v/>
      </c>
      <c r="K1139" s="7"/>
      <c r="L1139" s="7"/>
      <c r="M1139" s="1" t="str">
        <f>IF(E1139="","",E1139&amp;"|"&amp;COUNTIF($E$5:E1139,E1139))</f>
        <v/>
      </c>
    </row>
    <row r="1140" spans="2:13" x14ac:dyDescent="0.2">
      <c r="B1140" s="10"/>
      <c r="C1140" s="7"/>
      <c r="D1140" s="11"/>
      <c r="E1140" s="6"/>
      <c r="F1140" s="12" t="str">
        <f t="shared" si="34"/>
        <v/>
      </c>
      <c r="G1140" s="13" t="str">
        <f t="shared" si="35"/>
        <v/>
      </c>
      <c r="H1140" s="9"/>
      <c r="I1140" s="9"/>
      <c r="J1140" s="14" t="str">
        <f>IF(E1140="","",IFERROR(VLOOKUP(E1140,TabProd,5,FALSE),0)+SUMIFS($H$5:H1140,$E$5:E1140,E1140)-SUMIFS($I$5:I1140,$E$5:E1140,E1140))</f>
        <v/>
      </c>
      <c r="K1140" s="7"/>
      <c r="L1140" s="7"/>
      <c r="M1140" s="1" t="str">
        <f>IF(E1140="","",E1140&amp;"|"&amp;COUNTIF($E$5:E1140,E1140))</f>
        <v/>
      </c>
    </row>
    <row r="1141" spans="2:13" x14ac:dyDescent="0.2">
      <c r="B1141" s="10"/>
      <c r="C1141" s="7"/>
      <c r="D1141" s="11"/>
      <c r="E1141" s="6"/>
      <c r="F1141" s="12" t="str">
        <f t="shared" si="34"/>
        <v/>
      </c>
      <c r="G1141" s="13" t="str">
        <f t="shared" si="35"/>
        <v/>
      </c>
      <c r="H1141" s="9"/>
      <c r="I1141" s="9"/>
      <c r="J1141" s="14" t="str">
        <f>IF(E1141="","",IFERROR(VLOOKUP(E1141,TabProd,5,FALSE),0)+SUMIFS($H$5:H1141,$E$5:E1141,E1141)-SUMIFS($I$5:I1141,$E$5:E1141,E1141))</f>
        <v/>
      </c>
      <c r="K1141" s="7"/>
      <c r="L1141" s="7"/>
      <c r="M1141" s="1" t="str">
        <f>IF(E1141="","",E1141&amp;"|"&amp;COUNTIF($E$5:E1141,E1141))</f>
        <v/>
      </c>
    </row>
    <row r="1142" spans="2:13" x14ac:dyDescent="0.2">
      <c r="B1142" s="10"/>
      <c r="C1142" s="7"/>
      <c r="D1142" s="11"/>
      <c r="E1142" s="6"/>
      <c r="F1142" s="12" t="str">
        <f t="shared" si="34"/>
        <v/>
      </c>
      <c r="G1142" s="13" t="str">
        <f t="shared" si="35"/>
        <v/>
      </c>
      <c r="H1142" s="9"/>
      <c r="I1142" s="9"/>
      <c r="J1142" s="14" t="str">
        <f>IF(E1142="","",IFERROR(VLOOKUP(E1142,TabProd,5,FALSE),0)+SUMIFS($H$5:H1142,$E$5:E1142,E1142)-SUMIFS($I$5:I1142,$E$5:E1142,E1142))</f>
        <v/>
      </c>
      <c r="K1142" s="7"/>
      <c r="L1142" s="7"/>
      <c r="M1142" s="1" t="str">
        <f>IF(E1142="","",E1142&amp;"|"&amp;COUNTIF($E$5:E1142,E1142))</f>
        <v/>
      </c>
    </row>
    <row r="1143" spans="2:13" x14ac:dyDescent="0.2">
      <c r="B1143" s="10"/>
      <c r="C1143" s="7"/>
      <c r="D1143" s="11"/>
      <c r="E1143" s="6"/>
      <c r="F1143" s="12" t="str">
        <f t="shared" si="34"/>
        <v/>
      </c>
      <c r="G1143" s="13" t="str">
        <f t="shared" si="35"/>
        <v/>
      </c>
      <c r="H1143" s="9"/>
      <c r="I1143" s="9"/>
      <c r="J1143" s="14" t="str">
        <f>IF(E1143="","",IFERROR(VLOOKUP(E1143,TabProd,5,FALSE),0)+SUMIFS($H$5:H1143,$E$5:E1143,E1143)-SUMIFS($I$5:I1143,$E$5:E1143,E1143))</f>
        <v/>
      </c>
      <c r="K1143" s="7"/>
      <c r="L1143" s="7"/>
      <c r="M1143" s="1" t="str">
        <f>IF(E1143="","",E1143&amp;"|"&amp;COUNTIF($E$5:E1143,E1143))</f>
        <v/>
      </c>
    </row>
    <row r="1144" spans="2:13" x14ac:dyDescent="0.2">
      <c r="B1144" s="10"/>
      <c r="C1144" s="7"/>
      <c r="D1144" s="11"/>
      <c r="E1144" s="6"/>
      <c r="F1144" s="12" t="str">
        <f t="shared" si="34"/>
        <v/>
      </c>
      <c r="G1144" s="13" t="str">
        <f t="shared" si="35"/>
        <v/>
      </c>
      <c r="H1144" s="9"/>
      <c r="I1144" s="9"/>
      <c r="J1144" s="14" t="str">
        <f>IF(E1144="","",IFERROR(VLOOKUP(E1144,TabProd,5,FALSE),0)+SUMIFS($H$5:H1144,$E$5:E1144,E1144)-SUMIFS($I$5:I1144,$E$5:E1144,E1144))</f>
        <v/>
      </c>
      <c r="K1144" s="7"/>
      <c r="L1144" s="7"/>
      <c r="M1144" s="1" t="str">
        <f>IF(E1144="","",E1144&amp;"|"&amp;COUNTIF($E$5:E1144,E1144))</f>
        <v/>
      </c>
    </row>
    <row r="1145" spans="2:13" x14ac:dyDescent="0.2">
      <c r="B1145" s="10"/>
      <c r="C1145" s="7"/>
      <c r="D1145" s="11"/>
      <c r="E1145" s="6"/>
      <c r="F1145" s="12" t="str">
        <f t="shared" si="34"/>
        <v/>
      </c>
      <c r="G1145" s="13" t="str">
        <f t="shared" si="35"/>
        <v/>
      </c>
      <c r="H1145" s="9"/>
      <c r="I1145" s="9"/>
      <c r="J1145" s="14" t="str">
        <f>IF(E1145="","",IFERROR(VLOOKUP(E1145,TabProd,5,FALSE),0)+SUMIFS($H$5:H1145,$E$5:E1145,E1145)-SUMIFS($I$5:I1145,$E$5:E1145,E1145))</f>
        <v/>
      </c>
      <c r="K1145" s="7"/>
      <c r="L1145" s="7"/>
      <c r="M1145" s="1" t="str">
        <f>IF(E1145="","",E1145&amp;"|"&amp;COUNTIF($E$5:E1145,E1145))</f>
        <v/>
      </c>
    </row>
    <row r="1146" spans="2:13" x14ac:dyDescent="0.2">
      <c r="B1146" s="10"/>
      <c r="C1146" s="7"/>
      <c r="D1146" s="11"/>
      <c r="E1146" s="6"/>
      <c r="F1146" s="12" t="str">
        <f t="shared" si="34"/>
        <v/>
      </c>
      <c r="G1146" s="13" t="str">
        <f t="shared" si="35"/>
        <v/>
      </c>
      <c r="H1146" s="9"/>
      <c r="I1146" s="9"/>
      <c r="J1146" s="14" t="str">
        <f>IF(E1146="","",IFERROR(VLOOKUP(E1146,TabProd,5,FALSE),0)+SUMIFS($H$5:H1146,$E$5:E1146,E1146)-SUMIFS($I$5:I1146,$E$5:E1146,E1146))</f>
        <v/>
      </c>
      <c r="K1146" s="7"/>
      <c r="L1146" s="7"/>
      <c r="M1146" s="1" t="str">
        <f>IF(E1146="","",E1146&amp;"|"&amp;COUNTIF($E$5:E1146,E1146))</f>
        <v/>
      </c>
    </row>
    <row r="1147" spans="2:13" x14ac:dyDescent="0.2">
      <c r="B1147" s="10"/>
      <c r="C1147" s="7"/>
      <c r="D1147" s="11"/>
      <c r="E1147" s="6"/>
      <c r="F1147" s="12" t="str">
        <f t="shared" si="34"/>
        <v/>
      </c>
      <c r="G1147" s="13" t="str">
        <f t="shared" si="35"/>
        <v/>
      </c>
      <c r="H1147" s="9"/>
      <c r="I1147" s="9"/>
      <c r="J1147" s="14" t="str">
        <f>IF(E1147="","",IFERROR(VLOOKUP(E1147,TabProd,5,FALSE),0)+SUMIFS($H$5:H1147,$E$5:E1147,E1147)-SUMIFS($I$5:I1147,$E$5:E1147,E1147))</f>
        <v/>
      </c>
      <c r="K1147" s="7"/>
      <c r="L1147" s="7"/>
      <c r="M1147" s="1" t="str">
        <f>IF(E1147="","",E1147&amp;"|"&amp;COUNTIF($E$5:E1147,E1147))</f>
        <v/>
      </c>
    </row>
    <row r="1148" spans="2:13" x14ac:dyDescent="0.2">
      <c r="B1148" s="10"/>
      <c r="C1148" s="7"/>
      <c r="D1148" s="11"/>
      <c r="E1148" s="6"/>
      <c r="F1148" s="12" t="str">
        <f t="shared" si="34"/>
        <v/>
      </c>
      <c r="G1148" s="13" t="str">
        <f t="shared" si="35"/>
        <v/>
      </c>
      <c r="H1148" s="9"/>
      <c r="I1148" s="9"/>
      <c r="J1148" s="14" t="str">
        <f>IF(E1148="","",IFERROR(VLOOKUP(E1148,TabProd,5,FALSE),0)+SUMIFS($H$5:H1148,$E$5:E1148,E1148)-SUMIFS($I$5:I1148,$E$5:E1148,E1148))</f>
        <v/>
      </c>
      <c r="K1148" s="7"/>
      <c r="L1148" s="7"/>
      <c r="M1148" s="1" t="str">
        <f>IF(E1148="","",E1148&amp;"|"&amp;COUNTIF($E$5:E1148,E1148))</f>
        <v/>
      </c>
    </row>
    <row r="1149" spans="2:13" x14ac:dyDescent="0.2">
      <c r="B1149" s="10"/>
      <c r="C1149" s="7"/>
      <c r="D1149" s="11"/>
      <c r="E1149" s="6"/>
      <c r="F1149" s="12" t="str">
        <f t="shared" si="34"/>
        <v/>
      </c>
      <c r="G1149" s="13" t="str">
        <f t="shared" si="35"/>
        <v/>
      </c>
      <c r="H1149" s="9"/>
      <c r="I1149" s="9"/>
      <c r="J1149" s="14" t="str">
        <f>IF(E1149="","",IFERROR(VLOOKUP(E1149,TabProd,5,FALSE),0)+SUMIFS($H$5:H1149,$E$5:E1149,E1149)-SUMIFS($I$5:I1149,$E$5:E1149,E1149))</f>
        <v/>
      </c>
      <c r="K1149" s="7"/>
      <c r="L1149" s="7"/>
      <c r="M1149" s="1" t="str">
        <f>IF(E1149="","",E1149&amp;"|"&amp;COUNTIF($E$5:E1149,E1149))</f>
        <v/>
      </c>
    </row>
    <row r="1150" spans="2:13" x14ac:dyDescent="0.2">
      <c r="B1150" s="10"/>
      <c r="C1150" s="7"/>
      <c r="D1150" s="11"/>
      <c r="E1150" s="6"/>
      <c r="F1150" s="12" t="str">
        <f t="shared" si="34"/>
        <v/>
      </c>
      <c r="G1150" s="13" t="str">
        <f t="shared" si="35"/>
        <v/>
      </c>
      <c r="H1150" s="9"/>
      <c r="I1150" s="9"/>
      <c r="J1150" s="14" t="str">
        <f>IF(E1150="","",IFERROR(VLOOKUP(E1150,TabProd,5,FALSE),0)+SUMIFS($H$5:H1150,$E$5:E1150,E1150)-SUMIFS($I$5:I1150,$E$5:E1150,E1150))</f>
        <v/>
      </c>
      <c r="K1150" s="7"/>
      <c r="L1150" s="7"/>
      <c r="M1150" s="1" t="str">
        <f>IF(E1150="","",E1150&amp;"|"&amp;COUNTIF($E$5:E1150,E1150))</f>
        <v/>
      </c>
    </row>
    <row r="1151" spans="2:13" x14ac:dyDescent="0.2">
      <c r="B1151" s="10"/>
      <c r="C1151" s="7"/>
      <c r="D1151" s="11"/>
      <c r="E1151" s="6"/>
      <c r="F1151" s="12" t="str">
        <f t="shared" si="34"/>
        <v/>
      </c>
      <c r="G1151" s="13" t="str">
        <f t="shared" si="35"/>
        <v/>
      </c>
      <c r="H1151" s="9"/>
      <c r="I1151" s="9"/>
      <c r="J1151" s="14" t="str">
        <f>IF(E1151="","",IFERROR(VLOOKUP(E1151,TabProd,5,FALSE),0)+SUMIFS($H$5:H1151,$E$5:E1151,E1151)-SUMIFS($I$5:I1151,$E$5:E1151,E1151))</f>
        <v/>
      </c>
      <c r="K1151" s="7"/>
      <c r="L1151" s="7"/>
      <c r="M1151" s="1" t="str">
        <f>IF(E1151="","",E1151&amp;"|"&amp;COUNTIF($E$5:E1151,E1151))</f>
        <v/>
      </c>
    </row>
    <row r="1152" spans="2:13" x14ac:dyDescent="0.2">
      <c r="B1152" s="10"/>
      <c r="C1152" s="7"/>
      <c r="D1152" s="11"/>
      <c r="E1152" s="6"/>
      <c r="F1152" s="12" t="str">
        <f t="shared" si="34"/>
        <v/>
      </c>
      <c r="G1152" s="13" t="str">
        <f t="shared" si="35"/>
        <v/>
      </c>
      <c r="H1152" s="9"/>
      <c r="I1152" s="9"/>
      <c r="J1152" s="14" t="str">
        <f>IF(E1152="","",IFERROR(VLOOKUP(E1152,TabProd,5,FALSE),0)+SUMIFS($H$5:H1152,$E$5:E1152,E1152)-SUMIFS($I$5:I1152,$E$5:E1152,E1152))</f>
        <v/>
      </c>
      <c r="K1152" s="7"/>
      <c r="L1152" s="7"/>
      <c r="M1152" s="1" t="str">
        <f>IF(E1152="","",E1152&amp;"|"&amp;COUNTIF($E$5:E1152,E1152))</f>
        <v/>
      </c>
    </row>
    <row r="1153" spans="2:13" x14ac:dyDescent="0.2">
      <c r="B1153" s="10"/>
      <c r="C1153" s="7"/>
      <c r="D1153" s="11"/>
      <c r="E1153" s="6"/>
      <c r="F1153" s="12" t="str">
        <f t="shared" si="34"/>
        <v/>
      </c>
      <c r="G1153" s="13" t="str">
        <f t="shared" si="35"/>
        <v/>
      </c>
      <c r="H1153" s="9"/>
      <c r="I1153" s="9"/>
      <c r="J1153" s="14" t="str">
        <f>IF(E1153="","",IFERROR(VLOOKUP(E1153,TabProd,5,FALSE),0)+SUMIFS($H$5:H1153,$E$5:E1153,E1153)-SUMIFS($I$5:I1153,$E$5:E1153,E1153))</f>
        <v/>
      </c>
      <c r="K1153" s="7"/>
      <c r="L1153" s="7"/>
      <c r="M1153" s="1" t="str">
        <f>IF(E1153="","",E1153&amp;"|"&amp;COUNTIF($E$5:E1153,E1153))</f>
        <v/>
      </c>
    </row>
    <row r="1154" spans="2:13" x14ac:dyDescent="0.2">
      <c r="B1154" s="10"/>
      <c r="C1154" s="7"/>
      <c r="D1154" s="11"/>
      <c r="E1154" s="6"/>
      <c r="F1154" s="12" t="str">
        <f t="shared" si="34"/>
        <v/>
      </c>
      <c r="G1154" s="13" t="str">
        <f t="shared" si="35"/>
        <v/>
      </c>
      <c r="H1154" s="9"/>
      <c r="I1154" s="9"/>
      <c r="J1154" s="14" t="str">
        <f>IF(E1154="","",IFERROR(VLOOKUP(E1154,TabProd,5,FALSE),0)+SUMIFS($H$5:H1154,$E$5:E1154,E1154)-SUMIFS($I$5:I1154,$E$5:E1154,E1154))</f>
        <v/>
      </c>
      <c r="K1154" s="7"/>
      <c r="L1154" s="7"/>
      <c r="M1154" s="1" t="str">
        <f>IF(E1154="","",E1154&amp;"|"&amp;COUNTIF($E$5:E1154,E1154))</f>
        <v/>
      </c>
    </row>
    <row r="1155" spans="2:13" x14ac:dyDescent="0.2">
      <c r="B1155" s="10"/>
      <c r="C1155" s="7"/>
      <c r="D1155" s="11"/>
      <c r="E1155" s="6"/>
      <c r="F1155" s="12" t="str">
        <f t="shared" si="34"/>
        <v/>
      </c>
      <c r="G1155" s="13" t="str">
        <f t="shared" si="35"/>
        <v/>
      </c>
      <c r="H1155" s="9"/>
      <c r="I1155" s="9"/>
      <c r="J1155" s="14" t="str">
        <f>IF(E1155="","",IFERROR(VLOOKUP(E1155,TabProd,5,FALSE),0)+SUMIFS($H$5:H1155,$E$5:E1155,E1155)-SUMIFS($I$5:I1155,$E$5:E1155,E1155))</f>
        <v/>
      </c>
      <c r="K1155" s="7"/>
      <c r="L1155" s="7"/>
      <c r="M1155" s="1" t="str">
        <f>IF(E1155="","",E1155&amp;"|"&amp;COUNTIF($E$5:E1155,E1155))</f>
        <v/>
      </c>
    </row>
    <row r="1156" spans="2:13" x14ac:dyDescent="0.2">
      <c r="B1156" s="10"/>
      <c r="C1156" s="7"/>
      <c r="D1156" s="11"/>
      <c r="E1156" s="6"/>
      <c r="F1156" s="12" t="str">
        <f t="shared" si="34"/>
        <v/>
      </c>
      <c r="G1156" s="13" t="str">
        <f t="shared" si="35"/>
        <v/>
      </c>
      <c r="H1156" s="9"/>
      <c r="I1156" s="9"/>
      <c r="J1156" s="14" t="str">
        <f>IF(E1156="","",IFERROR(VLOOKUP(E1156,TabProd,5,FALSE),0)+SUMIFS($H$5:H1156,$E$5:E1156,E1156)-SUMIFS($I$5:I1156,$E$5:E1156,E1156))</f>
        <v/>
      </c>
      <c r="K1156" s="7"/>
      <c r="L1156" s="7"/>
      <c r="M1156" s="1" t="str">
        <f>IF(E1156="","",E1156&amp;"|"&amp;COUNTIF($E$5:E1156,E1156))</f>
        <v/>
      </c>
    </row>
    <row r="1157" spans="2:13" x14ac:dyDescent="0.2">
      <c r="B1157" s="10"/>
      <c r="C1157" s="7"/>
      <c r="D1157" s="11"/>
      <c r="E1157" s="6"/>
      <c r="F1157" s="12" t="str">
        <f t="shared" ref="F1157:F1220" si="36">IF(E1157="","",IFERROR(VLOOKUP(E1157,TabProd,2,FALSE),"Cod inexistent"))</f>
        <v/>
      </c>
      <c r="G1157" s="13" t="str">
        <f t="shared" ref="G1157:G1220" si="37">IF(E1157="","",IFERROR(VLOOKUP(E1157,TabProd,3,FALSE),""))</f>
        <v/>
      </c>
      <c r="H1157" s="9"/>
      <c r="I1157" s="9"/>
      <c r="J1157" s="14" t="str">
        <f>IF(E1157="","",IFERROR(VLOOKUP(E1157,TabProd,5,FALSE),0)+SUMIFS($H$5:H1157,$E$5:E1157,E1157)-SUMIFS($I$5:I1157,$E$5:E1157,E1157))</f>
        <v/>
      </c>
      <c r="K1157" s="7"/>
      <c r="L1157" s="7"/>
      <c r="M1157" s="1" t="str">
        <f>IF(E1157="","",E1157&amp;"|"&amp;COUNTIF($E$5:E1157,E1157))</f>
        <v/>
      </c>
    </row>
    <row r="1158" spans="2:13" x14ac:dyDescent="0.2">
      <c r="B1158" s="10"/>
      <c r="C1158" s="7"/>
      <c r="D1158" s="11"/>
      <c r="E1158" s="6"/>
      <c r="F1158" s="12" t="str">
        <f t="shared" si="36"/>
        <v/>
      </c>
      <c r="G1158" s="13" t="str">
        <f t="shared" si="37"/>
        <v/>
      </c>
      <c r="H1158" s="9"/>
      <c r="I1158" s="9"/>
      <c r="J1158" s="14" t="str">
        <f>IF(E1158="","",IFERROR(VLOOKUP(E1158,TabProd,5,FALSE),0)+SUMIFS($H$5:H1158,$E$5:E1158,E1158)-SUMIFS($I$5:I1158,$E$5:E1158,E1158))</f>
        <v/>
      </c>
      <c r="K1158" s="7"/>
      <c r="L1158" s="7"/>
      <c r="M1158" s="1" t="str">
        <f>IF(E1158="","",E1158&amp;"|"&amp;COUNTIF($E$5:E1158,E1158))</f>
        <v/>
      </c>
    </row>
    <row r="1159" spans="2:13" x14ac:dyDescent="0.2">
      <c r="B1159" s="10"/>
      <c r="C1159" s="7"/>
      <c r="D1159" s="11"/>
      <c r="E1159" s="6"/>
      <c r="F1159" s="12" t="str">
        <f t="shared" si="36"/>
        <v/>
      </c>
      <c r="G1159" s="13" t="str">
        <f t="shared" si="37"/>
        <v/>
      </c>
      <c r="H1159" s="9"/>
      <c r="I1159" s="9"/>
      <c r="J1159" s="14" t="str">
        <f>IF(E1159="","",IFERROR(VLOOKUP(E1159,TabProd,5,FALSE),0)+SUMIFS($H$5:H1159,$E$5:E1159,E1159)-SUMIFS($I$5:I1159,$E$5:E1159,E1159))</f>
        <v/>
      </c>
      <c r="K1159" s="7"/>
      <c r="L1159" s="7"/>
      <c r="M1159" s="1" t="str">
        <f>IF(E1159="","",E1159&amp;"|"&amp;COUNTIF($E$5:E1159,E1159))</f>
        <v/>
      </c>
    </row>
    <row r="1160" spans="2:13" x14ac:dyDescent="0.2">
      <c r="B1160" s="10"/>
      <c r="C1160" s="7"/>
      <c r="D1160" s="11"/>
      <c r="E1160" s="6"/>
      <c r="F1160" s="12" t="str">
        <f t="shared" si="36"/>
        <v/>
      </c>
      <c r="G1160" s="13" t="str">
        <f t="shared" si="37"/>
        <v/>
      </c>
      <c r="H1160" s="9"/>
      <c r="I1160" s="9"/>
      <c r="J1160" s="14" t="str">
        <f>IF(E1160="","",IFERROR(VLOOKUP(E1160,TabProd,5,FALSE),0)+SUMIFS($H$5:H1160,$E$5:E1160,E1160)-SUMIFS($I$5:I1160,$E$5:E1160,E1160))</f>
        <v/>
      </c>
      <c r="K1160" s="7"/>
      <c r="L1160" s="7"/>
      <c r="M1160" s="1" t="str">
        <f>IF(E1160="","",E1160&amp;"|"&amp;COUNTIF($E$5:E1160,E1160))</f>
        <v/>
      </c>
    </row>
    <row r="1161" spans="2:13" x14ac:dyDescent="0.2">
      <c r="B1161" s="10"/>
      <c r="C1161" s="7"/>
      <c r="D1161" s="11"/>
      <c r="E1161" s="6"/>
      <c r="F1161" s="12" t="str">
        <f t="shared" si="36"/>
        <v/>
      </c>
      <c r="G1161" s="13" t="str">
        <f t="shared" si="37"/>
        <v/>
      </c>
      <c r="H1161" s="9"/>
      <c r="I1161" s="9"/>
      <c r="J1161" s="14" t="str">
        <f>IF(E1161="","",IFERROR(VLOOKUP(E1161,TabProd,5,FALSE),0)+SUMIFS($H$5:H1161,$E$5:E1161,E1161)-SUMIFS($I$5:I1161,$E$5:E1161,E1161))</f>
        <v/>
      </c>
      <c r="K1161" s="7"/>
      <c r="L1161" s="7"/>
      <c r="M1161" s="1" t="str">
        <f>IF(E1161="","",E1161&amp;"|"&amp;COUNTIF($E$5:E1161,E1161))</f>
        <v/>
      </c>
    </row>
    <row r="1162" spans="2:13" x14ac:dyDescent="0.2">
      <c r="B1162" s="10"/>
      <c r="C1162" s="7"/>
      <c r="D1162" s="11"/>
      <c r="E1162" s="6"/>
      <c r="F1162" s="12" t="str">
        <f t="shared" si="36"/>
        <v/>
      </c>
      <c r="G1162" s="13" t="str">
        <f t="shared" si="37"/>
        <v/>
      </c>
      <c r="H1162" s="9"/>
      <c r="I1162" s="9"/>
      <c r="J1162" s="14" t="str">
        <f>IF(E1162="","",IFERROR(VLOOKUP(E1162,TabProd,5,FALSE),0)+SUMIFS($H$5:H1162,$E$5:E1162,E1162)-SUMIFS($I$5:I1162,$E$5:E1162,E1162))</f>
        <v/>
      </c>
      <c r="K1162" s="7"/>
      <c r="L1162" s="7"/>
      <c r="M1162" s="1" t="str">
        <f>IF(E1162="","",E1162&amp;"|"&amp;COUNTIF($E$5:E1162,E1162))</f>
        <v/>
      </c>
    </row>
    <row r="1163" spans="2:13" x14ac:dyDescent="0.2">
      <c r="B1163" s="10"/>
      <c r="C1163" s="7"/>
      <c r="D1163" s="11"/>
      <c r="E1163" s="6"/>
      <c r="F1163" s="12" t="str">
        <f t="shared" si="36"/>
        <v/>
      </c>
      <c r="G1163" s="13" t="str">
        <f t="shared" si="37"/>
        <v/>
      </c>
      <c r="H1163" s="9"/>
      <c r="I1163" s="9"/>
      <c r="J1163" s="14" t="str">
        <f>IF(E1163="","",IFERROR(VLOOKUP(E1163,TabProd,5,FALSE),0)+SUMIFS($H$5:H1163,$E$5:E1163,E1163)-SUMIFS($I$5:I1163,$E$5:E1163,E1163))</f>
        <v/>
      </c>
      <c r="K1163" s="7"/>
      <c r="L1163" s="7"/>
      <c r="M1163" s="1" t="str">
        <f>IF(E1163="","",E1163&amp;"|"&amp;COUNTIF($E$5:E1163,E1163))</f>
        <v/>
      </c>
    </row>
    <row r="1164" spans="2:13" x14ac:dyDescent="0.2">
      <c r="B1164" s="10"/>
      <c r="C1164" s="7"/>
      <c r="D1164" s="11"/>
      <c r="E1164" s="6"/>
      <c r="F1164" s="12" t="str">
        <f t="shared" si="36"/>
        <v/>
      </c>
      <c r="G1164" s="13" t="str">
        <f t="shared" si="37"/>
        <v/>
      </c>
      <c r="H1164" s="9"/>
      <c r="I1164" s="9"/>
      <c r="J1164" s="14" t="str">
        <f>IF(E1164="","",IFERROR(VLOOKUP(E1164,TabProd,5,FALSE),0)+SUMIFS($H$5:H1164,$E$5:E1164,E1164)-SUMIFS($I$5:I1164,$E$5:E1164,E1164))</f>
        <v/>
      </c>
      <c r="K1164" s="7"/>
      <c r="L1164" s="7"/>
      <c r="M1164" s="1" t="str">
        <f>IF(E1164="","",E1164&amp;"|"&amp;COUNTIF($E$5:E1164,E1164))</f>
        <v/>
      </c>
    </row>
    <row r="1165" spans="2:13" x14ac:dyDescent="0.2">
      <c r="B1165" s="10"/>
      <c r="C1165" s="7"/>
      <c r="D1165" s="11"/>
      <c r="E1165" s="6"/>
      <c r="F1165" s="12" t="str">
        <f t="shared" si="36"/>
        <v/>
      </c>
      <c r="G1165" s="13" t="str">
        <f t="shared" si="37"/>
        <v/>
      </c>
      <c r="H1165" s="9"/>
      <c r="I1165" s="9"/>
      <c r="J1165" s="14" t="str">
        <f>IF(E1165="","",IFERROR(VLOOKUP(E1165,TabProd,5,FALSE),0)+SUMIFS($H$5:H1165,$E$5:E1165,E1165)-SUMIFS($I$5:I1165,$E$5:E1165,E1165))</f>
        <v/>
      </c>
      <c r="K1165" s="7"/>
      <c r="L1165" s="7"/>
      <c r="M1165" s="1" t="str">
        <f>IF(E1165="","",E1165&amp;"|"&amp;COUNTIF($E$5:E1165,E1165))</f>
        <v/>
      </c>
    </row>
    <row r="1166" spans="2:13" x14ac:dyDescent="0.2">
      <c r="B1166" s="10"/>
      <c r="C1166" s="7"/>
      <c r="D1166" s="11"/>
      <c r="E1166" s="6"/>
      <c r="F1166" s="12" t="str">
        <f t="shared" si="36"/>
        <v/>
      </c>
      <c r="G1166" s="13" t="str">
        <f t="shared" si="37"/>
        <v/>
      </c>
      <c r="H1166" s="9"/>
      <c r="I1166" s="9"/>
      <c r="J1166" s="14" t="str">
        <f>IF(E1166="","",IFERROR(VLOOKUP(E1166,TabProd,5,FALSE),0)+SUMIFS($H$5:H1166,$E$5:E1166,E1166)-SUMIFS($I$5:I1166,$E$5:E1166,E1166))</f>
        <v/>
      </c>
      <c r="K1166" s="7"/>
      <c r="L1166" s="7"/>
      <c r="M1166" s="1" t="str">
        <f>IF(E1166="","",E1166&amp;"|"&amp;COUNTIF($E$5:E1166,E1166))</f>
        <v/>
      </c>
    </row>
    <row r="1167" spans="2:13" x14ac:dyDescent="0.2">
      <c r="B1167" s="10"/>
      <c r="C1167" s="7"/>
      <c r="D1167" s="11"/>
      <c r="E1167" s="6"/>
      <c r="F1167" s="12" t="str">
        <f t="shared" si="36"/>
        <v/>
      </c>
      <c r="G1167" s="13" t="str">
        <f t="shared" si="37"/>
        <v/>
      </c>
      <c r="H1167" s="9"/>
      <c r="I1167" s="9"/>
      <c r="J1167" s="14" t="str">
        <f>IF(E1167="","",IFERROR(VLOOKUP(E1167,TabProd,5,FALSE),0)+SUMIFS($H$5:H1167,$E$5:E1167,E1167)-SUMIFS($I$5:I1167,$E$5:E1167,E1167))</f>
        <v/>
      </c>
      <c r="K1167" s="7"/>
      <c r="L1167" s="7"/>
      <c r="M1167" s="1" t="str">
        <f>IF(E1167="","",E1167&amp;"|"&amp;COUNTIF($E$5:E1167,E1167))</f>
        <v/>
      </c>
    </row>
    <row r="1168" spans="2:13" x14ac:dyDescent="0.2">
      <c r="B1168" s="10"/>
      <c r="C1168" s="7"/>
      <c r="D1168" s="11"/>
      <c r="E1168" s="6"/>
      <c r="F1168" s="12" t="str">
        <f t="shared" si="36"/>
        <v/>
      </c>
      <c r="G1168" s="13" t="str">
        <f t="shared" si="37"/>
        <v/>
      </c>
      <c r="H1168" s="9"/>
      <c r="I1168" s="9"/>
      <c r="J1168" s="14" t="str">
        <f>IF(E1168="","",IFERROR(VLOOKUP(E1168,TabProd,5,FALSE),0)+SUMIFS($H$5:H1168,$E$5:E1168,E1168)-SUMIFS($I$5:I1168,$E$5:E1168,E1168))</f>
        <v/>
      </c>
      <c r="K1168" s="7"/>
      <c r="L1168" s="7"/>
      <c r="M1168" s="1" t="str">
        <f>IF(E1168="","",E1168&amp;"|"&amp;COUNTIF($E$5:E1168,E1168))</f>
        <v/>
      </c>
    </row>
    <row r="1169" spans="2:13" x14ac:dyDescent="0.2">
      <c r="B1169" s="10"/>
      <c r="C1169" s="7"/>
      <c r="D1169" s="11"/>
      <c r="E1169" s="6"/>
      <c r="F1169" s="12" t="str">
        <f t="shared" si="36"/>
        <v/>
      </c>
      <c r="G1169" s="13" t="str">
        <f t="shared" si="37"/>
        <v/>
      </c>
      <c r="H1169" s="9"/>
      <c r="I1169" s="9"/>
      <c r="J1169" s="14" t="str">
        <f>IF(E1169="","",IFERROR(VLOOKUP(E1169,TabProd,5,FALSE),0)+SUMIFS($H$5:H1169,$E$5:E1169,E1169)-SUMIFS($I$5:I1169,$E$5:E1169,E1169))</f>
        <v/>
      </c>
      <c r="K1169" s="7"/>
      <c r="L1169" s="7"/>
      <c r="M1169" s="1" t="str">
        <f>IF(E1169="","",E1169&amp;"|"&amp;COUNTIF($E$5:E1169,E1169))</f>
        <v/>
      </c>
    </row>
    <row r="1170" spans="2:13" x14ac:dyDescent="0.2">
      <c r="B1170" s="10"/>
      <c r="C1170" s="7"/>
      <c r="D1170" s="11"/>
      <c r="E1170" s="6"/>
      <c r="F1170" s="12" t="str">
        <f t="shared" si="36"/>
        <v/>
      </c>
      <c r="G1170" s="13" t="str">
        <f t="shared" si="37"/>
        <v/>
      </c>
      <c r="H1170" s="9"/>
      <c r="I1170" s="9"/>
      <c r="J1170" s="14" t="str">
        <f>IF(E1170="","",IFERROR(VLOOKUP(E1170,TabProd,5,FALSE),0)+SUMIFS($H$5:H1170,$E$5:E1170,E1170)-SUMIFS($I$5:I1170,$E$5:E1170,E1170))</f>
        <v/>
      </c>
      <c r="K1170" s="7"/>
      <c r="L1170" s="7"/>
      <c r="M1170" s="1" t="str">
        <f>IF(E1170="","",E1170&amp;"|"&amp;COUNTIF($E$5:E1170,E1170))</f>
        <v/>
      </c>
    </row>
    <row r="1171" spans="2:13" x14ac:dyDescent="0.2">
      <c r="B1171" s="10"/>
      <c r="C1171" s="7"/>
      <c r="D1171" s="11"/>
      <c r="E1171" s="6"/>
      <c r="F1171" s="12" t="str">
        <f t="shared" si="36"/>
        <v/>
      </c>
      <c r="G1171" s="13" t="str">
        <f t="shared" si="37"/>
        <v/>
      </c>
      <c r="H1171" s="9"/>
      <c r="I1171" s="9"/>
      <c r="J1171" s="14" t="str">
        <f>IF(E1171="","",IFERROR(VLOOKUP(E1171,TabProd,5,FALSE),0)+SUMIFS($H$5:H1171,$E$5:E1171,E1171)-SUMIFS($I$5:I1171,$E$5:E1171,E1171))</f>
        <v/>
      </c>
      <c r="K1171" s="7"/>
      <c r="L1171" s="7"/>
      <c r="M1171" s="1" t="str">
        <f>IF(E1171="","",E1171&amp;"|"&amp;COUNTIF($E$5:E1171,E1171))</f>
        <v/>
      </c>
    </row>
    <row r="1172" spans="2:13" x14ac:dyDescent="0.2">
      <c r="B1172" s="10"/>
      <c r="C1172" s="7"/>
      <c r="D1172" s="11"/>
      <c r="E1172" s="6"/>
      <c r="F1172" s="12" t="str">
        <f t="shared" si="36"/>
        <v/>
      </c>
      <c r="G1172" s="13" t="str">
        <f t="shared" si="37"/>
        <v/>
      </c>
      <c r="H1172" s="9"/>
      <c r="I1172" s="9"/>
      <c r="J1172" s="14" t="str">
        <f>IF(E1172="","",IFERROR(VLOOKUP(E1172,TabProd,5,FALSE),0)+SUMIFS($H$5:H1172,$E$5:E1172,E1172)-SUMIFS($I$5:I1172,$E$5:E1172,E1172))</f>
        <v/>
      </c>
      <c r="K1172" s="7"/>
      <c r="L1172" s="7"/>
      <c r="M1172" s="1" t="str">
        <f>IF(E1172="","",E1172&amp;"|"&amp;COUNTIF($E$5:E1172,E1172))</f>
        <v/>
      </c>
    </row>
    <row r="1173" spans="2:13" x14ac:dyDescent="0.2">
      <c r="B1173" s="10"/>
      <c r="C1173" s="7"/>
      <c r="D1173" s="11"/>
      <c r="E1173" s="6"/>
      <c r="F1173" s="12" t="str">
        <f t="shared" si="36"/>
        <v/>
      </c>
      <c r="G1173" s="13" t="str">
        <f t="shared" si="37"/>
        <v/>
      </c>
      <c r="H1173" s="9"/>
      <c r="I1173" s="9"/>
      <c r="J1173" s="14" t="str">
        <f>IF(E1173="","",IFERROR(VLOOKUP(E1173,TabProd,5,FALSE),0)+SUMIFS($H$5:H1173,$E$5:E1173,E1173)-SUMIFS($I$5:I1173,$E$5:E1173,E1173))</f>
        <v/>
      </c>
      <c r="K1173" s="7"/>
      <c r="L1173" s="7"/>
      <c r="M1173" s="1" t="str">
        <f>IF(E1173="","",E1173&amp;"|"&amp;COUNTIF($E$5:E1173,E1173))</f>
        <v/>
      </c>
    </row>
    <row r="1174" spans="2:13" x14ac:dyDescent="0.2">
      <c r="B1174" s="10"/>
      <c r="C1174" s="7"/>
      <c r="D1174" s="11"/>
      <c r="E1174" s="6"/>
      <c r="F1174" s="12" t="str">
        <f t="shared" si="36"/>
        <v/>
      </c>
      <c r="G1174" s="13" t="str">
        <f t="shared" si="37"/>
        <v/>
      </c>
      <c r="H1174" s="9"/>
      <c r="I1174" s="9"/>
      <c r="J1174" s="14" t="str">
        <f>IF(E1174="","",IFERROR(VLOOKUP(E1174,TabProd,5,FALSE),0)+SUMIFS($H$5:H1174,$E$5:E1174,E1174)-SUMIFS($I$5:I1174,$E$5:E1174,E1174))</f>
        <v/>
      </c>
      <c r="K1174" s="7"/>
      <c r="L1174" s="7"/>
      <c r="M1174" s="1" t="str">
        <f>IF(E1174="","",E1174&amp;"|"&amp;COUNTIF($E$5:E1174,E1174))</f>
        <v/>
      </c>
    </row>
    <row r="1175" spans="2:13" x14ac:dyDescent="0.2">
      <c r="B1175" s="10"/>
      <c r="C1175" s="7"/>
      <c r="D1175" s="11"/>
      <c r="E1175" s="6"/>
      <c r="F1175" s="12" t="str">
        <f t="shared" si="36"/>
        <v/>
      </c>
      <c r="G1175" s="13" t="str">
        <f t="shared" si="37"/>
        <v/>
      </c>
      <c r="H1175" s="9"/>
      <c r="I1175" s="9"/>
      <c r="J1175" s="14" t="str">
        <f>IF(E1175="","",IFERROR(VLOOKUP(E1175,TabProd,5,FALSE),0)+SUMIFS($H$5:H1175,$E$5:E1175,E1175)-SUMIFS($I$5:I1175,$E$5:E1175,E1175))</f>
        <v/>
      </c>
      <c r="K1175" s="7"/>
      <c r="L1175" s="7"/>
      <c r="M1175" s="1" t="str">
        <f>IF(E1175="","",E1175&amp;"|"&amp;COUNTIF($E$5:E1175,E1175))</f>
        <v/>
      </c>
    </row>
    <row r="1176" spans="2:13" x14ac:dyDescent="0.2">
      <c r="B1176" s="10"/>
      <c r="C1176" s="7"/>
      <c r="D1176" s="11"/>
      <c r="E1176" s="6"/>
      <c r="F1176" s="12" t="str">
        <f t="shared" si="36"/>
        <v/>
      </c>
      <c r="G1176" s="13" t="str">
        <f t="shared" si="37"/>
        <v/>
      </c>
      <c r="H1176" s="9"/>
      <c r="I1176" s="9"/>
      <c r="J1176" s="14" t="str">
        <f>IF(E1176="","",IFERROR(VLOOKUP(E1176,TabProd,5,FALSE),0)+SUMIFS($H$5:H1176,$E$5:E1176,E1176)-SUMIFS($I$5:I1176,$E$5:E1176,E1176))</f>
        <v/>
      </c>
      <c r="K1176" s="7"/>
      <c r="L1176" s="7"/>
      <c r="M1176" s="1" t="str">
        <f>IF(E1176="","",E1176&amp;"|"&amp;COUNTIF($E$5:E1176,E1176))</f>
        <v/>
      </c>
    </row>
    <row r="1177" spans="2:13" x14ac:dyDescent="0.2">
      <c r="B1177" s="10"/>
      <c r="C1177" s="7"/>
      <c r="D1177" s="11"/>
      <c r="E1177" s="6"/>
      <c r="F1177" s="12" t="str">
        <f t="shared" si="36"/>
        <v/>
      </c>
      <c r="G1177" s="13" t="str">
        <f t="shared" si="37"/>
        <v/>
      </c>
      <c r="H1177" s="9"/>
      <c r="I1177" s="9"/>
      <c r="J1177" s="14" t="str">
        <f>IF(E1177="","",IFERROR(VLOOKUP(E1177,TabProd,5,FALSE),0)+SUMIFS($H$5:H1177,$E$5:E1177,E1177)-SUMIFS($I$5:I1177,$E$5:E1177,E1177))</f>
        <v/>
      </c>
      <c r="K1177" s="7"/>
      <c r="L1177" s="7"/>
      <c r="M1177" s="1" t="str">
        <f>IF(E1177="","",E1177&amp;"|"&amp;COUNTIF($E$5:E1177,E1177))</f>
        <v/>
      </c>
    </row>
    <row r="1178" spans="2:13" x14ac:dyDescent="0.2">
      <c r="B1178" s="10"/>
      <c r="C1178" s="7"/>
      <c r="D1178" s="11"/>
      <c r="E1178" s="6"/>
      <c r="F1178" s="12" t="str">
        <f t="shared" si="36"/>
        <v/>
      </c>
      <c r="G1178" s="13" t="str">
        <f t="shared" si="37"/>
        <v/>
      </c>
      <c r="H1178" s="9"/>
      <c r="I1178" s="9"/>
      <c r="J1178" s="14" t="str">
        <f>IF(E1178="","",IFERROR(VLOOKUP(E1178,TabProd,5,FALSE),0)+SUMIFS($H$5:H1178,$E$5:E1178,E1178)-SUMIFS($I$5:I1178,$E$5:E1178,E1178))</f>
        <v/>
      </c>
      <c r="K1178" s="7"/>
      <c r="L1178" s="7"/>
      <c r="M1178" s="1" t="str">
        <f>IF(E1178="","",E1178&amp;"|"&amp;COUNTIF($E$5:E1178,E1178))</f>
        <v/>
      </c>
    </row>
    <row r="1179" spans="2:13" x14ac:dyDescent="0.2">
      <c r="B1179" s="10"/>
      <c r="C1179" s="7"/>
      <c r="D1179" s="11"/>
      <c r="E1179" s="6"/>
      <c r="F1179" s="12" t="str">
        <f t="shared" si="36"/>
        <v/>
      </c>
      <c r="G1179" s="13" t="str">
        <f t="shared" si="37"/>
        <v/>
      </c>
      <c r="H1179" s="9"/>
      <c r="I1179" s="9"/>
      <c r="J1179" s="14" t="str">
        <f>IF(E1179="","",IFERROR(VLOOKUP(E1179,TabProd,5,FALSE),0)+SUMIFS($H$5:H1179,$E$5:E1179,E1179)-SUMIFS($I$5:I1179,$E$5:E1179,E1179))</f>
        <v/>
      </c>
      <c r="K1179" s="7"/>
      <c r="L1179" s="7"/>
      <c r="M1179" s="1" t="str">
        <f>IF(E1179="","",E1179&amp;"|"&amp;COUNTIF($E$5:E1179,E1179))</f>
        <v/>
      </c>
    </row>
    <row r="1180" spans="2:13" x14ac:dyDescent="0.2">
      <c r="B1180" s="10"/>
      <c r="C1180" s="7"/>
      <c r="D1180" s="11"/>
      <c r="E1180" s="6"/>
      <c r="F1180" s="12" t="str">
        <f t="shared" si="36"/>
        <v/>
      </c>
      <c r="G1180" s="13" t="str">
        <f t="shared" si="37"/>
        <v/>
      </c>
      <c r="H1180" s="9"/>
      <c r="I1180" s="9"/>
      <c r="J1180" s="14" t="str">
        <f>IF(E1180="","",IFERROR(VLOOKUP(E1180,TabProd,5,FALSE),0)+SUMIFS($H$5:H1180,$E$5:E1180,E1180)-SUMIFS($I$5:I1180,$E$5:E1180,E1180))</f>
        <v/>
      </c>
      <c r="K1180" s="7"/>
      <c r="L1180" s="7"/>
      <c r="M1180" s="1" t="str">
        <f>IF(E1180="","",E1180&amp;"|"&amp;COUNTIF($E$5:E1180,E1180))</f>
        <v/>
      </c>
    </row>
    <row r="1181" spans="2:13" x14ac:dyDescent="0.2">
      <c r="B1181" s="10"/>
      <c r="C1181" s="7"/>
      <c r="D1181" s="11"/>
      <c r="E1181" s="6"/>
      <c r="F1181" s="12" t="str">
        <f t="shared" si="36"/>
        <v/>
      </c>
      <c r="G1181" s="13" t="str">
        <f t="shared" si="37"/>
        <v/>
      </c>
      <c r="H1181" s="9"/>
      <c r="I1181" s="9"/>
      <c r="J1181" s="14" t="str">
        <f>IF(E1181="","",IFERROR(VLOOKUP(E1181,TabProd,5,FALSE),0)+SUMIFS($H$5:H1181,$E$5:E1181,E1181)-SUMIFS($I$5:I1181,$E$5:E1181,E1181))</f>
        <v/>
      </c>
      <c r="K1181" s="7"/>
      <c r="L1181" s="7"/>
      <c r="M1181" s="1" t="str">
        <f>IF(E1181="","",E1181&amp;"|"&amp;COUNTIF($E$5:E1181,E1181))</f>
        <v/>
      </c>
    </row>
    <row r="1182" spans="2:13" x14ac:dyDescent="0.2">
      <c r="B1182" s="10"/>
      <c r="C1182" s="7"/>
      <c r="D1182" s="11"/>
      <c r="E1182" s="6"/>
      <c r="F1182" s="12" t="str">
        <f t="shared" si="36"/>
        <v/>
      </c>
      <c r="G1182" s="13" t="str">
        <f t="shared" si="37"/>
        <v/>
      </c>
      <c r="H1182" s="9"/>
      <c r="I1182" s="9"/>
      <c r="J1182" s="14" t="str">
        <f>IF(E1182="","",IFERROR(VLOOKUP(E1182,TabProd,5,FALSE),0)+SUMIFS($H$5:H1182,$E$5:E1182,E1182)-SUMIFS($I$5:I1182,$E$5:E1182,E1182))</f>
        <v/>
      </c>
      <c r="K1182" s="7"/>
      <c r="L1182" s="7"/>
      <c r="M1182" s="1" t="str">
        <f>IF(E1182="","",E1182&amp;"|"&amp;COUNTIF($E$5:E1182,E1182))</f>
        <v/>
      </c>
    </row>
    <row r="1183" spans="2:13" x14ac:dyDescent="0.2">
      <c r="B1183" s="10"/>
      <c r="C1183" s="7"/>
      <c r="D1183" s="11"/>
      <c r="E1183" s="6"/>
      <c r="F1183" s="12" t="str">
        <f t="shared" si="36"/>
        <v/>
      </c>
      <c r="G1183" s="13" t="str">
        <f t="shared" si="37"/>
        <v/>
      </c>
      <c r="H1183" s="9"/>
      <c r="I1183" s="9"/>
      <c r="J1183" s="14" t="str">
        <f>IF(E1183="","",IFERROR(VLOOKUP(E1183,TabProd,5,FALSE),0)+SUMIFS($H$5:H1183,$E$5:E1183,E1183)-SUMIFS($I$5:I1183,$E$5:E1183,E1183))</f>
        <v/>
      </c>
      <c r="K1183" s="7"/>
      <c r="L1183" s="7"/>
      <c r="M1183" s="1" t="str">
        <f>IF(E1183="","",E1183&amp;"|"&amp;COUNTIF($E$5:E1183,E1183))</f>
        <v/>
      </c>
    </row>
    <row r="1184" spans="2:13" x14ac:dyDescent="0.2">
      <c r="B1184" s="10"/>
      <c r="C1184" s="7"/>
      <c r="D1184" s="11"/>
      <c r="E1184" s="6"/>
      <c r="F1184" s="12" t="str">
        <f t="shared" si="36"/>
        <v/>
      </c>
      <c r="G1184" s="13" t="str">
        <f t="shared" si="37"/>
        <v/>
      </c>
      <c r="H1184" s="9"/>
      <c r="I1184" s="9"/>
      <c r="J1184" s="14" t="str">
        <f>IF(E1184="","",IFERROR(VLOOKUP(E1184,TabProd,5,FALSE),0)+SUMIFS($H$5:H1184,$E$5:E1184,E1184)-SUMIFS($I$5:I1184,$E$5:E1184,E1184))</f>
        <v/>
      </c>
      <c r="K1184" s="7"/>
      <c r="L1184" s="7"/>
      <c r="M1184" s="1" t="str">
        <f>IF(E1184="","",E1184&amp;"|"&amp;COUNTIF($E$5:E1184,E1184))</f>
        <v/>
      </c>
    </row>
    <row r="1185" spans="2:13" x14ac:dyDescent="0.2">
      <c r="B1185" s="10"/>
      <c r="C1185" s="7"/>
      <c r="D1185" s="11"/>
      <c r="E1185" s="6"/>
      <c r="F1185" s="12" t="str">
        <f t="shared" si="36"/>
        <v/>
      </c>
      <c r="G1185" s="13" t="str">
        <f t="shared" si="37"/>
        <v/>
      </c>
      <c r="H1185" s="9"/>
      <c r="I1185" s="9"/>
      <c r="J1185" s="14" t="str">
        <f>IF(E1185="","",IFERROR(VLOOKUP(E1185,TabProd,5,FALSE),0)+SUMIFS($H$5:H1185,$E$5:E1185,E1185)-SUMIFS($I$5:I1185,$E$5:E1185,E1185))</f>
        <v/>
      </c>
      <c r="K1185" s="7"/>
      <c r="L1185" s="7"/>
      <c r="M1185" s="1" t="str">
        <f>IF(E1185="","",E1185&amp;"|"&amp;COUNTIF($E$5:E1185,E1185))</f>
        <v/>
      </c>
    </row>
    <row r="1186" spans="2:13" x14ac:dyDescent="0.2">
      <c r="B1186" s="10"/>
      <c r="C1186" s="7"/>
      <c r="D1186" s="11"/>
      <c r="E1186" s="6"/>
      <c r="F1186" s="12" t="str">
        <f t="shared" si="36"/>
        <v/>
      </c>
      <c r="G1186" s="13" t="str">
        <f t="shared" si="37"/>
        <v/>
      </c>
      <c r="H1186" s="9"/>
      <c r="I1186" s="9"/>
      <c r="J1186" s="14" t="str">
        <f>IF(E1186="","",IFERROR(VLOOKUP(E1186,TabProd,5,FALSE),0)+SUMIFS($H$5:H1186,$E$5:E1186,E1186)-SUMIFS($I$5:I1186,$E$5:E1186,E1186))</f>
        <v/>
      </c>
      <c r="K1186" s="7"/>
      <c r="L1186" s="7"/>
      <c r="M1186" s="1" t="str">
        <f>IF(E1186="","",E1186&amp;"|"&amp;COUNTIF($E$5:E1186,E1186))</f>
        <v/>
      </c>
    </row>
    <row r="1187" spans="2:13" x14ac:dyDescent="0.2">
      <c r="B1187" s="10"/>
      <c r="C1187" s="7"/>
      <c r="D1187" s="11"/>
      <c r="E1187" s="6"/>
      <c r="F1187" s="12" t="str">
        <f t="shared" si="36"/>
        <v/>
      </c>
      <c r="G1187" s="13" t="str">
        <f t="shared" si="37"/>
        <v/>
      </c>
      <c r="H1187" s="9"/>
      <c r="I1187" s="9"/>
      <c r="J1187" s="14" t="str">
        <f>IF(E1187="","",IFERROR(VLOOKUP(E1187,TabProd,5,FALSE),0)+SUMIFS($H$5:H1187,$E$5:E1187,E1187)-SUMIFS($I$5:I1187,$E$5:E1187,E1187))</f>
        <v/>
      </c>
      <c r="K1187" s="7"/>
      <c r="L1187" s="7"/>
      <c r="M1187" s="1" t="str">
        <f>IF(E1187="","",E1187&amp;"|"&amp;COUNTIF($E$5:E1187,E1187))</f>
        <v/>
      </c>
    </row>
    <row r="1188" spans="2:13" x14ac:dyDescent="0.2">
      <c r="B1188" s="10"/>
      <c r="C1188" s="7"/>
      <c r="D1188" s="11"/>
      <c r="E1188" s="6"/>
      <c r="F1188" s="12" t="str">
        <f t="shared" si="36"/>
        <v/>
      </c>
      <c r="G1188" s="13" t="str">
        <f t="shared" si="37"/>
        <v/>
      </c>
      <c r="H1188" s="9"/>
      <c r="I1188" s="9"/>
      <c r="J1188" s="14" t="str">
        <f>IF(E1188="","",IFERROR(VLOOKUP(E1188,TabProd,5,FALSE),0)+SUMIFS($H$5:H1188,$E$5:E1188,E1188)-SUMIFS($I$5:I1188,$E$5:E1188,E1188))</f>
        <v/>
      </c>
      <c r="K1188" s="7"/>
      <c r="L1188" s="7"/>
      <c r="M1188" s="1" t="str">
        <f>IF(E1188="","",E1188&amp;"|"&amp;COUNTIF($E$5:E1188,E1188))</f>
        <v/>
      </c>
    </row>
    <row r="1189" spans="2:13" x14ac:dyDescent="0.2">
      <c r="B1189" s="10"/>
      <c r="C1189" s="7"/>
      <c r="D1189" s="11"/>
      <c r="E1189" s="6"/>
      <c r="F1189" s="12" t="str">
        <f t="shared" si="36"/>
        <v/>
      </c>
      <c r="G1189" s="13" t="str">
        <f t="shared" si="37"/>
        <v/>
      </c>
      <c r="H1189" s="9"/>
      <c r="I1189" s="9"/>
      <c r="J1189" s="14" t="str">
        <f>IF(E1189="","",IFERROR(VLOOKUP(E1189,TabProd,5,FALSE),0)+SUMIFS($H$5:H1189,$E$5:E1189,E1189)-SUMIFS($I$5:I1189,$E$5:E1189,E1189))</f>
        <v/>
      </c>
      <c r="K1189" s="7"/>
      <c r="L1189" s="7"/>
      <c r="M1189" s="1" t="str">
        <f>IF(E1189="","",E1189&amp;"|"&amp;COUNTIF($E$5:E1189,E1189))</f>
        <v/>
      </c>
    </row>
    <row r="1190" spans="2:13" x14ac:dyDescent="0.2">
      <c r="B1190" s="10"/>
      <c r="C1190" s="7"/>
      <c r="D1190" s="11"/>
      <c r="E1190" s="6"/>
      <c r="F1190" s="12" t="str">
        <f t="shared" si="36"/>
        <v/>
      </c>
      <c r="G1190" s="13" t="str">
        <f t="shared" si="37"/>
        <v/>
      </c>
      <c r="H1190" s="9"/>
      <c r="I1190" s="9"/>
      <c r="J1190" s="14" t="str">
        <f>IF(E1190="","",IFERROR(VLOOKUP(E1190,TabProd,5,FALSE),0)+SUMIFS($H$5:H1190,$E$5:E1190,E1190)-SUMIFS($I$5:I1190,$E$5:E1190,E1190))</f>
        <v/>
      </c>
      <c r="K1190" s="7"/>
      <c r="L1190" s="7"/>
      <c r="M1190" s="1" t="str">
        <f>IF(E1190="","",E1190&amp;"|"&amp;COUNTIF($E$5:E1190,E1190))</f>
        <v/>
      </c>
    </row>
    <row r="1191" spans="2:13" x14ac:dyDescent="0.2">
      <c r="B1191" s="10"/>
      <c r="C1191" s="7"/>
      <c r="D1191" s="11"/>
      <c r="E1191" s="6"/>
      <c r="F1191" s="12" t="str">
        <f t="shared" si="36"/>
        <v/>
      </c>
      <c r="G1191" s="13" t="str">
        <f t="shared" si="37"/>
        <v/>
      </c>
      <c r="H1191" s="9"/>
      <c r="I1191" s="9"/>
      <c r="J1191" s="14" t="str">
        <f>IF(E1191="","",IFERROR(VLOOKUP(E1191,TabProd,5,FALSE),0)+SUMIFS($H$5:H1191,$E$5:E1191,E1191)-SUMIFS($I$5:I1191,$E$5:E1191,E1191))</f>
        <v/>
      </c>
      <c r="K1191" s="7"/>
      <c r="L1191" s="7"/>
      <c r="M1191" s="1" t="str">
        <f>IF(E1191="","",E1191&amp;"|"&amp;COUNTIF($E$5:E1191,E1191))</f>
        <v/>
      </c>
    </row>
    <row r="1192" spans="2:13" x14ac:dyDescent="0.2">
      <c r="B1192" s="10"/>
      <c r="C1192" s="7"/>
      <c r="D1192" s="11"/>
      <c r="E1192" s="6"/>
      <c r="F1192" s="12" t="str">
        <f t="shared" si="36"/>
        <v/>
      </c>
      <c r="G1192" s="13" t="str">
        <f t="shared" si="37"/>
        <v/>
      </c>
      <c r="H1192" s="9"/>
      <c r="I1192" s="9"/>
      <c r="J1192" s="14" t="str">
        <f>IF(E1192="","",IFERROR(VLOOKUP(E1192,TabProd,5,FALSE),0)+SUMIFS($H$5:H1192,$E$5:E1192,E1192)-SUMIFS($I$5:I1192,$E$5:E1192,E1192))</f>
        <v/>
      </c>
      <c r="K1192" s="7"/>
      <c r="L1192" s="7"/>
      <c r="M1192" s="1" t="str">
        <f>IF(E1192="","",E1192&amp;"|"&amp;COUNTIF($E$5:E1192,E1192))</f>
        <v/>
      </c>
    </row>
    <row r="1193" spans="2:13" x14ac:dyDescent="0.2">
      <c r="B1193" s="10"/>
      <c r="C1193" s="7"/>
      <c r="D1193" s="11"/>
      <c r="E1193" s="6"/>
      <c r="F1193" s="12" t="str">
        <f t="shared" si="36"/>
        <v/>
      </c>
      <c r="G1193" s="13" t="str">
        <f t="shared" si="37"/>
        <v/>
      </c>
      <c r="H1193" s="9"/>
      <c r="I1193" s="9"/>
      <c r="J1193" s="14" t="str">
        <f>IF(E1193="","",IFERROR(VLOOKUP(E1193,TabProd,5,FALSE),0)+SUMIFS($H$5:H1193,$E$5:E1193,E1193)-SUMIFS($I$5:I1193,$E$5:E1193,E1193))</f>
        <v/>
      </c>
      <c r="K1193" s="7"/>
      <c r="L1193" s="7"/>
      <c r="M1193" s="1" t="str">
        <f>IF(E1193="","",E1193&amp;"|"&amp;COUNTIF($E$5:E1193,E1193))</f>
        <v/>
      </c>
    </row>
    <row r="1194" spans="2:13" x14ac:dyDescent="0.2">
      <c r="B1194" s="10"/>
      <c r="C1194" s="7"/>
      <c r="D1194" s="11"/>
      <c r="E1194" s="6"/>
      <c r="F1194" s="12" t="str">
        <f t="shared" si="36"/>
        <v/>
      </c>
      <c r="G1194" s="13" t="str">
        <f t="shared" si="37"/>
        <v/>
      </c>
      <c r="H1194" s="9"/>
      <c r="I1194" s="9"/>
      <c r="J1194" s="14" t="str">
        <f>IF(E1194="","",IFERROR(VLOOKUP(E1194,TabProd,5,FALSE),0)+SUMIFS($H$5:H1194,$E$5:E1194,E1194)-SUMIFS($I$5:I1194,$E$5:E1194,E1194))</f>
        <v/>
      </c>
      <c r="K1194" s="7"/>
      <c r="L1194" s="7"/>
      <c r="M1194" s="1" t="str">
        <f>IF(E1194="","",E1194&amp;"|"&amp;COUNTIF($E$5:E1194,E1194))</f>
        <v/>
      </c>
    </row>
    <row r="1195" spans="2:13" x14ac:dyDescent="0.2">
      <c r="B1195" s="10"/>
      <c r="C1195" s="7"/>
      <c r="D1195" s="11"/>
      <c r="E1195" s="6"/>
      <c r="F1195" s="12" t="str">
        <f t="shared" si="36"/>
        <v/>
      </c>
      <c r="G1195" s="13" t="str">
        <f t="shared" si="37"/>
        <v/>
      </c>
      <c r="H1195" s="9"/>
      <c r="I1195" s="9"/>
      <c r="J1195" s="14" t="str">
        <f>IF(E1195="","",IFERROR(VLOOKUP(E1195,TabProd,5,FALSE),0)+SUMIFS($H$5:H1195,$E$5:E1195,E1195)-SUMIFS($I$5:I1195,$E$5:E1195,E1195))</f>
        <v/>
      </c>
      <c r="K1195" s="7"/>
      <c r="L1195" s="7"/>
      <c r="M1195" s="1" t="str">
        <f>IF(E1195="","",E1195&amp;"|"&amp;COUNTIF($E$5:E1195,E1195))</f>
        <v/>
      </c>
    </row>
    <row r="1196" spans="2:13" x14ac:dyDescent="0.2">
      <c r="B1196" s="10"/>
      <c r="C1196" s="7"/>
      <c r="D1196" s="11"/>
      <c r="E1196" s="6"/>
      <c r="F1196" s="12" t="str">
        <f t="shared" si="36"/>
        <v/>
      </c>
      <c r="G1196" s="13" t="str">
        <f t="shared" si="37"/>
        <v/>
      </c>
      <c r="H1196" s="9"/>
      <c r="I1196" s="9"/>
      <c r="J1196" s="14" t="str">
        <f>IF(E1196="","",IFERROR(VLOOKUP(E1196,TabProd,5,FALSE),0)+SUMIFS($H$5:H1196,$E$5:E1196,E1196)-SUMIFS($I$5:I1196,$E$5:E1196,E1196))</f>
        <v/>
      </c>
      <c r="K1196" s="7"/>
      <c r="L1196" s="7"/>
      <c r="M1196" s="1" t="str">
        <f>IF(E1196="","",E1196&amp;"|"&amp;COUNTIF($E$5:E1196,E1196))</f>
        <v/>
      </c>
    </row>
    <row r="1197" spans="2:13" x14ac:dyDescent="0.2">
      <c r="B1197" s="10"/>
      <c r="C1197" s="7"/>
      <c r="D1197" s="11"/>
      <c r="E1197" s="6"/>
      <c r="F1197" s="12" t="str">
        <f t="shared" si="36"/>
        <v/>
      </c>
      <c r="G1197" s="13" t="str">
        <f t="shared" si="37"/>
        <v/>
      </c>
      <c r="H1197" s="9"/>
      <c r="I1197" s="9"/>
      <c r="J1197" s="14" t="str">
        <f>IF(E1197="","",IFERROR(VLOOKUP(E1197,TabProd,5,FALSE),0)+SUMIFS($H$5:H1197,$E$5:E1197,E1197)-SUMIFS($I$5:I1197,$E$5:E1197,E1197))</f>
        <v/>
      </c>
      <c r="K1197" s="7"/>
      <c r="L1197" s="7"/>
      <c r="M1197" s="1" t="str">
        <f>IF(E1197="","",E1197&amp;"|"&amp;COUNTIF($E$5:E1197,E1197))</f>
        <v/>
      </c>
    </row>
    <row r="1198" spans="2:13" x14ac:dyDescent="0.2">
      <c r="B1198" s="10"/>
      <c r="C1198" s="7"/>
      <c r="D1198" s="11"/>
      <c r="E1198" s="6"/>
      <c r="F1198" s="12" t="str">
        <f t="shared" si="36"/>
        <v/>
      </c>
      <c r="G1198" s="13" t="str">
        <f t="shared" si="37"/>
        <v/>
      </c>
      <c r="H1198" s="9"/>
      <c r="I1198" s="9"/>
      <c r="J1198" s="14" t="str">
        <f>IF(E1198="","",IFERROR(VLOOKUP(E1198,TabProd,5,FALSE),0)+SUMIFS($H$5:H1198,$E$5:E1198,E1198)-SUMIFS($I$5:I1198,$E$5:E1198,E1198))</f>
        <v/>
      </c>
      <c r="K1198" s="7"/>
      <c r="L1198" s="7"/>
      <c r="M1198" s="1" t="str">
        <f>IF(E1198="","",E1198&amp;"|"&amp;COUNTIF($E$5:E1198,E1198))</f>
        <v/>
      </c>
    </row>
    <row r="1199" spans="2:13" x14ac:dyDescent="0.2">
      <c r="B1199" s="10"/>
      <c r="C1199" s="7"/>
      <c r="D1199" s="11"/>
      <c r="E1199" s="6"/>
      <c r="F1199" s="12" t="str">
        <f t="shared" si="36"/>
        <v/>
      </c>
      <c r="G1199" s="13" t="str">
        <f t="shared" si="37"/>
        <v/>
      </c>
      <c r="H1199" s="9"/>
      <c r="I1199" s="9"/>
      <c r="J1199" s="14" t="str">
        <f>IF(E1199="","",IFERROR(VLOOKUP(E1199,TabProd,5,FALSE),0)+SUMIFS($H$5:H1199,$E$5:E1199,E1199)-SUMIFS($I$5:I1199,$E$5:E1199,E1199))</f>
        <v/>
      </c>
      <c r="K1199" s="7"/>
      <c r="L1199" s="7"/>
      <c r="M1199" s="1" t="str">
        <f>IF(E1199="","",E1199&amp;"|"&amp;COUNTIF($E$5:E1199,E1199))</f>
        <v/>
      </c>
    </row>
    <row r="1200" spans="2:13" x14ac:dyDescent="0.2">
      <c r="B1200" s="10"/>
      <c r="C1200" s="7"/>
      <c r="D1200" s="11"/>
      <c r="E1200" s="6"/>
      <c r="F1200" s="12" t="str">
        <f t="shared" si="36"/>
        <v/>
      </c>
      <c r="G1200" s="13" t="str">
        <f t="shared" si="37"/>
        <v/>
      </c>
      <c r="H1200" s="9"/>
      <c r="I1200" s="9"/>
      <c r="J1200" s="14" t="str">
        <f>IF(E1200="","",IFERROR(VLOOKUP(E1200,TabProd,5,FALSE),0)+SUMIFS($H$5:H1200,$E$5:E1200,E1200)-SUMIFS($I$5:I1200,$E$5:E1200,E1200))</f>
        <v/>
      </c>
      <c r="K1200" s="7"/>
      <c r="L1200" s="7"/>
      <c r="M1200" s="1" t="str">
        <f>IF(E1200="","",E1200&amp;"|"&amp;COUNTIF($E$5:E1200,E1200))</f>
        <v/>
      </c>
    </row>
    <row r="1201" spans="2:13" x14ac:dyDescent="0.2">
      <c r="B1201" s="10"/>
      <c r="C1201" s="7"/>
      <c r="D1201" s="11"/>
      <c r="E1201" s="6"/>
      <c r="F1201" s="12" t="str">
        <f t="shared" si="36"/>
        <v/>
      </c>
      <c r="G1201" s="13" t="str">
        <f t="shared" si="37"/>
        <v/>
      </c>
      <c r="H1201" s="9"/>
      <c r="I1201" s="9"/>
      <c r="J1201" s="14" t="str">
        <f>IF(E1201="","",IFERROR(VLOOKUP(E1201,TabProd,5,FALSE),0)+SUMIFS($H$5:H1201,$E$5:E1201,E1201)-SUMIFS($I$5:I1201,$E$5:E1201,E1201))</f>
        <v/>
      </c>
      <c r="K1201" s="7"/>
      <c r="L1201" s="7"/>
      <c r="M1201" s="1" t="str">
        <f>IF(E1201="","",E1201&amp;"|"&amp;COUNTIF($E$5:E1201,E1201))</f>
        <v/>
      </c>
    </row>
    <row r="1202" spans="2:13" x14ac:dyDescent="0.2">
      <c r="B1202" s="10"/>
      <c r="C1202" s="7"/>
      <c r="D1202" s="11"/>
      <c r="E1202" s="6"/>
      <c r="F1202" s="12" t="str">
        <f t="shared" si="36"/>
        <v/>
      </c>
      <c r="G1202" s="13" t="str">
        <f t="shared" si="37"/>
        <v/>
      </c>
      <c r="H1202" s="9"/>
      <c r="I1202" s="9"/>
      <c r="J1202" s="14" t="str">
        <f>IF(E1202="","",IFERROR(VLOOKUP(E1202,TabProd,5,FALSE),0)+SUMIFS($H$5:H1202,$E$5:E1202,E1202)-SUMIFS($I$5:I1202,$E$5:E1202,E1202))</f>
        <v/>
      </c>
      <c r="K1202" s="7"/>
      <c r="L1202" s="7"/>
      <c r="M1202" s="1" t="str">
        <f>IF(E1202="","",E1202&amp;"|"&amp;COUNTIF($E$5:E1202,E1202))</f>
        <v/>
      </c>
    </row>
    <row r="1203" spans="2:13" x14ac:dyDescent="0.2">
      <c r="B1203" s="10"/>
      <c r="C1203" s="7"/>
      <c r="D1203" s="11"/>
      <c r="E1203" s="6"/>
      <c r="F1203" s="12" t="str">
        <f t="shared" si="36"/>
        <v/>
      </c>
      <c r="G1203" s="13" t="str">
        <f t="shared" si="37"/>
        <v/>
      </c>
      <c r="H1203" s="9"/>
      <c r="I1203" s="9"/>
      <c r="J1203" s="14" t="str">
        <f>IF(E1203="","",IFERROR(VLOOKUP(E1203,TabProd,5,FALSE),0)+SUMIFS($H$5:H1203,$E$5:E1203,E1203)-SUMIFS($I$5:I1203,$E$5:E1203,E1203))</f>
        <v/>
      </c>
      <c r="K1203" s="7"/>
      <c r="L1203" s="7"/>
      <c r="M1203" s="1" t="str">
        <f>IF(E1203="","",E1203&amp;"|"&amp;COUNTIF($E$5:E1203,E1203))</f>
        <v/>
      </c>
    </row>
    <row r="1204" spans="2:13" x14ac:dyDescent="0.2">
      <c r="B1204" s="10"/>
      <c r="C1204" s="7"/>
      <c r="D1204" s="11"/>
      <c r="E1204" s="6"/>
      <c r="F1204" s="12" t="str">
        <f t="shared" si="36"/>
        <v/>
      </c>
      <c r="G1204" s="13" t="str">
        <f t="shared" si="37"/>
        <v/>
      </c>
      <c r="H1204" s="9"/>
      <c r="I1204" s="9"/>
      <c r="J1204" s="14" t="str">
        <f>IF(E1204="","",IFERROR(VLOOKUP(E1204,TabProd,5,FALSE),0)+SUMIFS($H$5:H1204,$E$5:E1204,E1204)-SUMIFS($I$5:I1204,$E$5:E1204,E1204))</f>
        <v/>
      </c>
      <c r="K1204" s="7"/>
      <c r="L1204" s="7"/>
      <c r="M1204" s="1" t="str">
        <f>IF(E1204="","",E1204&amp;"|"&amp;COUNTIF($E$5:E1204,E1204))</f>
        <v/>
      </c>
    </row>
    <row r="1205" spans="2:13" x14ac:dyDescent="0.2">
      <c r="B1205" s="10"/>
      <c r="C1205" s="7"/>
      <c r="D1205" s="11"/>
      <c r="E1205" s="6"/>
      <c r="F1205" s="12" t="str">
        <f t="shared" si="36"/>
        <v/>
      </c>
      <c r="G1205" s="13" t="str">
        <f t="shared" si="37"/>
        <v/>
      </c>
      <c r="H1205" s="9"/>
      <c r="I1205" s="9"/>
      <c r="J1205" s="14" t="str">
        <f>IF(E1205="","",IFERROR(VLOOKUP(E1205,TabProd,5,FALSE),0)+SUMIFS($H$5:H1205,$E$5:E1205,E1205)-SUMIFS($I$5:I1205,$E$5:E1205,E1205))</f>
        <v/>
      </c>
      <c r="K1205" s="7"/>
      <c r="L1205" s="7"/>
      <c r="M1205" s="1" t="str">
        <f>IF(E1205="","",E1205&amp;"|"&amp;COUNTIF($E$5:E1205,E1205))</f>
        <v/>
      </c>
    </row>
    <row r="1206" spans="2:13" x14ac:dyDescent="0.2">
      <c r="B1206" s="10"/>
      <c r="C1206" s="7"/>
      <c r="D1206" s="11"/>
      <c r="E1206" s="6"/>
      <c r="F1206" s="12" t="str">
        <f t="shared" si="36"/>
        <v/>
      </c>
      <c r="G1206" s="13" t="str">
        <f t="shared" si="37"/>
        <v/>
      </c>
      <c r="H1206" s="9"/>
      <c r="I1206" s="9"/>
      <c r="J1206" s="14" t="str">
        <f>IF(E1206="","",IFERROR(VLOOKUP(E1206,TabProd,5,FALSE),0)+SUMIFS($H$5:H1206,$E$5:E1206,E1206)-SUMIFS($I$5:I1206,$E$5:E1206,E1206))</f>
        <v/>
      </c>
      <c r="K1206" s="7"/>
      <c r="L1206" s="7"/>
      <c r="M1206" s="1" t="str">
        <f>IF(E1206="","",E1206&amp;"|"&amp;COUNTIF($E$5:E1206,E1206))</f>
        <v/>
      </c>
    </row>
    <row r="1207" spans="2:13" x14ac:dyDescent="0.2">
      <c r="B1207" s="10"/>
      <c r="C1207" s="7"/>
      <c r="D1207" s="11"/>
      <c r="E1207" s="6"/>
      <c r="F1207" s="12" t="str">
        <f t="shared" si="36"/>
        <v/>
      </c>
      <c r="G1207" s="13" t="str">
        <f t="shared" si="37"/>
        <v/>
      </c>
      <c r="H1207" s="9"/>
      <c r="I1207" s="9"/>
      <c r="J1207" s="14" t="str">
        <f>IF(E1207="","",IFERROR(VLOOKUP(E1207,TabProd,5,FALSE),0)+SUMIFS($H$5:H1207,$E$5:E1207,E1207)-SUMIFS($I$5:I1207,$E$5:E1207,E1207))</f>
        <v/>
      </c>
      <c r="K1207" s="7"/>
      <c r="L1207" s="7"/>
      <c r="M1207" s="1" t="str">
        <f>IF(E1207="","",E1207&amp;"|"&amp;COUNTIF($E$5:E1207,E1207))</f>
        <v/>
      </c>
    </row>
    <row r="1208" spans="2:13" x14ac:dyDescent="0.2">
      <c r="B1208" s="10"/>
      <c r="C1208" s="7"/>
      <c r="D1208" s="11"/>
      <c r="E1208" s="6"/>
      <c r="F1208" s="12" t="str">
        <f t="shared" si="36"/>
        <v/>
      </c>
      <c r="G1208" s="13" t="str">
        <f t="shared" si="37"/>
        <v/>
      </c>
      <c r="H1208" s="9"/>
      <c r="I1208" s="9"/>
      <c r="J1208" s="14" t="str">
        <f>IF(E1208="","",IFERROR(VLOOKUP(E1208,TabProd,5,FALSE),0)+SUMIFS($H$5:H1208,$E$5:E1208,E1208)-SUMIFS($I$5:I1208,$E$5:E1208,E1208))</f>
        <v/>
      </c>
      <c r="K1208" s="7"/>
      <c r="L1208" s="7"/>
      <c r="M1208" s="1" t="str">
        <f>IF(E1208="","",E1208&amp;"|"&amp;COUNTIF($E$5:E1208,E1208))</f>
        <v/>
      </c>
    </row>
    <row r="1209" spans="2:13" x14ac:dyDescent="0.2">
      <c r="B1209" s="10"/>
      <c r="C1209" s="7"/>
      <c r="D1209" s="11"/>
      <c r="E1209" s="6"/>
      <c r="F1209" s="12" t="str">
        <f t="shared" si="36"/>
        <v/>
      </c>
      <c r="G1209" s="13" t="str">
        <f t="shared" si="37"/>
        <v/>
      </c>
      <c r="H1209" s="9"/>
      <c r="I1209" s="9"/>
      <c r="J1209" s="14" t="str">
        <f>IF(E1209="","",IFERROR(VLOOKUP(E1209,TabProd,5,FALSE),0)+SUMIFS($H$5:H1209,$E$5:E1209,E1209)-SUMIFS($I$5:I1209,$E$5:E1209,E1209))</f>
        <v/>
      </c>
      <c r="K1209" s="7"/>
      <c r="L1209" s="7"/>
      <c r="M1209" s="1" t="str">
        <f>IF(E1209="","",E1209&amp;"|"&amp;COUNTIF($E$5:E1209,E1209))</f>
        <v/>
      </c>
    </row>
    <row r="1210" spans="2:13" x14ac:dyDescent="0.2">
      <c r="B1210" s="10"/>
      <c r="C1210" s="7"/>
      <c r="D1210" s="11"/>
      <c r="E1210" s="6"/>
      <c r="F1210" s="12" t="str">
        <f t="shared" si="36"/>
        <v/>
      </c>
      <c r="G1210" s="13" t="str">
        <f t="shared" si="37"/>
        <v/>
      </c>
      <c r="H1210" s="9"/>
      <c r="I1210" s="9"/>
      <c r="J1210" s="14" t="str">
        <f>IF(E1210="","",IFERROR(VLOOKUP(E1210,TabProd,5,FALSE),0)+SUMIFS($H$5:H1210,$E$5:E1210,E1210)-SUMIFS($I$5:I1210,$E$5:E1210,E1210))</f>
        <v/>
      </c>
      <c r="K1210" s="7"/>
      <c r="L1210" s="7"/>
      <c r="M1210" s="1" t="str">
        <f>IF(E1210="","",E1210&amp;"|"&amp;COUNTIF($E$5:E1210,E1210))</f>
        <v/>
      </c>
    </row>
    <row r="1211" spans="2:13" x14ac:dyDescent="0.2">
      <c r="B1211" s="10"/>
      <c r="C1211" s="7"/>
      <c r="D1211" s="11"/>
      <c r="E1211" s="6"/>
      <c r="F1211" s="12" t="str">
        <f t="shared" si="36"/>
        <v/>
      </c>
      <c r="G1211" s="13" t="str">
        <f t="shared" si="37"/>
        <v/>
      </c>
      <c r="H1211" s="9"/>
      <c r="I1211" s="9"/>
      <c r="J1211" s="14" t="str">
        <f>IF(E1211="","",IFERROR(VLOOKUP(E1211,TabProd,5,FALSE),0)+SUMIFS($H$5:H1211,$E$5:E1211,E1211)-SUMIFS($I$5:I1211,$E$5:E1211,E1211))</f>
        <v/>
      </c>
      <c r="K1211" s="7"/>
      <c r="L1211" s="7"/>
      <c r="M1211" s="1" t="str">
        <f>IF(E1211="","",E1211&amp;"|"&amp;COUNTIF($E$5:E1211,E1211))</f>
        <v/>
      </c>
    </row>
    <row r="1212" spans="2:13" x14ac:dyDescent="0.2">
      <c r="B1212" s="10"/>
      <c r="C1212" s="7"/>
      <c r="D1212" s="11"/>
      <c r="E1212" s="6"/>
      <c r="F1212" s="12" t="str">
        <f t="shared" si="36"/>
        <v/>
      </c>
      <c r="G1212" s="13" t="str">
        <f t="shared" si="37"/>
        <v/>
      </c>
      <c r="H1212" s="9"/>
      <c r="I1212" s="9"/>
      <c r="J1212" s="14" t="str">
        <f>IF(E1212="","",IFERROR(VLOOKUP(E1212,TabProd,5,FALSE),0)+SUMIFS($H$5:H1212,$E$5:E1212,E1212)-SUMIFS($I$5:I1212,$E$5:E1212,E1212))</f>
        <v/>
      </c>
      <c r="K1212" s="7"/>
      <c r="L1212" s="7"/>
      <c r="M1212" s="1" t="str">
        <f>IF(E1212="","",E1212&amp;"|"&amp;COUNTIF($E$5:E1212,E1212))</f>
        <v/>
      </c>
    </row>
    <row r="1213" spans="2:13" x14ac:dyDescent="0.2">
      <c r="B1213" s="10"/>
      <c r="C1213" s="7"/>
      <c r="D1213" s="11"/>
      <c r="E1213" s="6"/>
      <c r="F1213" s="12" t="str">
        <f t="shared" si="36"/>
        <v/>
      </c>
      <c r="G1213" s="13" t="str">
        <f t="shared" si="37"/>
        <v/>
      </c>
      <c r="H1213" s="9"/>
      <c r="I1213" s="9"/>
      <c r="J1213" s="14" t="str">
        <f>IF(E1213="","",IFERROR(VLOOKUP(E1213,TabProd,5,FALSE),0)+SUMIFS($H$5:H1213,$E$5:E1213,E1213)-SUMIFS($I$5:I1213,$E$5:E1213,E1213))</f>
        <v/>
      </c>
      <c r="K1213" s="7"/>
      <c r="L1213" s="7"/>
      <c r="M1213" s="1" t="str">
        <f>IF(E1213="","",E1213&amp;"|"&amp;COUNTIF($E$5:E1213,E1213))</f>
        <v/>
      </c>
    </row>
    <row r="1214" spans="2:13" x14ac:dyDescent="0.2">
      <c r="B1214" s="10"/>
      <c r="C1214" s="7"/>
      <c r="D1214" s="11"/>
      <c r="E1214" s="6"/>
      <c r="F1214" s="12" t="str">
        <f t="shared" si="36"/>
        <v/>
      </c>
      <c r="G1214" s="13" t="str">
        <f t="shared" si="37"/>
        <v/>
      </c>
      <c r="H1214" s="9"/>
      <c r="I1214" s="9"/>
      <c r="J1214" s="14" t="str">
        <f>IF(E1214="","",IFERROR(VLOOKUP(E1214,TabProd,5,FALSE),0)+SUMIFS($H$5:H1214,$E$5:E1214,E1214)-SUMIFS($I$5:I1214,$E$5:E1214,E1214))</f>
        <v/>
      </c>
      <c r="K1214" s="7"/>
      <c r="L1214" s="7"/>
      <c r="M1214" s="1" t="str">
        <f>IF(E1214="","",E1214&amp;"|"&amp;COUNTIF($E$5:E1214,E1214))</f>
        <v/>
      </c>
    </row>
    <row r="1215" spans="2:13" x14ac:dyDescent="0.2">
      <c r="B1215" s="10"/>
      <c r="C1215" s="7"/>
      <c r="D1215" s="11"/>
      <c r="E1215" s="6"/>
      <c r="F1215" s="12" t="str">
        <f t="shared" si="36"/>
        <v/>
      </c>
      <c r="G1215" s="13" t="str">
        <f t="shared" si="37"/>
        <v/>
      </c>
      <c r="H1215" s="9"/>
      <c r="I1215" s="9"/>
      <c r="J1215" s="14" t="str">
        <f>IF(E1215="","",IFERROR(VLOOKUP(E1215,TabProd,5,FALSE),0)+SUMIFS($H$5:H1215,$E$5:E1215,E1215)-SUMIFS($I$5:I1215,$E$5:E1215,E1215))</f>
        <v/>
      </c>
      <c r="K1215" s="7"/>
      <c r="L1215" s="7"/>
      <c r="M1215" s="1" t="str">
        <f>IF(E1215="","",E1215&amp;"|"&amp;COUNTIF($E$5:E1215,E1215))</f>
        <v/>
      </c>
    </row>
    <row r="1216" spans="2:13" x14ac:dyDescent="0.2">
      <c r="B1216" s="10"/>
      <c r="C1216" s="7"/>
      <c r="D1216" s="11"/>
      <c r="E1216" s="6"/>
      <c r="F1216" s="12" t="str">
        <f t="shared" si="36"/>
        <v/>
      </c>
      <c r="G1216" s="13" t="str">
        <f t="shared" si="37"/>
        <v/>
      </c>
      <c r="H1216" s="9"/>
      <c r="I1216" s="9"/>
      <c r="J1216" s="14" t="str">
        <f>IF(E1216="","",IFERROR(VLOOKUP(E1216,TabProd,5,FALSE),0)+SUMIFS($H$5:H1216,$E$5:E1216,E1216)-SUMIFS($I$5:I1216,$E$5:E1216,E1216))</f>
        <v/>
      </c>
      <c r="K1216" s="7"/>
      <c r="L1216" s="7"/>
      <c r="M1216" s="1" t="str">
        <f>IF(E1216="","",E1216&amp;"|"&amp;COUNTIF($E$5:E1216,E1216))</f>
        <v/>
      </c>
    </row>
    <row r="1217" spans="2:13" x14ac:dyDescent="0.2">
      <c r="B1217" s="10"/>
      <c r="C1217" s="7"/>
      <c r="D1217" s="11"/>
      <c r="E1217" s="6"/>
      <c r="F1217" s="12" t="str">
        <f t="shared" si="36"/>
        <v/>
      </c>
      <c r="G1217" s="13" t="str">
        <f t="shared" si="37"/>
        <v/>
      </c>
      <c r="H1217" s="9"/>
      <c r="I1217" s="9"/>
      <c r="J1217" s="14" t="str">
        <f>IF(E1217="","",IFERROR(VLOOKUP(E1217,TabProd,5,FALSE),0)+SUMIFS($H$5:H1217,$E$5:E1217,E1217)-SUMIFS($I$5:I1217,$E$5:E1217,E1217))</f>
        <v/>
      </c>
      <c r="K1217" s="7"/>
      <c r="L1217" s="7"/>
      <c r="M1217" s="1" t="str">
        <f>IF(E1217="","",E1217&amp;"|"&amp;COUNTIF($E$5:E1217,E1217))</f>
        <v/>
      </c>
    </row>
    <row r="1218" spans="2:13" x14ac:dyDescent="0.2">
      <c r="B1218" s="10"/>
      <c r="C1218" s="7"/>
      <c r="D1218" s="11"/>
      <c r="E1218" s="6"/>
      <c r="F1218" s="12" t="str">
        <f t="shared" si="36"/>
        <v/>
      </c>
      <c r="G1218" s="13" t="str">
        <f t="shared" si="37"/>
        <v/>
      </c>
      <c r="H1218" s="9"/>
      <c r="I1218" s="9"/>
      <c r="J1218" s="14" t="str">
        <f>IF(E1218="","",IFERROR(VLOOKUP(E1218,TabProd,5,FALSE),0)+SUMIFS($H$5:H1218,$E$5:E1218,E1218)-SUMIFS($I$5:I1218,$E$5:E1218,E1218))</f>
        <v/>
      </c>
      <c r="K1218" s="7"/>
      <c r="L1218" s="7"/>
      <c r="M1218" s="1" t="str">
        <f>IF(E1218="","",E1218&amp;"|"&amp;COUNTIF($E$5:E1218,E1218))</f>
        <v/>
      </c>
    </row>
    <row r="1219" spans="2:13" x14ac:dyDescent="0.2">
      <c r="B1219" s="10"/>
      <c r="C1219" s="7"/>
      <c r="D1219" s="11"/>
      <c r="E1219" s="6"/>
      <c r="F1219" s="12" t="str">
        <f t="shared" si="36"/>
        <v/>
      </c>
      <c r="G1219" s="13" t="str">
        <f t="shared" si="37"/>
        <v/>
      </c>
      <c r="H1219" s="9"/>
      <c r="I1219" s="9"/>
      <c r="J1219" s="14" t="str">
        <f>IF(E1219="","",IFERROR(VLOOKUP(E1219,TabProd,5,FALSE),0)+SUMIFS($H$5:H1219,$E$5:E1219,E1219)-SUMIFS($I$5:I1219,$E$5:E1219,E1219))</f>
        <v/>
      </c>
      <c r="K1219" s="7"/>
      <c r="L1219" s="7"/>
      <c r="M1219" s="1" t="str">
        <f>IF(E1219="","",E1219&amp;"|"&amp;COUNTIF($E$5:E1219,E1219))</f>
        <v/>
      </c>
    </row>
    <row r="1220" spans="2:13" x14ac:dyDescent="0.2">
      <c r="B1220" s="10"/>
      <c r="C1220" s="7"/>
      <c r="D1220" s="11"/>
      <c r="E1220" s="6"/>
      <c r="F1220" s="12" t="str">
        <f t="shared" si="36"/>
        <v/>
      </c>
      <c r="G1220" s="13" t="str">
        <f t="shared" si="37"/>
        <v/>
      </c>
      <c r="H1220" s="9"/>
      <c r="I1220" s="9"/>
      <c r="J1220" s="14" t="str">
        <f>IF(E1220="","",IFERROR(VLOOKUP(E1220,TabProd,5,FALSE),0)+SUMIFS($H$5:H1220,$E$5:E1220,E1220)-SUMIFS($I$5:I1220,$E$5:E1220,E1220))</f>
        <v/>
      </c>
      <c r="K1220" s="7"/>
      <c r="L1220" s="7"/>
      <c r="M1220" s="1" t="str">
        <f>IF(E1220="","",E1220&amp;"|"&amp;COUNTIF($E$5:E1220,E1220))</f>
        <v/>
      </c>
    </row>
    <row r="1221" spans="2:13" x14ac:dyDescent="0.2">
      <c r="B1221" s="10"/>
      <c r="C1221" s="7"/>
      <c r="D1221" s="11"/>
      <c r="E1221" s="6"/>
      <c r="F1221" s="12" t="str">
        <f t="shared" ref="F1221:F1284" si="38">IF(E1221="","",IFERROR(VLOOKUP(E1221,TabProd,2,FALSE),"Cod inexistent"))</f>
        <v/>
      </c>
      <c r="G1221" s="13" t="str">
        <f t="shared" ref="G1221:G1284" si="39">IF(E1221="","",IFERROR(VLOOKUP(E1221,TabProd,3,FALSE),""))</f>
        <v/>
      </c>
      <c r="H1221" s="9"/>
      <c r="I1221" s="9"/>
      <c r="J1221" s="14" t="str">
        <f>IF(E1221="","",IFERROR(VLOOKUP(E1221,TabProd,5,FALSE),0)+SUMIFS($H$5:H1221,$E$5:E1221,E1221)-SUMIFS($I$5:I1221,$E$5:E1221,E1221))</f>
        <v/>
      </c>
      <c r="K1221" s="7"/>
      <c r="L1221" s="7"/>
      <c r="M1221" s="1" t="str">
        <f>IF(E1221="","",E1221&amp;"|"&amp;COUNTIF($E$5:E1221,E1221))</f>
        <v/>
      </c>
    </row>
    <row r="1222" spans="2:13" x14ac:dyDescent="0.2">
      <c r="B1222" s="10"/>
      <c r="C1222" s="7"/>
      <c r="D1222" s="11"/>
      <c r="E1222" s="6"/>
      <c r="F1222" s="12" t="str">
        <f t="shared" si="38"/>
        <v/>
      </c>
      <c r="G1222" s="13" t="str">
        <f t="shared" si="39"/>
        <v/>
      </c>
      <c r="H1222" s="9"/>
      <c r="I1222" s="9"/>
      <c r="J1222" s="14" t="str">
        <f>IF(E1222="","",IFERROR(VLOOKUP(E1222,TabProd,5,FALSE),0)+SUMIFS($H$5:H1222,$E$5:E1222,E1222)-SUMIFS($I$5:I1222,$E$5:E1222,E1222))</f>
        <v/>
      </c>
      <c r="K1222" s="7"/>
      <c r="L1222" s="7"/>
      <c r="M1222" s="1" t="str">
        <f>IF(E1222="","",E1222&amp;"|"&amp;COUNTIF($E$5:E1222,E1222))</f>
        <v/>
      </c>
    </row>
    <row r="1223" spans="2:13" x14ac:dyDescent="0.2">
      <c r="B1223" s="10"/>
      <c r="C1223" s="7"/>
      <c r="D1223" s="11"/>
      <c r="E1223" s="6"/>
      <c r="F1223" s="12" t="str">
        <f t="shared" si="38"/>
        <v/>
      </c>
      <c r="G1223" s="13" t="str">
        <f t="shared" si="39"/>
        <v/>
      </c>
      <c r="H1223" s="9"/>
      <c r="I1223" s="9"/>
      <c r="J1223" s="14" t="str">
        <f>IF(E1223="","",IFERROR(VLOOKUP(E1223,TabProd,5,FALSE),0)+SUMIFS($H$5:H1223,$E$5:E1223,E1223)-SUMIFS($I$5:I1223,$E$5:E1223,E1223))</f>
        <v/>
      </c>
      <c r="K1223" s="7"/>
      <c r="L1223" s="7"/>
      <c r="M1223" s="1" t="str">
        <f>IF(E1223="","",E1223&amp;"|"&amp;COUNTIF($E$5:E1223,E1223))</f>
        <v/>
      </c>
    </row>
    <row r="1224" spans="2:13" x14ac:dyDescent="0.2">
      <c r="B1224" s="10"/>
      <c r="C1224" s="7"/>
      <c r="D1224" s="11"/>
      <c r="E1224" s="6"/>
      <c r="F1224" s="12" t="str">
        <f t="shared" si="38"/>
        <v/>
      </c>
      <c r="G1224" s="13" t="str">
        <f t="shared" si="39"/>
        <v/>
      </c>
      <c r="H1224" s="9"/>
      <c r="I1224" s="9"/>
      <c r="J1224" s="14" t="str">
        <f>IF(E1224="","",IFERROR(VLOOKUP(E1224,TabProd,5,FALSE),0)+SUMIFS($H$5:H1224,$E$5:E1224,E1224)-SUMIFS($I$5:I1224,$E$5:E1224,E1224))</f>
        <v/>
      </c>
      <c r="K1224" s="7"/>
      <c r="L1224" s="7"/>
      <c r="M1224" s="1" t="str">
        <f>IF(E1224="","",E1224&amp;"|"&amp;COUNTIF($E$5:E1224,E1224))</f>
        <v/>
      </c>
    </row>
    <row r="1225" spans="2:13" x14ac:dyDescent="0.2">
      <c r="B1225" s="10"/>
      <c r="C1225" s="7"/>
      <c r="D1225" s="11"/>
      <c r="E1225" s="6"/>
      <c r="F1225" s="12" t="str">
        <f t="shared" si="38"/>
        <v/>
      </c>
      <c r="G1225" s="13" t="str">
        <f t="shared" si="39"/>
        <v/>
      </c>
      <c r="H1225" s="9"/>
      <c r="I1225" s="9"/>
      <c r="J1225" s="14" t="str">
        <f>IF(E1225="","",IFERROR(VLOOKUP(E1225,TabProd,5,FALSE),0)+SUMIFS($H$5:H1225,$E$5:E1225,E1225)-SUMIFS($I$5:I1225,$E$5:E1225,E1225))</f>
        <v/>
      </c>
      <c r="K1225" s="7"/>
      <c r="L1225" s="7"/>
      <c r="M1225" s="1" t="str">
        <f>IF(E1225="","",E1225&amp;"|"&amp;COUNTIF($E$5:E1225,E1225))</f>
        <v/>
      </c>
    </row>
    <row r="1226" spans="2:13" x14ac:dyDescent="0.2">
      <c r="B1226" s="10"/>
      <c r="C1226" s="7"/>
      <c r="D1226" s="11"/>
      <c r="E1226" s="6"/>
      <c r="F1226" s="12" t="str">
        <f t="shared" si="38"/>
        <v/>
      </c>
      <c r="G1226" s="13" t="str">
        <f t="shared" si="39"/>
        <v/>
      </c>
      <c r="H1226" s="9"/>
      <c r="I1226" s="9"/>
      <c r="J1226" s="14" t="str">
        <f>IF(E1226="","",IFERROR(VLOOKUP(E1226,TabProd,5,FALSE),0)+SUMIFS($H$5:H1226,$E$5:E1226,E1226)-SUMIFS($I$5:I1226,$E$5:E1226,E1226))</f>
        <v/>
      </c>
      <c r="K1226" s="7"/>
      <c r="L1226" s="7"/>
      <c r="M1226" s="1" t="str">
        <f>IF(E1226="","",E1226&amp;"|"&amp;COUNTIF($E$5:E1226,E1226))</f>
        <v/>
      </c>
    </row>
    <row r="1227" spans="2:13" x14ac:dyDescent="0.2">
      <c r="B1227" s="10"/>
      <c r="C1227" s="7"/>
      <c r="D1227" s="11"/>
      <c r="E1227" s="6"/>
      <c r="F1227" s="12" t="str">
        <f t="shared" si="38"/>
        <v/>
      </c>
      <c r="G1227" s="13" t="str">
        <f t="shared" si="39"/>
        <v/>
      </c>
      <c r="H1227" s="9"/>
      <c r="I1227" s="9"/>
      <c r="J1227" s="14" t="str">
        <f>IF(E1227="","",IFERROR(VLOOKUP(E1227,TabProd,5,FALSE),0)+SUMIFS($H$5:H1227,$E$5:E1227,E1227)-SUMIFS($I$5:I1227,$E$5:E1227,E1227))</f>
        <v/>
      </c>
      <c r="K1227" s="7"/>
      <c r="L1227" s="7"/>
      <c r="M1227" s="1" t="str">
        <f>IF(E1227="","",E1227&amp;"|"&amp;COUNTIF($E$5:E1227,E1227))</f>
        <v/>
      </c>
    </row>
    <row r="1228" spans="2:13" x14ac:dyDescent="0.2">
      <c r="B1228" s="10"/>
      <c r="C1228" s="7"/>
      <c r="D1228" s="11"/>
      <c r="E1228" s="6"/>
      <c r="F1228" s="12" t="str">
        <f t="shared" si="38"/>
        <v/>
      </c>
      <c r="G1228" s="13" t="str">
        <f t="shared" si="39"/>
        <v/>
      </c>
      <c r="H1228" s="9"/>
      <c r="I1228" s="9"/>
      <c r="J1228" s="14" t="str">
        <f>IF(E1228="","",IFERROR(VLOOKUP(E1228,TabProd,5,FALSE),0)+SUMIFS($H$5:H1228,$E$5:E1228,E1228)-SUMIFS($I$5:I1228,$E$5:E1228,E1228))</f>
        <v/>
      </c>
      <c r="K1228" s="7"/>
      <c r="L1228" s="7"/>
      <c r="M1228" s="1" t="str">
        <f>IF(E1228="","",E1228&amp;"|"&amp;COUNTIF($E$5:E1228,E1228))</f>
        <v/>
      </c>
    </row>
    <row r="1229" spans="2:13" x14ac:dyDescent="0.2">
      <c r="B1229" s="10"/>
      <c r="C1229" s="7"/>
      <c r="D1229" s="11"/>
      <c r="E1229" s="6"/>
      <c r="F1229" s="12" t="str">
        <f t="shared" si="38"/>
        <v/>
      </c>
      <c r="G1229" s="13" t="str">
        <f t="shared" si="39"/>
        <v/>
      </c>
      <c r="H1229" s="9"/>
      <c r="I1229" s="9"/>
      <c r="J1229" s="14" t="str">
        <f>IF(E1229="","",IFERROR(VLOOKUP(E1229,TabProd,5,FALSE),0)+SUMIFS($H$5:H1229,$E$5:E1229,E1229)-SUMIFS($I$5:I1229,$E$5:E1229,E1229))</f>
        <v/>
      </c>
      <c r="K1229" s="7"/>
      <c r="L1229" s="7"/>
      <c r="M1229" s="1" t="str">
        <f>IF(E1229="","",E1229&amp;"|"&amp;COUNTIF($E$5:E1229,E1229))</f>
        <v/>
      </c>
    </row>
    <row r="1230" spans="2:13" x14ac:dyDescent="0.2">
      <c r="B1230" s="10"/>
      <c r="C1230" s="7"/>
      <c r="D1230" s="11"/>
      <c r="E1230" s="6"/>
      <c r="F1230" s="12" t="str">
        <f t="shared" si="38"/>
        <v/>
      </c>
      <c r="G1230" s="13" t="str">
        <f t="shared" si="39"/>
        <v/>
      </c>
      <c r="H1230" s="9"/>
      <c r="I1230" s="9"/>
      <c r="J1230" s="14" t="str">
        <f>IF(E1230="","",IFERROR(VLOOKUP(E1230,TabProd,5,FALSE),0)+SUMIFS($H$5:H1230,$E$5:E1230,E1230)-SUMIFS($I$5:I1230,$E$5:E1230,E1230))</f>
        <v/>
      </c>
      <c r="K1230" s="7"/>
      <c r="L1230" s="7"/>
      <c r="M1230" s="1" t="str">
        <f>IF(E1230="","",E1230&amp;"|"&amp;COUNTIF($E$5:E1230,E1230))</f>
        <v/>
      </c>
    </row>
    <row r="1231" spans="2:13" x14ac:dyDescent="0.2">
      <c r="B1231" s="10"/>
      <c r="C1231" s="7"/>
      <c r="D1231" s="11"/>
      <c r="E1231" s="6"/>
      <c r="F1231" s="12" t="str">
        <f t="shared" si="38"/>
        <v/>
      </c>
      <c r="G1231" s="13" t="str">
        <f t="shared" si="39"/>
        <v/>
      </c>
      <c r="H1231" s="9"/>
      <c r="I1231" s="9"/>
      <c r="J1231" s="14" t="str">
        <f>IF(E1231="","",IFERROR(VLOOKUP(E1231,TabProd,5,FALSE),0)+SUMIFS($H$5:H1231,$E$5:E1231,E1231)-SUMIFS($I$5:I1231,$E$5:E1231,E1231))</f>
        <v/>
      </c>
      <c r="K1231" s="7"/>
      <c r="L1231" s="7"/>
      <c r="M1231" s="1" t="str">
        <f>IF(E1231="","",E1231&amp;"|"&amp;COUNTIF($E$5:E1231,E1231))</f>
        <v/>
      </c>
    </row>
    <row r="1232" spans="2:13" x14ac:dyDescent="0.2">
      <c r="B1232" s="10"/>
      <c r="C1232" s="7"/>
      <c r="D1232" s="11"/>
      <c r="E1232" s="6"/>
      <c r="F1232" s="12" t="str">
        <f t="shared" si="38"/>
        <v/>
      </c>
      <c r="G1232" s="13" t="str">
        <f t="shared" si="39"/>
        <v/>
      </c>
      <c r="H1232" s="9"/>
      <c r="I1232" s="9"/>
      <c r="J1232" s="14" t="str">
        <f>IF(E1232="","",IFERROR(VLOOKUP(E1232,TabProd,5,FALSE),0)+SUMIFS($H$5:H1232,$E$5:E1232,E1232)-SUMIFS($I$5:I1232,$E$5:E1232,E1232))</f>
        <v/>
      </c>
      <c r="K1232" s="7"/>
      <c r="L1232" s="7"/>
      <c r="M1232" s="1" t="str">
        <f>IF(E1232="","",E1232&amp;"|"&amp;COUNTIF($E$5:E1232,E1232))</f>
        <v/>
      </c>
    </row>
    <row r="1233" spans="2:13" x14ac:dyDescent="0.2">
      <c r="B1233" s="10"/>
      <c r="C1233" s="7"/>
      <c r="D1233" s="11"/>
      <c r="E1233" s="6"/>
      <c r="F1233" s="12" t="str">
        <f t="shared" si="38"/>
        <v/>
      </c>
      <c r="G1233" s="13" t="str">
        <f t="shared" si="39"/>
        <v/>
      </c>
      <c r="H1233" s="9"/>
      <c r="I1233" s="9"/>
      <c r="J1233" s="14" t="str">
        <f>IF(E1233="","",IFERROR(VLOOKUP(E1233,TabProd,5,FALSE),0)+SUMIFS($H$5:H1233,$E$5:E1233,E1233)-SUMIFS($I$5:I1233,$E$5:E1233,E1233))</f>
        <v/>
      </c>
      <c r="K1233" s="7"/>
      <c r="L1233" s="7"/>
      <c r="M1233" s="1" t="str">
        <f>IF(E1233="","",E1233&amp;"|"&amp;COUNTIF($E$5:E1233,E1233))</f>
        <v/>
      </c>
    </row>
    <row r="1234" spans="2:13" x14ac:dyDescent="0.2">
      <c r="B1234" s="10"/>
      <c r="C1234" s="7"/>
      <c r="D1234" s="11"/>
      <c r="E1234" s="6"/>
      <c r="F1234" s="12" t="str">
        <f t="shared" si="38"/>
        <v/>
      </c>
      <c r="G1234" s="13" t="str">
        <f t="shared" si="39"/>
        <v/>
      </c>
      <c r="H1234" s="9"/>
      <c r="I1234" s="9"/>
      <c r="J1234" s="14" t="str">
        <f>IF(E1234="","",IFERROR(VLOOKUP(E1234,TabProd,5,FALSE),0)+SUMIFS($H$5:H1234,$E$5:E1234,E1234)-SUMIFS($I$5:I1234,$E$5:E1234,E1234))</f>
        <v/>
      </c>
      <c r="K1234" s="7"/>
      <c r="L1234" s="7"/>
      <c r="M1234" s="1" t="str">
        <f>IF(E1234="","",E1234&amp;"|"&amp;COUNTIF($E$5:E1234,E1234))</f>
        <v/>
      </c>
    </row>
    <row r="1235" spans="2:13" x14ac:dyDescent="0.2">
      <c r="B1235" s="10"/>
      <c r="C1235" s="7"/>
      <c r="D1235" s="11"/>
      <c r="E1235" s="6"/>
      <c r="F1235" s="12" t="str">
        <f t="shared" si="38"/>
        <v/>
      </c>
      <c r="G1235" s="13" t="str">
        <f t="shared" si="39"/>
        <v/>
      </c>
      <c r="H1235" s="9"/>
      <c r="I1235" s="9"/>
      <c r="J1235" s="14" t="str">
        <f>IF(E1235="","",IFERROR(VLOOKUP(E1235,TabProd,5,FALSE),0)+SUMIFS($H$5:H1235,$E$5:E1235,E1235)-SUMIFS($I$5:I1235,$E$5:E1235,E1235))</f>
        <v/>
      </c>
      <c r="K1235" s="7"/>
      <c r="L1235" s="7"/>
      <c r="M1235" s="1" t="str">
        <f>IF(E1235="","",E1235&amp;"|"&amp;COUNTIF($E$5:E1235,E1235))</f>
        <v/>
      </c>
    </row>
    <row r="1236" spans="2:13" x14ac:dyDescent="0.2">
      <c r="B1236" s="10"/>
      <c r="C1236" s="7"/>
      <c r="D1236" s="11"/>
      <c r="E1236" s="6"/>
      <c r="F1236" s="12" t="str">
        <f t="shared" si="38"/>
        <v/>
      </c>
      <c r="G1236" s="13" t="str">
        <f t="shared" si="39"/>
        <v/>
      </c>
      <c r="H1236" s="9"/>
      <c r="I1236" s="9"/>
      <c r="J1236" s="14" t="str">
        <f>IF(E1236="","",IFERROR(VLOOKUP(E1236,TabProd,5,FALSE),0)+SUMIFS($H$5:H1236,$E$5:E1236,E1236)-SUMIFS($I$5:I1236,$E$5:E1236,E1236))</f>
        <v/>
      </c>
      <c r="K1236" s="7"/>
      <c r="L1236" s="7"/>
      <c r="M1236" s="1" t="str">
        <f>IF(E1236="","",E1236&amp;"|"&amp;COUNTIF($E$5:E1236,E1236))</f>
        <v/>
      </c>
    </row>
    <row r="1237" spans="2:13" x14ac:dyDescent="0.2">
      <c r="B1237" s="10"/>
      <c r="C1237" s="7"/>
      <c r="D1237" s="11"/>
      <c r="E1237" s="6"/>
      <c r="F1237" s="12" t="str">
        <f t="shared" si="38"/>
        <v/>
      </c>
      <c r="G1237" s="13" t="str">
        <f t="shared" si="39"/>
        <v/>
      </c>
      <c r="H1237" s="9"/>
      <c r="I1237" s="9"/>
      <c r="J1237" s="14" t="str">
        <f>IF(E1237="","",IFERROR(VLOOKUP(E1237,TabProd,5,FALSE),0)+SUMIFS($H$5:H1237,$E$5:E1237,E1237)-SUMIFS($I$5:I1237,$E$5:E1237,E1237))</f>
        <v/>
      </c>
      <c r="K1237" s="7"/>
      <c r="L1237" s="7"/>
      <c r="M1237" s="1" t="str">
        <f>IF(E1237="","",E1237&amp;"|"&amp;COUNTIF($E$5:E1237,E1237))</f>
        <v/>
      </c>
    </row>
    <row r="1238" spans="2:13" x14ac:dyDescent="0.2">
      <c r="B1238" s="10"/>
      <c r="C1238" s="7"/>
      <c r="D1238" s="11"/>
      <c r="E1238" s="6"/>
      <c r="F1238" s="12" t="str">
        <f t="shared" si="38"/>
        <v/>
      </c>
      <c r="G1238" s="13" t="str">
        <f t="shared" si="39"/>
        <v/>
      </c>
      <c r="H1238" s="9"/>
      <c r="I1238" s="9"/>
      <c r="J1238" s="14" t="str">
        <f>IF(E1238="","",IFERROR(VLOOKUP(E1238,TabProd,5,FALSE),0)+SUMIFS($H$5:H1238,$E$5:E1238,E1238)-SUMIFS($I$5:I1238,$E$5:E1238,E1238))</f>
        <v/>
      </c>
      <c r="K1238" s="7"/>
      <c r="L1238" s="7"/>
      <c r="M1238" s="1" t="str">
        <f>IF(E1238="","",E1238&amp;"|"&amp;COUNTIF($E$5:E1238,E1238))</f>
        <v/>
      </c>
    </row>
    <row r="1239" spans="2:13" x14ac:dyDescent="0.2">
      <c r="B1239" s="10"/>
      <c r="C1239" s="7"/>
      <c r="D1239" s="11"/>
      <c r="E1239" s="6"/>
      <c r="F1239" s="12" t="str">
        <f t="shared" si="38"/>
        <v/>
      </c>
      <c r="G1239" s="13" t="str">
        <f t="shared" si="39"/>
        <v/>
      </c>
      <c r="H1239" s="9"/>
      <c r="I1239" s="9"/>
      <c r="J1239" s="14" t="str">
        <f>IF(E1239="","",IFERROR(VLOOKUP(E1239,TabProd,5,FALSE),0)+SUMIFS($H$5:H1239,$E$5:E1239,E1239)-SUMIFS($I$5:I1239,$E$5:E1239,E1239))</f>
        <v/>
      </c>
      <c r="K1239" s="7"/>
      <c r="L1239" s="7"/>
      <c r="M1239" s="1" t="str">
        <f>IF(E1239="","",E1239&amp;"|"&amp;COUNTIF($E$5:E1239,E1239))</f>
        <v/>
      </c>
    </row>
    <row r="1240" spans="2:13" x14ac:dyDescent="0.2">
      <c r="B1240" s="10"/>
      <c r="C1240" s="7"/>
      <c r="D1240" s="11"/>
      <c r="E1240" s="6"/>
      <c r="F1240" s="12" t="str">
        <f t="shared" si="38"/>
        <v/>
      </c>
      <c r="G1240" s="13" t="str">
        <f t="shared" si="39"/>
        <v/>
      </c>
      <c r="H1240" s="9"/>
      <c r="I1240" s="9"/>
      <c r="J1240" s="14" t="str">
        <f>IF(E1240="","",IFERROR(VLOOKUP(E1240,TabProd,5,FALSE),0)+SUMIFS($H$5:H1240,$E$5:E1240,E1240)-SUMIFS($I$5:I1240,$E$5:E1240,E1240))</f>
        <v/>
      </c>
      <c r="K1240" s="7"/>
      <c r="L1240" s="7"/>
      <c r="M1240" s="1" t="str">
        <f>IF(E1240="","",E1240&amp;"|"&amp;COUNTIF($E$5:E1240,E1240))</f>
        <v/>
      </c>
    </row>
    <row r="1241" spans="2:13" x14ac:dyDescent="0.2">
      <c r="B1241" s="10"/>
      <c r="C1241" s="7"/>
      <c r="D1241" s="11"/>
      <c r="E1241" s="6"/>
      <c r="F1241" s="12" t="str">
        <f t="shared" si="38"/>
        <v/>
      </c>
      <c r="G1241" s="13" t="str">
        <f t="shared" si="39"/>
        <v/>
      </c>
      <c r="H1241" s="9"/>
      <c r="I1241" s="9"/>
      <c r="J1241" s="14" t="str">
        <f>IF(E1241="","",IFERROR(VLOOKUP(E1241,TabProd,5,FALSE),0)+SUMIFS($H$5:H1241,$E$5:E1241,E1241)-SUMIFS($I$5:I1241,$E$5:E1241,E1241))</f>
        <v/>
      </c>
      <c r="K1241" s="7"/>
      <c r="L1241" s="7"/>
      <c r="M1241" s="1" t="str">
        <f>IF(E1241="","",E1241&amp;"|"&amp;COUNTIF($E$5:E1241,E1241))</f>
        <v/>
      </c>
    </row>
    <row r="1242" spans="2:13" x14ac:dyDescent="0.2">
      <c r="B1242" s="10"/>
      <c r="C1242" s="7"/>
      <c r="D1242" s="11"/>
      <c r="E1242" s="6"/>
      <c r="F1242" s="12" t="str">
        <f t="shared" si="38"/>
        <v/>
      </c>
      <c r="G1242" s="13" t="str">
        <f t="shared" si="39"/>
        <v/>
      </c>
      <c r="H1242" s="9"/>
      <c r="I1242" s="9"/>
      <c r="J1242" s="14" t="str">
        <f>IF(E1242="","",IFERROR(VLOOKUP(E1242,TabProd,5,FALSE),0)+SUMIFS($H$5:H1242,$E$5:E1242,E1242)-SUMIFS($I$5:I1242,$E$5:E1242,E1242))</f>
        <v/>
      </c>
      <c r="K1242" s="7"/>
      <c r="L1242" s="7"/>
      <c r="M1242" s="1" t="str">
        <f>IF(E1242="","",E1242&amp;"|"&amp;COUNTIF($E$5:E1242,E1242))</f>
        <v/>
      </c>
    </row>
    <row r="1243" spans="2:13" x14ac:dyDescent="0.2">
      <c r="B1243" s="10"/>
      <c r="C1243" s="7"/>
      <c r="D1243" s="11"/>
      <c r="E1243" s="6"/>
      <c r="F1243" s="12" t="str">
        <f t="shared" si="38"/>
        <v/>
      </c>
      <c r="G1243" s="13" t="str">
        <f t="shared" si="39"/>
        <v/>
      </c>
      <c r="H1243" s="9"/>
      <c r="I1243" s="9"/>
      <c r="J1243" s="14" t="str">
        <f>IF(E1243="","",IFERROR(VLOOKUP(E1243,TabProd,5,FALSE),0)+SUMIFS($H$5:H1243,$E$5:E1243,E1243)-SUMIFS($I$5:I1243,$E$5:E1243,E1243))</f>
        <v/>
      </c>
      <c r="K1243" s="7"/>
      <c r="L1243" s="7"/>
      <c r="M1243" s="1" t="str">
        <f>IF(E1243="","",E1243&amp;"|"&amp;COUNTIF($E$5:E1243,E1243))</f>
        <v/>
      </c>
    </row>
    <row r="1244" spans="2:13" x14ac:dyDescent="0.2">
      <c r="B1244" s="10"/>
      <c r="C1244" s="7"/>
      <c r="D1244" s="11"/>
      <c r="E1244" s="6"/>
      <c r="F1244" s="12" t="str">
        <f t="shared" si="38"/>
        <v/>
      </c>
      <c r="G1244" s="13" t="str">
        <f t="shared" si="39"/>
        <v/>
      </c>
      <c r="H1244" s="9"/>
      <c r="I1244" s="9"/>
      <c r="J1244" s="14" t="str">
        <f>IF(E1244="","",IFERROR(VLOOKUP(E1244,TabProd,5,FALSE),0)+SUMIFS($H$5:H1244,$E$5:E1244,E1244)-SUMIFS($I$5:I1244,$E$5:E1244,E1244))</f>
        <v/>
      </c>
      <c r="K1244" s="7"/>
      <c r="L1244" s="7"/>
      <c r="M1244" s="1" t="str">
        <f>IF(E1244="","",E1244&amp;"|"&amp;COUNTIF($E$5:E1244,E1244))</f>
        <v/>
      </c>
    </row>
    <row r="1245" spans="2:13" x14ac:dyDescent="0.2">
      <c r="B1245" s="10"/>
      <c r="C1245" s="7"/>
      <c r="D1245" s="11"/>
      <c r="E1245" s="6"/>
      <c r="F1245" s="12" t="str">
        <f t="shared" si="38"/>
        <v/>
      </c>
      <c r="G1245" s="13" t="str">
        <f t="shared" si="39"/>
        <v/>
      </c>
      <c r="H1245" s="9"/>
      <c r="I1245" s="9"/>
      <c r="J1245" s="14" t="str">
        <f>IF(E1245="","",IFERROR(VLOOKUP(E1245,TabProd,5,FALSE),0)+SUMIFS($H$5:H1245,$E$5:E1245,E1245)-SUMIFS($I$5:I1245,$E$5:E1245,E1245))</f>
        <v/>
      </c>
      <c r="K1245" s="7"/>
      <c r="L1245" s="7"/>
      <c r="M1245" s="1" t="str">
        <f>IF(E1245="","",E1245&amp;"|"&amp;COUNTIF($E$5:E1245,E1245))</f>
        <v/>
      </c>
    </row>
    <row r="1246" spans="2:13" x14ac:dyDescent="0.2">
      <c r="B1246" s="10"/>
      <c r="C1246" s="7"/>
      <c r="D1246" s="11"/>
      <c r="E1246" s="6"/>
      <c r="F1246" s="12" t="str">
        <f t="shared" si="38"/>
        <v/>
      </c>
      <c r="G1246" s="13" t="str">
        <f t="shared" si="39"/>
        <v/>
      </c>
      <c r="H1246" s="9"/>
      <c r="I1246" s="9"/>
      <c r="J1246" s="14" t="str">
        <f>IF(E1246="","",IFERROR(VLOOKUP(E1246,TabProd,5,FALSE),0)+SUMIFS($H$5:H1246,$E$5:E1246,E1246)-SUMIFS($I$5:I1246,$E$5:E1246,E1246))</f>
        <v/>
      </c>
      <c r="K1246" s="7"/>
      <c r="L1246" s="7"/>
      <c r="M1246" s="1" t="str">
        <f>IF(E1246="","",E1246&amp;"|"&amp;COUNTIF($E$5:E1246,E1246))</f>
        <v/>
      </c>
    </row>
    <row r="1247" spans="2:13" x14ac:dyDescent="0.2">
      <c r="B1247" s="10"/>
      <c r="C1247" s="7"/>
      <c r="D1247" s="11"/>
      <c r="E1247" s="6"/>
      <c r="F1247" s="12" t="str">
        <f t="shared" si="38"/>
        <v/>
      </c>
      <c r="G1247" s="13" t="str">
        <f t="shared" si="39"/>
        <v/>
      </c>
      <c r="H1247" s="9"/>
      <c r="I1247" s="9"/>
      <c r="J1247" s="14" t="str">
        <f>IF(E1247="","",IFERROR(VLOOKUP(E1247,TabProd,5,FALSE),0)+SUMIFS($H$5:H1247,$E$5:E1247,E1247)-SUMIFS($I$5:I1247,$E$5:E1247,E1247))</f>
        <v/>
      </c>
      <c r="K1247" s="7"/>
      <c r="L1247" s="7"/>
      <c r="M1247" s="1" t="str">
        <f>IF(E1247="","",E1247&amp;"|"&amp;COUNTIF($E$5:E1247,E1247))</f>
        <v/>
      </c>
    </row>
    <row r="1248" spans="2:13" x14ac:dyDescent="0.2">
      <c r="B1248" s="10"/>
      <c r="C1248" s="7"/>
      <c r="D1248" s="11"/>
      <c r="E1248" s="6"/>
      <c r="F1248" s="12" t="str">
        <f t="shared" si="38"/>
        <v/>
      </c>
      <c r="G1248" s="13" t="str">
        <f t="shared" si="39"/>
        <v/>
      </c>
      <c r="H1248" s="9"/>
      <c r="I1248" s="9"/>
      <c r="J1248" s="14" t="str">
        <f>IF(E1248="","",IFERROR(VLOOKUP(E1248,TabProd,5,FALSE),0)+SUMIFS($H$5:H1248,$E$5:E1248,E1248)-SUMIFS($I$5:I1248,$E$5:E1248,E1248))</f>
        <v/>
      </c>
      <c r="K1248" s="7"/>
      <c r="L1248" s="7"/>
      <c r="M1248" s="1" t="str">
        <f>IF(E1248="","",E1248&amp;"|"&amp;COUNTIF($E$5:E1248,E1248))</f>
        <v/>
      </c>
    </row>
    <row r="1249" spans="2:13" x14ac:dyDescent="0.2">
      <c r="B1249" s="10"/>
      <c r="C1249" s="7"/>
      <c r="D1249" s="11"/>
      <c r="E1249" s="6"/>
      <c r="F1249" s="12" t="str">
        <f t="shared" si="38"/>
        <v/>
      </c>
      <c r="G1249" s="13" t="str">
        <f t="shared" si="39"/>
        <v/>
      </c>
      <c r="H1249" s="9"/>
      <c r="I1249" s="9"/>
      <c r="J1249" s="14" t="str">
        <f>IF(E1249="","",IFERROR(VLOOKUP(E1249,TabProd,5,FALSE),0)+SUMIFS($H$5:H1249,$E$5:E1249,E1249)-SUMIFS($I$5:I1249,$E$5:E1249,E1249))</f>
        <v/>
      </c>
      <c r="K1249" s="7"/>
      <c r="L1249" s="7"/>
      <c r="M1249" s="1" t="str">
        <f>IF(E1249="","",E1249&amp;"|"&amp;COUNTIF($E$5:E1249,E1249))</f>
        <v/>
      </c>
    </row>
    <row r="1250" spans="2:13" x14ac:dyDescent="0.2">
      <c r="B1250" s="10"/>
      <c r="C1250" s="7"/>
      <c r="D1250" s="11"/>
      <c r="E1250" s="6"/>
      <c r="F1250" s="12" t="str">
        <f t="shared" si="38"/>
        <v/>
      </c>
      <c r="G1250" s="13" t="str">
        <f t="shared" si="39"/>
        <v/>
      </c>
      <c r="H1250" s="9"/>
      <c r="I1250" s="9"/>
      <c r="J1250" s="14" t="str">
        <f>IF(E1250="","",IFERROR(VLOOKUP(E1250,TabProd,5,FALSE),0)+SUMIFS($H$5:H1250,$E$5:E1250,E1250)-SUMIFS($I$5:I1250,$E$5:E1250,E1250))</f>
        <v/>
      </c>
      <c r="K1250" s="7"/>
      <c r="L1250" s="7"/>
      <c r="M1250" s="1" t="str">
        <f>IF(E1250="","",E1250&amp;"|"&amp;COUNTIF($E$5:E1250,E1250))</f>
        <v/>
      </c>
    </row>
    <row r="1251" spans="2:13" x14ac:dyDescent="0.2">
      <c r="B1251" s="10"/>
      <c r="C1251" s="7"/>
      <c r="D1251" s="11"/>
      <c r="E1251" s="6"/>
      <c r="F1251" s="12" t="str">
        <f t="shared" si="38"/>
        <v/>
      </c>
      <c r="G1251" s="13" t="str">
        <f t="shared" si="39"/>
        <v/>
      </c>
      <c r="H1251" s="9"/>
      <c r="I1251" s="9"/>
      <c r="J1251" s="14" t="str">
        <f>IF(E1251="","",IFERROR(VLOOKUP(E1251,TabProd,5,FALSE),0)+SUMIFS($H$5:H1251,$E$5:E1251,E1251)-SUMIFS($I$5:I1251,$E$5:E1251,E1251))</f>
        <v/>
      </c>
      <c r="K1251" s="7"/>
      <c r="L1251" s="7"/>
      <c r="M1251" s="1" t="str">
        <f>IF(E1251="","",E1251&amp;"|"&amp;COUNTIF($E$5:E1251,E1251))</f>
        <v/>
      </c>
    </row>
    <row r="1252" spans="2:13" x14ac:dyDescent="0.2">
      <c r="B1252" s="10"/>
      <c r="C1252" s="7"/>
      <c r="D1252" s="11"/>
      <c r="E1252" s="6"/>
      <c r="F1252" s="12" t="str">
        <f t="shared" si="38"/>
        <v/>
      </c>
      <c r="G1252" s="13" t="str">
        <f t="shared" si="39"/>
        <v/>
      </c>
      <c r="H1252" s="9"/>
      <c r="I1252" s="9"/>
      <c r="J1252" s="14" t="str">
        <f>IF(E1252="","",IFERROR(VLOOKUP(E1252,TabProd,5,FALSE),0)+SUMIFS($H$5:H1252,$E$5:E1252,E1252)-SUMIFS($I$5:I1252,$E$5:E1252,E1252))</f>
        <v/>
      </c>
      <c r="K1252" s="7"/>
      <c r="L1252" s="7"/>
      <c r="M1252" s="1" t="str">
        <f>IF(E1252="","",E1252&amp;"|"&amp;COUNTIF($E$5:E1252,E1252))</f>
        <v/>
      </c>
    </row>
    <row r="1253" spans="2:13" x14ac:dyDescent="0.2">
      <c r="B1253" s="10"/>
      <c r="C1253" s="7"/>
      <c r="D1253" s="11"/>
      <c r="E1253" s="6"/>
      <c r="F1253" s="12" t="str">
        <f t="shared" si="38"/>
        <v/>
      </c>
      <c r="G1253" s="13" t="str">
        <f t="shared" si="39"/>
        <v/>
      </c>
      <c r="H1253" s="9"/>
      <c r="I1253" s="9"/>
      <c r="J1253" s="14" t="str">
        <f>IF(E1253="","",IFERROR(VLOOKUP(E1253,TabProd,5,FALSE),0)+SUMIFS($H$5:H1253,$E$5:E1253,E1253)-SUMIFS($I$5:I1253,$E$5:E1253,E1253))</f>
        <v/>
      </c>
      <c r="K1253" s="7"/>
      <c r="L1253" s="7"/>
      <c r="M1253" s="1" t="str">
        <f>IF(E1253="","",E1253&amp;"|"&amp;COUNTIF($E$5:E1253,E1253))</f>
        <v/>
      </c>
    </row>
    <row r="1254" spans="2:13" x14ac:dyDescent="0.2">
      <c r="B1254" s="10"/>
      <c r="C1254" s="7"/>
      <c r="D1254" s="11"/>
      <c r="E1254" s="6"/>
      <c r="F1254" s="12" t="str">
        <f t="shared" si="38"/>
        <v/>
      </c>
      <c r="G1254" s="13" t="str">
        <f t="shared" si="39"/>
        <v/>
      </c>
      <c r="H1254" s="9"/>
      <c r="I1254" s="9"/>
      <c r="J1254" s="14" t="str">
        <f>IF(E1254="","",IFERROR(VLOOKUP(E1254,TabProd,5,FALSE),0)+SUMIFS($H$5:H1254,$E$5:E1254,E1254)-SUMIFS($I$5:I1254,$E$5:E1254,E1254))</f>
        <v/>
      </c>
      <c r="K1254" s="7"/>
      <c r="L1254" s="7"/>
      <c r="M1254" s="1" t="str">
        <f>IF(E1254="","",E1254&amp;"|"&amp;COUNTIF($E$5:E1254,E1254))</f>
        <v/>
      </c>
    </row>
    <row r="1255" spans="2:13" x14ac:dyDescent="0.2">
      <c r="B1255" s="10"/>
      <c r="C1255" s="7"/>
      <c r="D1255" s="11"/>
      <c r="E1255" s="6"/>
      <c r="F1255" s="12" t="str">
        <f t="shared" si="38"/>
        <v/>
      </c>
      <c r="G1255" s="13" t="str">
        <f t="shared" si="39"/>
        <v/>
      </c>
      <c r="H1255" s="9"/>
      <c r="I1255" s="9"/>
      <c r="J1255" s="14" t="str">
        <f>IF(E1255="","",IFERROR(VLOOKUP(E1255,TabProd,5,FALSE),0)+SUMIFS($H$5:H1255,$E$5:E1255,E1255)-SUMIFS($I$5:I1255,$E$5:E1255,E1255))</f>
        <v/>
      </c>
      <c r="K1255" s="7"/>
      <c r="L1255" s="7"/>
      <c r="M1255" s="1" t="str">
        <f>IF(E1255="","",E1255&amp;"|"&amp;COUNTIF($E$5:E1255,E1255))</f>
        <v/>
      </c>
    </row>
    <row r="1256" spans="2:13" x14ac:dyDescent="0.2">
      <c r="B1256" s="10"/>
      <c r="C1256" s="7"/>
      <c r="D1256" s="11"/>
      <c r="E1256" s="6"/>
      <c r="F1256" s="12" t="str">
        <f t="shared" si="38"/>
        <v/>
      </c>
      <c r="G1256" s="13" t="str">
        <f t="shared" si="39"/>
        <v/>
      </c>
      <c r="H1256" s="9"/>
      <c r="I1256" s="9"/>
      <c r="J1256" s="14" t="str">
        <f>IF(E1256="","",IFERROR(VLOOKUP(E1256,TabProd,5,FALSE),0)+SUMIFS($H$5:H1256,$E$5:E1256,E1256)-SUMIFS($I$5:I1256,$E$5:E1256,E1256))</f>
        <v/>
      </c>
      <c r="K1256" s="7"/>
      <c r="L1256" s="7"/>
      <c r="M1256" s="1" t="str">
        <f>IF(E1256="","",E1256&amp;"|"&amp;COUNTIF($E$5:E1256,E1256))</f>
        <v/>
      </c>
    </row>
    <row r="1257" spans="2:13" x14ac:dyDescent="0.2">
      <c r="B1257" s="10"/>
      <c r="C1257" s="7"/>
      <c r="D1257" s="11"/>
      <c r="E1257" s="6"/>
      <c r="F1257" s="12" t="str">
        <f t="shared" si="38"/>
        <v/>
      </c>
      <c r="G1257" s="13" t="str">
        <f t="shared" si="39"/>
        <v/>
      </c>
      <c r="H1257" s="9"/>
      <c r="I1257" s="9"/>
      <c r="J1257" s="14" t="str">
        <f>IF(E1257="","",IFERROR(VLOOKUP(E1257,TabProd,5,FALSE),0)+SUMIFS($H$5:H1257,$E$5:E1257,E1257)-SUMIFS($I$5:I1257,$E$5:E1257,E1257))</f>
        <v/>
      </c>
      <c r="K1257" s="7"/>
      <c r="L1257" s="7"/>
      <c r="M1257" s="1" t="str">
        <f>IF(E1257="","",E1257&amp;"|"&amp;COUNTIF($E$5:E1257,E1257))</f>
        <v/>
      </c>
    </row>
    <row r="1258" spans="2:13" x14ac:dyDescent="0.2">
      <c r="B1258" s="10"/>
      <c r="C1258" s="7"/>
      <c r="D1258" s="11"/>
      <c r="E1258" s="6"/>
      <c r="F1258" s="12" t="str">
        <f t="shared" si="38"/>
        <v/>
      </c>
      <c r="G1258" s="13" t="str">
        <f t="shared" si="39"/>
        <v/>
      </c>
      <c r="H1258" s="9"/>
      <c r="I1258" s="9"/>
      <c r="J1258" s="14" t="str">
        <f>IF(E1258="","",IFERROR(VLOOKUP(E1258,TabProd,5,FALSE),0)+SUMIFS($H$5:H1258,$E$5:E1258,E1258)-SUMIFS($I$5:I1258,$E$5:E1258,E1258))</f>
        <v/>
      </c>
      <c r="K1258" s="7"/>
      <c r="L1258" s="7"/>
      <c r="M1258" s="1" t="str">
        <f>IF(E1258="","",E1258&amp;"|"&amp;COUNTIF($E$5:E1258,E1258))</f>
        <v/>
      </c>
    </row>
    <row r="1259" spans="2:13" x14ac:dyDescent="0.2">
      <c r="B1259" s="10"/>
      <c r="C1259" s="7"/>
      <c r="D1259" s="11"/>
      <c r="E1259" s="6"/>
      <c r="F1259" s="12" t="str">
        <f t="shared" si="38"/>
        <v/>
      </c>
      <c r="G1259" s="13" t="str">
        <f t="shared" si="39"/>
        <v/>
      </c>
      <c r="H1259" s="9"/>
      <c r="I1259" s="9"/>
      <c r="J1259" s="14" t="str">
        <f>IF(E1259="","",IFERROR(VLOOKUP(E1259,TabProd,5,FALSE),0)+SUMIFS($H$5:H1259,$E$5:E1259,E1259)-SUMIFS($I$5:I1259,$E$5:E1259,E1259))</f>
        <v/>
      </c>
      <c r="K1259" s="7"/>
      <c r="L1259" s="7"/>
      <c r="M1259" s="1" t="str">
        <f>IF(E1259="","",E1259&amp;"|"&amp;COUNTIF($E$5:E1259,E1259))</f>
        <v/>
      </c>
    </row>
    <row r="1260" spans="2:13" x14ac:dyDescent="0.2">
      <c r="B1260" s="10"/>
      <c r="C1260" s="7"/>
      <c r="D1260" s="11"/>
      <c r="E1260" s="6"/>
      <c r="F1260" s="12" t="str">
        <f t="shared" si="38"/>
        <v/>
      </c>
      <c r="G1260" s="13" t="str">
        <f t="shared" si="39"/>
        <v/>
      </c>
      <c r="H1260" s="9"/>
      <c r="I1260" s="9"/>
      <c r="J1260" s="14" t="str">
        <f>IF(E1260="","",IFERROR(VLOOKUP(E1260,TabProd,5,FALSE),0)+SUMIFS($H$5:H1260,$E$5:E1260,E1260)-SUMIFS($I$5:I1260,$E$5:E1260,E1260))</f>
        <v/>
      </c>
      <c r="K1260" s="7"/>
      <c r="L1260" s="7"/>
      <c r="M1260" s="1" t="str">
        <f>IF(E1260="","",E1260&amp;"|"&amp;COUNTIF($E$5:E1260,E1260))</f>
        <v/>
      </c>
    </row>
    <row r="1261" spans="2:13" x14ac:dyDescent="0.2">
      <c r="B1261" s="10"/>
      <c r="C1261" s="7"/>
      <c r="D1261" s="11"/>
      <c r="E1261" s="6"/>
      <c r="F1261" s="12" t="str">
        <f t="shared" si="38"/>
        <v/>
      </c>
      <c r="G1261" s="13" t="str">
        <f t="shared" si="39"/>
        <v/>
      </c>
      <c r="H1261" s="9"/>
      <c r="I1261" s="9"/>
      <c r="J1261" s="14" t="str">
        <f>IF(E1261="","",IFERROR(VLOOKUP(E1261,TabProd,5,FALSE),0)+SUMIFS($H$5:H1261,$E$5:E1261,E1261)-SUMIFS($I$5:I1261,$E$5:E1261,E1261))</f>
        <v/>
      </c>
      <c r="K1261" s="7"/>
      <c r="L1261" s="7"/>
      <c r="M1261" s="1" t="str">
        <f>IF(E1261="","",E1261&amp;"|"&amp;COUNTIF($E$5:E1261,E1261))</f>
        <v/>
      </c>
    </row>
    <row r="1262" spans="2:13" x14ac:dyDescent="0.2">
      <c r="B1262" s="10"/>
      <c r="C1262" s="7"/>
      <c r="D1262" s="11"/>
      <c r="E1262" s="6"/>
      <c r="F1262" s="12" t="str">
        <f t="shared" si="38"/>
        <v/>
      </c>
      <c r="G1262" s="13" t="str">
        <f t="shared" si="39"/>
        <v/>
      </c>
      <c r="H1262" s="9"/>
      <c r="I1262" s="9"/>
      <c r="J1262" s="14" t="str">
        <f>IF(E1262="","",IFERROR(VLOOKUP(E1262,TabProd,5,FALSE),0)+SUMIFS($H$5:H1262,$E$5:E1262,E1262)-SUMIFS($I$5:I1262,$E$5:E1262,E1262))</f>
        <v/>
      </c>
      <c r="K1262" s="7"/>
      <c r="L1262" s="7"/>
      <c r="M1262" s="1" t="str">
        <f>IF(E1262="","",E1262&amp;"|"&amp;COUNTIF($E$5:E1262,E1262))</f>
        <v/>
      </c>
    </row>
    <row r="1263" spans="2:13" x14ac:dyDescent="0.2">
      <c r="B1263" s="10"/>
      <c r="C1263" s="7"/>
      <c r="D1263" s="11"/>
      <c r="E1263" s="6"/>
      <c r="F1263" s="12" t="str">
        <f t="shared" si="38"/>
        <v/>
      </c>
      <c r="G1263" s="13" t="str">
        <f t="shared" si="39"/>
        <v/>
      </c>
      <c r="H1263" s="9"/>
      <c r="I1263" s="9"/>
      <c r="J1263" s="14" t="str">
        <f>IF(E1263="","",IFERROR(VLOOKUP(E1263,TabProd,5,FALSE),0)+SUMIFS($H$5:H1263,$E$5:E1263,E1263)-SUMIFS($I$5:I1263,$E$5:E1263,E1263))</f>
        <v/>
      </c>
      <c r="K1263" s="7"/>
      <c r="L1263" s="7"/>
      <c r="M1263" s="1" t="str">
        <f>IF(E1263="","",E1263&amp;"|"&amp;COUNTIF($E$5:E1263,E1263))</f>
        <v/>
      </c>
    </row>
    <row r="1264" spans="2:13" x14ac:dyDescent="0.2">
      <c r="B1264" s="10"/>
      <c r="C1264" s="7"/>
      <c r="D1264" s="11"/>
      <c r="E1264" s="6"/>
      <c r="F1264" s="12" t="str">
        <f t="shared" si="38"/>
        <v/>
      </c>
      <c r="G1264" s="13" t="str">
        <f t="shared" si="39"/>
        <v/>
      </c>
      <c r="H1264" s="9"/>
      <c r="I1264" s="9"/>
      <c r="J1264" s="14" t="str">
        <f>IF(E1264="","",IFERROR(VLOOKUP(E1264,TabProd,5,FALSE),0)+SUMIFS($H$5:H1264,$E$5:E1264,E1264)-SUMIFS($I$5:I1264,$E$5:E1264,E1264))</f>
        <v/>
      </c>
      <c r="K1264" s="7"/>
      <c r="L1264" s="7"/>
      <c r="M1264" s="1" t="str">
        <f>IF(E1264="","",E1264&amp;"|"&amp;COUNTIF($E$5:E1264,E1264))</f>
        <v/>
      </c>
    </row>
    <row r="1265" spans="2:13" x14ac:dyDescent="0.2">
      <c r="B1265" s="10"/>
      <c r="C1265" s="7"/>
      <c r="D1265" s="11"/>
      <c r="E1265" s="6"/>
      <c r="F1265" s="12" t="str">
        <f t="shared" si="38"/>
        <v/>
      </c>
      <c r="G1265" s="13" t="str">
        <f t="shared" si="39"/>
        <v/>
      </c>
      <c r="H1265" s="9"/>
      <c r="I1265" s="9"/>
      <c r="J1265" s="14" t="str">
        <f>IF(E1265="","",IFERROR(VLOOKUP(E1265,TabProd,5,FALSE),0)+SUMIFS($H$5:H1265,$E$5:E1265,E1265)-SUMIFS($I$5:I1265,$E$5:E1265,E1265))</f>
        <v/>
      </c>
      <c r="K1265" s="7"/>
      <c r="L1265" s="7"/>
      <c r="M1265" s="1" t="str">
        <f>IF(E1265="","",E1265&amp;"|"&amp;COUNTIF($E$5:E1265,E1265))</f>
        <v/>
      </c>
    </row>
    <row r="1266" spans="2:13" x14ac:dyDescent="0.2">
      <c r="B1266" s="10"/>
      <c r="C1266" s="7"/>
      <c r="D1266" s="11"/>
      <c r="E1266" s="6"/>
      <c r="F1266" s="12" t="str">
        <f t="shared" si="38"/>
        <v/>
      </c>
      <c r="G1266" s="13" t="str">
        <f t="shared" si="39"/>
        <v/>
      </c>
      <c r="H1266" s="9"/>
      <c r="I1266" s="9"/>
      <c r="J1266" s="14" t="str">
        <f>IF(E1266="","",IFERROR(VLOOKUP(E1266,TabProd,5,FALSE),0)+SUMIFS($H$5:H1266,$E$5:E1266,E1266)-SUMIFS($I$5:I1266,$E$5:E1266,E1266))</f>
        <v/>
      </c>
      <c r="K1266" s="7"/>
      <c r="L1266" s="7"/>
      <c r="M1266" s="1" t="str">
        <f>IF(E1266="","",E1266&amp;"|"&amp;COUNTIF($E$5:E1266,E1266))</f>
        <v/>
      </c>
    </row>
    <row r="1267" spans="2:13" x14ac:dyDescent="0.2">
      <c r="B1267" s="10"/>
      <c r="C1267" s="7"/>
      <c r="D1267" s="11"/>
      <c r="E1267" s="6"/>
      <c r="F1267" s="12" t="str">
        <f t="shared" si="38"/>
        <v/>
      </c>
      <c r="G1267" s="13" t="str">
        <f t="shared" si="39"/>
        <v/>
      </c>
      <c r="H1267" s="9"/>
      <c r="I1267" s="9"/>
      <c r="J1267" s="14" t="str">
        <f>IF(E1267="","",IFERROR(VLOOKUP(E1267,TabProd,5,FALSE),0)+SUMIFS($H$5:H1267,$E$5:E1267,E1267)-SUMIFS($I$5:I1267,$E$5:E1267,E1267))</f>
        <v/>
      </c>
      <c r="K1267" s="7"/>
      <c r="L1267" s="7"/>
      <c r="M1267" s="1" t="str">
        <f>IF(E1267="","",E1267&amp;"|"&amp;COUNTIF($E$5:E1267,E1267))</f>
        <v/>
      </c>
    </row>
    <row r="1268" spans="2:13" x14ac:dyDescent="0.2">
      <c r="B1268" s="10"/>
      <c r="C1268" s="7"/>
      <c r="D1268" s="11"/>
      <c r="E1268" s="6"/>
      <c r="F1268" s="12" t="str">
        <f t="shared" si="38"/>
        <v/>
      </c>
      <c r="G1268" s="13" t="str">
        <f t="shared" si="39"/>
        <v/>
      </c>
      <c r="H1268" s="9"/>
      <c r="I1268" s="9"/>
      <c r="J1268" s="14" t="str">
        <f>IF(E1268="","",IFERROR(VLOOKUP(E1268,TabProd,5,FALSE),0)+SUMIFS($H$5:H1268,$E$5:E1268,E1268)-SUMIFS($I$5:I1268,$E$5:E1268,E1268))</f>
        <v/>
      </c>
      <c r="K1268" s="7"/>
      <c r="L1268" s="7"/>
      <c r="M1268" s="1" t="str">
        <f>IF(E1268="","",E1268&amp;"|"&amp;COUNTIF($E$5:E1268,E1268))</f>
        <v/>
      </c>
    </row>
    <row r="1269" spans="2:13" x14ac:dyDescent="0.2">
      <c r="B1269" s="10"/>
      <c r="C1269" s="7"/>
      <c r="D1269" s="11"/>
      <c r="E1269" s="6"/>
      <c r="F1269" s="12" t="str">
        <f t="shared" si="38"/>
        <v/>
      </c>
      <c r="G1269" s="13" t="str">
        <f t="shared" si="39"/>
        <v/>
      </c>
      <c r="H1269" s="9"/>
      <c r="I1269" s="9"/>
      <c r="J1269" s="14" t="str">
        <f>IF(E1269="","",IFERROR(VLOOKUP(E1269,TabProd,5,FALSE),0)+SUMIFS($H$5:H1269,$E$5:E1269,E1269)-SUMIFS($I$5:I1269,$E$5:E1269,E1269))</f>
        <v/>
      </c>
      <c r="K1269" s="7"/>
      <c r="L1269" s="7"/>
      <c r="M1269" s="1" t="str">
        <f>IF(E1269="","",E1269&amp;"|"&amp;COUNTIF($E$5:E1269,E1269))</f>
        <v/>
      </c>
    </row>
    <row r="1270" spans="2:13" x14ac:dyDescent="0.2">
      <c r="B1270" s="10"/>
      <c r="C1270" s="7"/>
      <c r="D1270" s="11"/>
      <c r="E1270" s="6"/>
      <c r="F1270" s="12" t="str">
        <f t="shared" si="38"/>
        <v/>
      </c>
      <c r="G1270" s="13" t="str">
        <f t="shared" si="39"/>
        <v/>
      </c>
      <c r="H1270" s="9"/>
      <c r="I1270" s="9"/>
      <c r="J1270" s="14" t="str">
        <f>IF(E1270="","",IFERROR(VLOOKUP(E1270,TabProd,5,FALSE),0)+SUMIFS($H$5:H1270,$E$5:E1270,E1270)-SUMIFS($I$5:I1270,$E$5:E1270,E1270))</f>
        <v/>
      </c>
      <c r="K1270" s="7"/>
      <c r="L1270" s="7"/>
      <c r="M1270" s="1" t="str">
        <f>IF(E1270="","",E1270&amp;"|"&amp;COUNTIF($E$5:E1270,E1270))</f>
        <v/>
      </c>
    </row>
    <row r="1271" spans="2:13" x14ac:dyDescent="0.2">
      <c r="B1271" s="10"/>
      <c r="C1271" s="7"/>
      <c r="D1271" s="11"/>
      <c r="E1271" s="6"/>
      <c r="F1271" s="12" t="str">
        <f t="shared" si="38"/>
        <v/>
      </c>
      <c r="G1271" s="13" t="str">
        <f t="shared" si="39"/>
        <v/>
      </c>
      <c r="H1271" s="9"/>
      <c r="I1271" s="9"/>
      <c r="J1271" s="14" t="str">
        <f>IF(E1271="","",IFERROR(VLOOKUP(E1271,TabProd,5,FALSE),0)+SUMIFS($H$5:H1271,$E$5:E1271,E1271)-SUMIFS($I$5:I1271,$E$5:E1271,E1271))</f>
        <v/>
      </c>
      <c r="K1271" s="7"/>
      <c r="L1271" s="7"/>
      <c r="M1271" s="1" t="str">
        <f>IF(E1271="","",E1271&amp;"|"&amp;COUNTIF($E$5:E1271,E1271))</f>
        <v/>
      </c>
    </row>
    <row r="1272" spans="2:13" x14ac:dyDescent="0.2">
      <c r="B1272" s="10"/>
      <c r="C1272" s="7"/>
      <c r="D1272" s="11"/>
      <c r="E1272" s="6"/>
      <c r="F1272" s="12" t="str">
        <f t="shared" si="38"/>
        <v/>
      </c>
      <c r="G1272" s="13" t="str">
        <f t="shared" si="39"/>
        <v/>
      </c>
      <c r="H1272" s="9"/>
      <c r="I1272" s="9"/>
      <c r="J1272" s="14" t="str">
        <f>IF(E1272="","",IFERROR(VLOOKUP(E1272,TabProd,5,FALSE),0)+SUMIFS($H$5:H1272,$E$5:E1272,E1272)-SUMIFS($I$5:I1272,$E$5:E1272,E1272))</f>
        <v/>
      </c>
      <c r="K1272" s="7"/>
      <c r="L1272" s="7"/>
      <c r="M1272" s="1" t="str">
        <f>IF(E1272="","",E1272&amp;"|"&amp;COUNTIF($E$5:E1272,E1272))</f>
        <v/>
      </c>
    </row>
    <row r="1273" spans="2:13" x14ac:dyDescent="0.2">
      <c r="B1273" s="10"/>
      <c r="C1273" s="7"/>
      <c r="D1273" s="11"/>
      <c r="E1273" s="6"/>
      <c r="F1273" s="12" t="str">
        <f t="shared" si="38"/>
        <v/>
      </c>
      <c r="G1273" s="13" t="str">
        <f t="shared" si="39"/>
        <v/>
      </c>
      <c r="H1273" s="9"/>
      <c r="I1273" s="9"/>
      <c r="J1273" s="14" t="str">
        <f>IF(E1273="","",IFERROR(VLOOKUP(E1273,TabProd,5,FALSE),0)+SUMIFS($H$5:H1273,$E$5:E1273,E1273)-SUMIFS($I$5:I1273,$E$5:E1273,E1273))</f>
        <v/>
      </c>
      <c r="K1273" s="7"/>
      <c r="L1273" s="7"/>
      <c r="M1273" s="1" t="str">
        <f>IF(E1273="","",E1273&amp;"|"&amp;COUNTIF($E$5:E1273,E1273))</f>
        <v/>
      </c>
    </row>
    <row r="1274" spans="2:13" x14ac:dyDescent="0.2">
      <c r="B1274" s="10"/>
      <c r="C1274" s="7"/>
      <c r="D1274" s="11"/>
      <c r="E1274" s="6"/>
      <c r="F1274" s="12" t="str">
        <f t="shared" si="38"/>
        <v/>
      </c>
      <c r="G1274" s="13" t="str">
        <f t="shared" si="39"/>
        <v/>
      </c>
      <c r="H1274" s="9"/>
      <c r="I1274" s="9"/>
      <c r="J1274" s="14" t="str">
        <f>IF(E1274="","",IFERROR(VLOOKUP(E1274,TabProd,5,FALSE),0)+SUMIFS($H$5:H1274,$E$5:E1274,E1274)-SUMIFS($I$5:I1274,$E$5:E1274,E1274))</f>
        <v/>
      </c>
      <c r="K1274" s="7"/>
      <c r="L1274" s="7"/>
      <c r="M1274" s="1" t="str">
        <f>IF(E1274="","",E1274&amp;"|"&amp;COUNTIF($E$5:E1274,E1274))</f>
        <v/>
      </c>
    </row>
    <row r="1275" spans="2:13" x14ac:dyDescent="0.2">
      <c r="B1275" s="10"/>
      <c r="C1275" s="7"/>
      <c r="D1275" s="11"/>
      <c r="E1275" s="6"/>
      <c r="F1275" s="12" t="str">
        <f t="shared" si="38"/>
        <v/>
      </c>
      <c r="G1275" s="13" t="str">
        <f t="shared" si="39"/>
        <v/>
      </c>
      <c r="H1275" s="9"/>
      <c r="I1275" s="9"/>
      <c r="J1275" s="14" t="str">
        <f>IF(E1275="","",IFERROR(VLOOKUP(E1275,TabProd,5,FALSE),0)+SUMIFS($H$5:H1275,$E$5:E1275,E1275)-SUMIFS($I$5:I1275,$E$5:E1275,E1275))</f>
        <v/>
      </c>
      <c r="K1275" s="7"/>
      <c r="L1275" s="7"/>
      <c r="M1275" s="1" t="str">
        <f>IF(E1275="","",E1275&amp;"|"&amp;COUNTIF($E$5:E1275,E1275))</f>
        <v/>
      </c>
    </row>
    <row r="1276" spans="2:13" x14ac:dyDescent="0.2">
      <c r="B1276" s="10"/>
      <c r="C1276" s="7"/>
      <c r="D1276" s="11"/>
      <c r="E1276" s="6"/>
      <c r="F1276" s="12" t="str">
        <f t="shared" si="38"/>
        <v/>
      </c>
      <c r="G1276" s="13" t="str">
        <f t="shared" si="39"/>
        <v/>
      </c>
      <c r="H1276" s="9"/>
      <c r="I1276" s="9"/>
      <c r="J1276" s="14" t="str">
        <f>IF(E1276="","",IFERROR(VLOOKUP(E1276,TabProd,5,FALSE),0)+SUMIFS($H$5:H1276,$E$5:E1276,E1276)-SUMIFS($I$5:I1276,$E$5:E1276,E1276))</f>
        <v/>
      </c>
      <c r="K1276" s="7"/>
      <c r="L1276" s="7"/>
      <c r="M1276" s="1" t="str">
        <f>IF(E1276="","",E1276&amp;"|"&amp;COUNTIF($E$5:E1276,E1276))</f>
        <v/>
      </c>
    </row>
    <row r="1277" spans="2:13" x14ac:dyDescent="0.2">
      <c r="B1277" s="10"/>
      <c r="C1277" s="7"/>
      <c r="D1277" s="11"/>
      <c r="E1277" s="6"/>
      <c r="F1277" s="12" t="str">
        <f t="shared" si="38"/>
        <v/>
      </c>
      <c r="G1277" s="13" t="str">
        <f t="shared" si="39"/>
        <v/>
      </c>
      <c r="H1277" s="9"/>
      <c r="I1277" s="9"/>
      <c r="J1277" s="14" t="str">
        <f>IF(E1277="","",IFERROR(VLOOKUP(E1277,TabProd,5,FALSE),0)+SUMIFS($H$5:H1277,$E$5:E1277,E1277)-SUMIFS($I$5:I1277,$E$5:E1277,E1277))</f>
        <v/>
      </c>
      <c r="K1277" s="7"/>
      <c r="L1277" s="7"/>
      <c r="M1277" s="1" t="str">
        <f>IF(E1277="","",E1277&amp;"|"&amp;COUNTIF($E$5:E1277,E1277))</f>
        <v/>
      </c>
    </row>
    <row r="1278" spans="2:13" x14ac:dyDescent="0.2">
      <c r="B1278" s="10"/>
      <c r="C1278" s="7"/>
      <c r="D1278" s="11"/>
      <c r="E1278" s="6"/>
      <c r="F1278" s="12" t="str">
        <f t="shared" si="38"/>
        <v/>
      </c>
      <c r="G1278" s="13" t="str">
        <f t="shared" si="39"/>
        <v/>
      </c>
      <c r="H1278" s="9"/>
      <c r="I1278" s="9"/>
      <c r="J1278" s="14" t="str">
        <f>IF(E1278="","",IFERROR(VLOOKUP(E1278,TabProd,5,FALSE),0)+SUMIFS($H$5:H1278,$E$5:E1278,E1278)-SUMIFS($I$5:I1278,$E$5:E1278,E1278))</f>
        <v/>
      </c>
      <c r="K1278" s="7"/>
      <c r="L1278" s="7"/>
      <c r="M1278" s="1" t="str">
        <f>IF(E1278="","",E1278&amp;"|"&amp;COUNTIF($E$5:E1278,E1278))</f>
        <v/>
      </c>
    </row>
    <row r="1279" spans="2:13" x14ac:dyDescent="0.2">
      <c r="B1279" s="10"/>
      <c r="C1279" s="7"/>
      <c r="D1279" s="11"/>
      <c r="E1279" s="6"/>
      <c r="F1279" s="12" t="str">
        <f t="shared" si="38"/>
        <v/>
      </c>
      <c r="G1279" s="13" t="str">
        <f t="shared" si="39"/>
        <v/>
      </c>
      <c r="H1279" s="9"/>
      <c r="I1279" s="9"/>
      <c r="J1279" s="14" t="str">
        <f>IF(E1279="","",IFERROR(VLOOKUP(E1279,TabProd,5,FALSE),0)+SUMIFS($H$5:H1279,$E$5:E1279,E1279)-SUMIFS($I$5:I1279,$E$5:E1279,E1279))</f>
        <v/>
      </c>
      <c r="K1279" s="7"/>
      <c r="L1279" s="7"/>
      <c r="M1279" s="1" t="str">
        <f>IF(E1279="","",E1279&amp;"|"&amp;COUNTIF($E$5:E1279,E1279))</f>
        <v/>
      </c>
    </row>
    <row r="1280" spans="2:13" x14ac:dyDescent="0.2">
      <c r="B1280" s="10"/>
      <c r="C1280" s="7"/>
      <c r="D1280" s="11"/>
      <c r="E1280" s="6"/>
      <c r="F1280" s="12" t="str">
        <f t="shared" si="38"/>
        <v/>
      </c>
      <c r="G1280" s="13" t="str">
        <f t="shared" si="39"/>
        <v/>
      </c>
      <c r="H1280" s="9"/>
      <c r="I1280" s="9"/>
      <c r="J1280" s="14" t="str">
        <f>IF(E1280="","",IFERROR(VLOOKUP(E1280,TabProd,5,FALSE),0)+SUMIFS($H$5:H1280,$E$5:E1280,E1280)-SUMIFS($I$5:I1280,$E$5:E1280,E1280))</f>
        <v/>
      </c>
      <c r="K1280" s="7"/>
      <c r="L1280" s="7"/>
      <c r="M1280" s="1" t="str">
        <f>IF(E1280="","",E1280&amp;"|"&amp;COUNTIF($E$5:E1280,E1280))</f>
        <v/>
      </c>
    </row>
    <row r="1281" spans="2:13" x14ac:dyDescent="0.2">
      <c r="B1281" s="10"/>
      <c r="C1281" s="7"/>
      <c r="D1281" s="11"/>
      <c r="E1281" s="6"/>
      <c r="F1281" s="12" t="str">
        <f t="shared" si="38"/>
        <v/>
      </c>
      <c r="G1281" s="13" t="str">
        <f t="shared" si="39"/>
        <v/>
      </c>
      <c r="H1281" s="9"/>
      <c r="I1281" s="9"/>
      <c r="J1281" s="14" t="str">
        <f>IF(E1281="","",IFERROR(VLOOKUP(E1281,TabProd,5,FALSE),0)+SUMIFS($H$5:H1281,$E$5:E1281,E1281)-SUMIFS($I$5:I1281,$E$5:E1281,E1281))</f>
        <v/>
      </c>
      <c r="K1281" s="7"/>
      <c r="L1281" s="7"/>
      <c r="M1281" s="1" t="str">
        <f>IF(E1281="","",E1281&amp;"|"&amp;COUNTIF($E$5:E1281,E1281))</f>
        <v/>
      </c>
    </row>
    <row r="1282" spans="2:13" x14ac:dyDescent="0.2">
      <c r="B1282" s="10"/>
      <c r="C1282" s="7"/>
      <c r="D1282" s="11"/>
      <c r="E1282" s="6"/>
      <c r="F1282" s="12" t="str">
        <f t="shared" si="38"/>
        <v/>
      </c>
      <c r="G1282" s="13" t="str">
        <f t="shared" si="39"/>
        <v/>
      </c>
      <c r="H1282" s="9"/>
      <c r="I1282" s="9"/>
      <c r="J1282" s="14" t="str">
        <f>IF(E1282="","",IFERROR(VLOOKUP(E1282,TabProd,5,FALSE),0)+SUMIFS($H$5:H1282,$E$5:E1282,E1282)-SUMIFS($I$5:I1282,$E$5:E1282,E1282))</f>
        <v/>
      </c>
      <c r="K1282" s="7"/>
      <c r="L1282" s="7"/>
      <c r="M1282" s="1" t="str">
        <f>IF(E1282="","",E1282&amp;"|"&amp;COUNTIF($E$5:E1282,E1282))</f>
        <v/>
      </c>
    </row>
    <row r="1283" spans="2:13" x14ac:dyDescent="0.2">
      <c r="B1283" s="10"/>
      <c r="C1283" s="7"/>
      <c r="D1283" s="11"/>
      <c r="E1283" s="6"/>
      <c r="F1283" s="12" t="str">
        <f t="shared" si="38"/>
        <v/>
      </c>
      <c r="G1283" s="13" t="str">
        <f t="shared" si="39"/>
        <v/>
      </c>
      <c r="H1283" s="9"/>
      <c r="I1283" s="9"/>
      <c r="J1283" s="14" t="str">
        <f>IF(E1283="","",IFERROR(VLOOKUP(E1283,TabProd,5,FALSE),0)+SUMIFS($H$5:H1283,$E$5:E1283,E1283)-SUMIFS($I$5:I1283,$E$5:E1283,E1283))</f>
        <v/>
      </c>
      <c r="K1283" s="7"/>
      <c r="L1283" s="7"/>
      <c r="M1283" s="1" t="str">
        <f>IF(E1283="","",E1283&amp;"|"&amp;COUNTIF($E$5:E1283,E1283))</f>
        <v/>
      </c>
    </row>
    <row r="1284" spans="2:13" x14ac:dyDescent="0.2">
      <c r="B1284" s="10"/>
      <c r="C1284" s="7"/>
      <c r="D1284" s="11"/>
      <c r="E1284" s="6"/>
      <c r="F1284" s="12" t="str">
        <f t="shared" si="38"/>
        <v/>
      </c>
      <c r="G1284" s="13" t="str">
        <f t="shared" si="39"/>
        <v/>
      </c>
      <c r="H1284" s="9"/>
      <c r="I1284" s="9"/>
      <c r="J1284" s="14" t="str">
        <f>IF(E1284="","",IFERROR(VLOOKUP(E1284,TabProd,5,FALSE),0)+SUMIFS($H$5:H1284,$E$5:E1284,E1284)-SUMIFS($I$5:I1284,$E$5:E1284,E1284))</f>
        <v/>
      </c>
      <c r="K1284" s="7"/>
      <c r="L1284" s="7"/>
      <c r="M1284" s="1" t="str">
        <f>IF(E1284="","",E1284&amp;"|"&amp;COUNTIF($E$5:E1284,E1284))</f>
        <v/>
      </c>
    </row>
    <row r="1285" spans="2:13" x14ac:dyDescent="0.2">
      <c r="B1285" s="10"/>
      <c r="C1285" s="7"/>
      <c r="D1285" s="11"/>
      <c r="E1285" s="6"/>
      <c r="F1285" s="12" t="str">
        <f t="shared" ref="F1285:F1348" si="40">IF(E1285="","",IFERROR(VLOOKUP(E1285,TabProd,2,FALSE),"Cod inexistent"))</f>
        <v/>
      </c>
      <c r="G1285" s="13" t="str">
        <f t="shared" ref="G1285:G1348" si="41">IF(E1285="","",IFERROR(VLOOKUP(E1285,TabProd,3,FALSE),""))</f>
        <v/>
      </c>
      <c r="H1285" s="9"/>
      <c r="I1285" s="9"/>
      <c r="J1285" s="14" t="str">
        <f>IF(E1285="","",IFERROR(VLOOKUP(E1285,TabProd,5,FALSE),0)+SUMIFS($H$5:H1285,$E$5:E1285,E1285)-SUMIFS($I$5:I1285,$E$5:E1285,E1285))</f>
        <v/>
      </c>
      <c r="K1285" s="7"/>
      <c r="L1285" s="7"/>
      <c r="M1285" s="1" t="str">
        <f>IF(E1285="","",E1285&amp;"|"&amp;COUNTIF($E$5:E1285,E1285))</f>
        <v/>
      </c>
    </row>
    <row r="1286" spans="2:13" x14ac:dyDescent="0.2">
      <c r="B1286" s="10"/>
      <c r="C1286" s="7"/>
      <c r="D1286" s="11"/>
      <c r="E1286" s="6"/>
      <c r="F1286" s="12" t="str">
        <f t="shared" si="40"/>
        <v/>
      </c>
      <c r="G1286" s="13" t="str">
        <f t="shared" si="41"/>
        <v/>
      </c>
      <c r="H1286" s="9"/>
      <c r="I1286" s="9"/>
      <c r="J1286" s="14" t="str">
        <f>IF(E1286="","",IFERROR(VLOOKUP(E1286,TabProd,5,FALSE),0)+SUMIFS($H$5:H1286,$E$5:E1286,E1286)-SUMIFS($I$5:I1286,$E$5:E1286,E1286))</f>
        <v/>
      </c>
      <c r="K1286" s="7"/>
      <c r="L1286" s="7"/>
      <c r="M1286" s="1" t="str">
        <f>IF(E1286="","",E1286&amp;"|"&amp;COUNTIF($E$5:E1286,E1286))</f>
        <v/>
      </c>
    </row>
    <row r="1287" spans="2:13" x14ac:dyDescent="0.2">
      <c r="B1287" s="10"/>
      <c r="C1287" s="7"/>
      <c r="D1287" s="11"/>
      <c r="E1287" s="6"/>
      <c r="F1287" s="12" t="str">
        <f t="shared" si="40"/>
        <v/>
      </c>
      <c r="G1287" s="13" t="str">
        <f t="shared" si="41"/>
        <v/>
      </c>
      <c r="H1287" s="9"/>
      <c r="I1287" s="9"/>
      <c r="J1287" s="14" t="str">
        <f>IF(E1287="","",IFERROR(VLOOKUP(E1287,TabProd,5,FALSE),0)+SUMIFS($H$5:H1287,$E$5:E1287,E1287)-SUMIFS($I$5:I1287,$E$5:E1287,E1287))</f>
        <v/>
      </c>
      <c r="K1287" s="7"/>
      <c r="L1287" s="7"/>
      <c r="M1287" s="1" t="str">
        <f>IF(E1287="","",E1287&amp;"|"&amp;COUNTIF($E$5:E1287,E1287))</f>
        <v/>
      </c>
    </row>
    <row r="1288" spans="2:13" x14ac:dyDescent="0.2">
      <c r="B1288" s="10"/>
      <c r="C1288" s="7"/>
      <c r="D1288" s="11"/>
      <c r="E1288" s="6"/>
      <c r="F1288" s="12" t="str">
        <f t="shared" si="40"/>
        <v/>
      </c>
      <c r="G1288" s="13" t="str">
        <f t="shared" si="41"/>
        <v/>
      </c>
      <c r="H1288" s="9"/>
      <c r="I1288" s="9"/>
      <c r="J1288" s="14" t="str">
        <f>IF(E1288="","",IFERROR(VLOOKUP(E1288,TabProd,5,FALSE),0)+SUMIFS($H$5:H1288,$E$5:E1288,E1288)-SUMIFS($I$5:I1288,$E$5:E1288,E1288))</f>
        <v/>
      </c>
      <c r="K1288" s="7"/>
      <c r="L1288" s="7"/>
      <c r="M1288" s="1" t="str">
        <f>IF(E1288="","",E1288&amp;"|"&amp;COUNTIF($E$5:E1288,E1288))</f>
        <v/>
      </c>
    </row>
    <row r="1289" spans="2:13" x14ac:dyDescent="0.2">
      <c r="B1289" s="10"/>
      <c r="C1289" s="7"/>
      <c r="D1289" s="11"/>
      <c r="E1289" s="6"/>
      <c r="F1289" s="12" t="str">
        <f t="shared" si="40"/>
        <v/>
      </c>
      <c r="G1289" s="13" t="str">
        <f t="shared" si="41"/>
        <v/>
      </c>
      <c r="H1289" s="9"/>
      <c r="I1289" s="9"/>
      <c r="J1289" s="14" t="str">
        <f>IF(E1289="","",IFERROR(VLOOKUP(E1289,TabProd,5,FALSE),0)+SUMIFS($H$5:H1289,$E$5:E1289,E1289)-SUMIFS($I$5:I1289,$E$5:E1289,E1289))</f>
        <v/>
      </c>
      <c r="K1289" s="7"/>
      <c r="L1289" s="7"/>
      <c r="M1289" s="1" t="str">
        <f>IF(E1289="","",E1289&amp;"|"&amp;COUNTIF($E$5:E1289,E1289))</f>
        <v/>
      </c>
    </row>
    <row r="1290" spans="2:13" x14ac:dyDescent="0.2">
      <c r="B1290" s="10"/>
      <c r="C1290" s="7"/>
      <c r="D1290" s="11"/>
      <c r="E1290" s="6"/>
      <c r="F1290" s="12" t="str">
        <f t="shared" si="40"/>
        <v/>
      </c>
      <c r="G1290" s="13" t="str">
        <f t="shared" si="41"/>
        <v/>
      </c>
      <c r="H1290" s="9"/>
      <c r="I1290" s="9"/>
      <c r="J1290" s="14" t="str">
        <f>IF(E1290="","",IFERROR(VLOOKUP(E1290,TabProd,5,FALSE),0)+SUMIFS($H$5:H1290,$E$5:E1290,E1290)-SUMIFS($I$5:I1290,$E$5:E1290,E1290))</f>
        <v/>
      </c>
      <c r="K1290" s="7"/>
      <c r="L1290" s="7"/>
      <c r="M1290" s="1" t="str">
        <f>IF(E1290="","",E1290&amp;"|"&amp;COUNTIF($E$5:E1290,E1290))</f>
        <v/>
      </c>
    </row>
    <row r="1291" spans="2:13" x14ac:dyDescent="0.2">
      <c r="B1291" s="10"/>
      <c r="C1291" s="7"/>
      <c r="D1291" s="11"/>
      <c r="E1291" s="6"/>
      <c r="F1291" s="12" t="str">
        <f t="shared" si="40"/>
        <v/>
      </c>
      <c r="G1291" s="13" t="str">
        <f t="shared" si="41"/>
        <v/>
      </c>
      <c r="H1291" s="9"/>
      <c r="I1291" s="9"/>
      <c r="J1291" s="14" t="str">
        <f>IF(E1291="","",IFERROR(VLOOKUP(E1291,TabProd,5,FALSE),0)+SUMIFS($H$5:H1291,$E$5:E1291,E1291)-SUMIFS($I$5:I1291,$E$5:E1291,E1291))</f>
        <v/>
      </c>
      <c r="K1291" s="7"/>
      <c r="L1291" s="7"/>
      <c r="M1291" s="1" t="str">
        <f>IF(E1291="","",E1291&amp;"|"&amp;COUNTIF($E$5:E1291,E1291))</f>
        <v/>
      </c>
    </row>
    <row r="1292" spans="2:13" x14ac:dyDescent="0.2">
      <c r="B1292" s="10"/>
      <c r="C1292" s="7"/>
      <c r="D1292" s="11"/>
      <c r="E1292" s="6"/>
      <c r="F1292" s="12" t="str">
        <f t="shared" si="40"/>
        <v/>
      </c>
      <c r="G1292" s="13" t="str">
        <f t="shared" si="41"/>
        <v/>
      </c>
      <c r="H1292" s="9"/>
      <c r="I1292" s="9"/>
      <c r="J1292" s="14" t="str">
        <f>IF(E1292="","",IFERROR(VLOOKUP(E1292,TabProd,5,FALSE),0)+SUMIFS($H$5:H1292,$E$5:E1292,E1292)-SUMIFS($I$5:I1292,$E$5:E1292,E1292))</f>
        <v/>
      </c>
      <c r="K1292" s="7"/>
      <c r="L1292" s="7"/>
      <c r="M1292" s="1" t="str">
        <f>IF(E1292="","",E1292&amp;"|"&amp;COUNTIF($E$5:E1292,E1292))</f>
        <v/>
      </c>
    </row>
    <row r="1293" spans="2:13" x14ac:dyDescent="0.2">
      <c r="B1293" s="10"/>
      <c r="C1293" s="7"/>
      <c r="D1293" s="11"/>
      <c r="E1293" s="6"/>
      <c r="F1293" s="12" t="str">
        <f t="shared" si="40"/>
        <v/>
      </c>
      <c r="G1293" s="13" t="str">
        <f t="shared" si="41"/>
        <v/>
      </c>
      <c r="H1293" s="9"/>
      <c r="I1293" s="9"/>
      <c r="J1293" s="14" t="str">
        <f>IF(E1293="","",IFERROR(VLOOKUP(E1293,TabProd,5,FALSE),0)+SUMIFS($H$5:H1293,$E$5:E1293,E1293)-SUMIFS($I$5:I1293,$E$5:E1293,E1293))</f>
        <v/>
      </c>
      <c r="K1293" s="7"/>
      <c r="L1293" s="7"/>
      <c r="M1293" s="1" t="str">
        <f>IF(E1293="","",E1293&amp;"|"&amp;COUNTIF($E$5:E1293,E1293))</f>
        <v/>
      </c>
    </row>
    <row r="1294" spans="2:13" x14ac:dyDescent="0.2">
      <c r="B1294" s="10"/>
      <c r="C1294" s="7"/>
      <c r="D1294" s="11"/>
      <c r="E1294" s="6"/>
      <c r="F1294" s="12" t="str">
        <f t="shared" si="40"/>
        <v/>
      </c>
      <c r="G1294" s="13" t="str">
        <f t="shared" si="41"/>
        <v/>
      </c>
      <c r="H1294" s="9"/>
      <c r="I1294" s="9"/>
      <c r="J1294" s="14" t="str">
        <f>IF(E1294="","",IFERROR(VLOOKUP(E1294,TabProd,5,FALSE),0)+SUMIFS($H$5:H1294,$E$5:E1294,E1294)-SUMIFS($I$5:I1294,$E$5:E1294,E1294))</f>
        <v/>
      </c>
      <c r="K1294" s="7"/>
      <c r="L1294" s="7"/>
      <c r="M1294" s="1" t="str">
        <f>IF(E1294="","",E1294&amp;"|"&amp;COUNTIF($E$5:E1294,E1294))</f>
        <v/>
      </c>
    </row>
    <row r="1295" spans="2:13" x14ac:dyDescent="0.2">
      <c r="B1295" s="10"/>
      <c r="C1295" s="7"/>
      <c r="D1295" s="11"/>
      <c r="E1295" s="6"/>
      <c r="F1295" s="12" t="str">
        <f t="shared" si="40"/>
        <v/>
      </c>
      <c r="G1295" s="13" t="str">
        <f t="shared" si="41"/>
        <v/>
      </c>
      <c r="H1295" s="9"/>
      <c r="I1295" s="9"/>
      <c r="J1295" s="14" t="str">
        <f>IF(E1295="","",IFERROR(VLOOKUP(E1295,TabProd,5,FALSE),0)+SUMIFS($H$5:H1295,$E$5:E1295,E1295)-SUMIFS($I$5:I1295,$E$5:E1295,E1295))</f>
        <v/>
      </c>
      <c r="K1295" s="7"/>
      <c r="L1295" s="7"/>
      <c r="M1295" s="1" t="str">
        <f>IF(E1295="","",E1295&amp;"|"&amp;COUNTIF($E$5:E1295,E1295))</f>
        <v/>
      </c>
    </row>
    <row r="1296" spans="2:13" x14ac:dyDescent="0.2">
      <c r="B1296" s="10"/>
      <c r="C1296" s="7"/>
      <c r="D1296" s="11"/>
      <c r="E1296" s="6"/>
      <c r="F1296" s="12" t="str">
        <f t="shared" si="40"/>
        <v/>
      </c>
      <c r="G1296" s="13" t="str">
        <f t="shared" si="41"/>
        <v/>
      </c>
      <c r="H1296" s="9"/>
      <c r="I1296" s="9"/>
      <c r="J1296" s="14" t="str">
        <f>IF(E1296="","",IFERROR(VLOOKUP(E1296,TabProd,5,FALSE),0)+SUMIFS($H$5:H1296,$E$5:E1296,E1296)-SUMIFS($I$5:I1296,$E$5:E1296,E1296))</f>
        <v/>
      </c>
      <c r="K1296" s="7"/>
      <c r="L1296" s="7"/>
      <c r="M1296" s="1" t="str">
        <f>IF(E1296="","",E1296&amp;"|"&amp;COUNTIF($E$5:E1296,E1296))</f>
        <v/>
      </c>
    </row>
    <row r="1297" spans="2:13" x14ac:dyDescent="0.2">
      <c r="B1297" s="10"/>
      <c r="C1297" s="7"/>
      <c r="D1297" s="11"/>
      <c r="E1297" s="6"/>
      <c r="F1297" s="12" t="str">
        <f t="shared" si="40"/>
        <v/>
      </c>
      <c r="G1297" s="13" t="str">
        <f t="shared" si="41"/>
        <v/>
      </c>
      <c r="H1297" s="9"/>
      <c r="I1297" s="9"/>
      <c r="J1297" s="14" t="str">
        <f>IF(E1297="","",IFERROR(VLOOKUP(E1297,TabProd,5,FALSE),0)+SUMIFS($H$5:H1297,$E$5:E1297,E1297)-SUMIFS($I$5:I1297,$E$5:E1297,E1297))</f>
        <v/>
      </c>
      <c r="K1297" s="7"/>
      <c r="L1297" s="7"/>
      <c r="M1297" s="1" t="str">
        <f>IF(E1297="","",E1297&amp;"|"&amp;COUNTIF($E$5:E1297,E1297))</f>
        <v/>
      </c>
    </row>
    <row r="1298" spans="2:13" x14ac:dyDescent="0.2">
      <c r="B1298" s="10"/>
      <c r="C1298" s="7"/>
      <c r="D1298" s="11"/>
      <c r="E1298" s="6"/>
      <c r="F1298" s="12" t="str">
        <f t="shared" si="40"/>
        <v/>
      </c>
      <c r="G1298" s="13" t="str">
        <f t="shared" si="41"/>
        <v/>
      </c>
      <c r="H1298" s="9"/>
      <c r="I1298" s="9"/>
      <c r="J1298" s="14" t="str">
        <f>IF(E1298="","",IFERROR(VLOOKUP(E1298,TabProd,5,FALSE),0)+SUMIFS($H$5:H1298,$E$5:E1298,E1298)-SUMIFS($I$5:I1298,$E$5:E1298,E1298))</f>
        <v/>
      </c>
      <c r="K1298" s="7"/>
      <c r="L1298" s="7"/>
      <c r="M1298" s="1" t="str">
        <f>IF(E1298="","",E1298&amp;"|"&amp;COUNTIF($E$5:E1298,E1298))</f>
        <v/>
      </c>
    </row>
    <row r="1299" spans="2:13" x14ac:dyDescent="0.2">
      <c r="B1299" s="10"/>
      <c r="C1299" s="7"/>
      <c r="D1299" s="11"/>
      <c r="E1299" s="6"/>
      <c r="F1299" s="12" t="str">
        <f t="shared" si="40"/>
        <v/>
      </c>
      <c r="G1299" s="13" t="str">
        <f t="shared" si="41"/>
        <v/>
      </c>
      <c r="H1299" s="9"/>
      <c r="I1299" s="9"/>
      <c r="J1299" s="14" t="str">
        <f>IF(E1299="","",IFERROR(VLOOKUP(E1299,TabProd,5,FALSE),0)+SUMIFS($H$5:H1299,$E$5:E1299,E1299)-SUMIFS($I$5:I1299,$E$5:E1299,E1299))</f>
        <v/>
      </c>
      <c r="K1299" s="7"/>
      <c r="L1299" s="7"/>
      <c r="M1299" s="1" t="str">
        <f>IF(E1299="","",E1299&amp;"|"&amp;COUNTIF($E$5:E1299,E1299))</f>
        <v/>
      </c>
    </row>
    <row r="1300" spans="2:13" x14ac:dyDescent="0.2">
      <c r="B1300" s="10"/>
      <c r="C1300" s="7"/>
      <c r="D1300" s="11"/>
      <c r="E1300" s="6"/>
      <c r="F1300" s="12" t="str">
        <f t="shared" si="40"/>
        <v/>
      </c>
      <c r="G1300" s="13" t="str">
        <f t="shared" si="41"/>
        <v/>
      </c>
      <c r="H1300" s="9"/>
      <c r="I1300" s="9"/>
      <c r="J1300" s="14" t="str">
        <f>IF(E1300="","",IFERROR(VLOOKUP(E1300,TabProd,5,FALSE),0)+SUMIFS($H$5:H1300,$E$5:E1300,E1300)-SUMIFS($I$5:I1300,$E$5:E1300,E1300))</f>
        <v/>
      </c>
      <c r="K1300" s="7"/>
      <c r="L1300" s="7"/>
      <c r="M1300" s="1" t="str">
        <f>IF(E1300="","",E1300&amp;"|"&amp;COUNTIF($E$5:E1300,E1300))</f>
        <v/>
      </c>
    </row>
    <row r="1301" spans="2:13" x14ac:dyDescent="0.2">
      <c r="B1301" s="10"/>
      <c r="C1301" s="7"/>
      <c r="D1301" s="11"/>
      <c r="E1301" s="6"/>
      <c r="F1301" s="12" t="str">
        <f t="shared" si="40"/>
        <v/>
      </c>
      <c r="G1301" s="13" t="str">
        <f t="shared" si="41"/>
        <v/>
      </c>
      <c r="H1301" s="9"/>
      <c r="I1301" s="9"/>
      <c r="J1301" s="14" t="str">
        <f>IF(E1301="","",IFERROR(VLOOKUP(E1301,TabProd,5,FALSE),0)+SUMIFS($H$5:H1301,$E$5:E1301,E1301)-SUMIFS($I$5:I1301,$E$5:E1301,E1301))</f>
        <v/>
      </c>
      <c r="K1301" s="7"/>
      <c r="L1301" s="7"/>
      <c r="M1301" s="1" t="str">
        <f>IF(E1301="","",E1301&amp;"|"&amp;COUNTIF($E$5:E1301,E1301))</f>
        <v/>
      </c>
    </row>
    <row r="1302" spans="2:13" x14ac:dyDescent="0.2">
      <c r="B1302" s="10"/>
      <c r="C1302" s="7"/>
      <c r="D1302" s="11"/>
      <c r="E1302" s="6"/>
      <c r="F1302" s="12" t="str">
        <f t="shared" si="40"/>
        <v/>
      </c>
      <c r="G1302" s="13" t="str">
        <f t="shared" si="41"/>
        <v/>
      </c>
      <c r="H1302" s="9"/>
      <c r="I1302" s="9"/>
      <c r="J1302" s="14" t="str">
        <f>IF(E1302="","",IFERROR(VLOOKUP(E1302,TabProd,5,FALSE),0)+SUMIFS($H$5:H1302,$E$5:E1302,E1302)-SUMIFS($I$5:I1302,$E$5:E1302,E1302))</f>
        <v/>
      </c>
      <c r="K1302" s="7"/>
      <c r="L1302" s="7"/>
      <c r="M1302" s="1" t="str">
        <f>IF(E1302="","",E1302&amp;"|"&amp;COUNTIF($E$5:E1302,E1302))</f>
        <v/>
      </c>
    </row>
    <row r="1303" spans="2:13" x14ac:dyDescent="0.2">
      <c r="B1303" s="10"/>
      <c r="C1303" s="7"/>
      <c r="D1303" s="11"/>
      <c r="E1303" s="6"/>
      <c r="F1303" s="12" t="str">
        <f t="shared" si="40"/>
        <v/>
      </c>
      <c r="G1303" s="13" t="str">
        <f t="shared" si="41"/>
        <v/>
      </c>
      <c r="H1303" s="9"/>
      <c r="I1303" s="9"/>
      <c r="J1303" s="14" t="str">
        <f>IF(E1303="","",IFERROR(VLOOKUP(E1303,TabProd,5,FALSE),0)+SUMIFS($H$5:H1303,$E$5:E1303,E1303)-SUMIFS($I$5:I1303,$E$5:E1303,E1303))</f>
        <v/>
      </c>
      <c r="K1303" s="7"/>
      <c r="L1303" s="7"/>
      <c r="M1303" s="1" t="str">
        <f>IF(E1303="","",E1303&amp;"|"&amp;COUNTIF($E$5:E1303,E1303))</f>
        <v/>
      </c>
    </row>
    <row r="1304" spans="2:13" x14ac:dyDescent="0.2">
      <c r="B1304" s="10"/>
      <c r="C1304" s="7"/>
      <c r="D1304" s="11"/>
      <c r="E1304" s="6"/>
      <c r="F1304" s="12" t="str">
        <f t="shared" si="40"/>
        <v/>
      </c>
      <c r="G1304" s="13" t="str">
        <f t="shared" si="41"/>
        <v/>
      </c>
      <c r="H1304" s="9"/>
      <c r="I1304" s="9"/>
      <c r="J1304" s="14" t="str">
        <f>IF(E1304="","",IFERROR(VLOOKUP(E1304,TabProd,5,FALSE),0)+SUMIFS($H$5:H1304,$E$5:E1304,E1304)-SUMIFS($I$5:I1304,$E$5:E1304,E1304))</f>
        <v/>
      </c>
      <c r="K1304" s="7"/>
      <c r="L1304" s="7"/>
      <c r="M1304" s="1" t="str">
        <f>IF(E1304="","",E1304&amp;"|"&amp;COUNTIF($E$5:E1304,E1304))</f>
        <v/>
      </c>
    </row>
    <row r="1305" spans="2:13" x14ac:dyDescent="0.2">
      <c r="B1305" s="10"/>
      <c r="C1305" s="7"/>
      <c r="D1305" s="11"/>
      <c r="E1305" s="6"/>
      <c r="F1305" s="12" t="str">
        <f t="shared" si="40"/>
        <v/>
      </c>
      <c r="G1305" s="13" t="str">
        <f t="shared" si="41"/>
        <v/>
      </c>
      <c r="H1305" s="9"/>
      <c r="I1305" s="9"/>
      <c r="J1305" s="14" t="str">
        <f>IF(E1305="","",IFERROR(VLOOKUP(E1305,TabProd,5,FALSE),0)+SUMIFS($H$5:H1305,$E$5:E1305,E1305)-SUMIFS($I$5:I1305,$E$5:E1305,E1305))</f>
        <v/>
      </c>
      <c r="K1305" s="7"/>
      <c r="L1305" s="7"/>
      <c r="M1305" s="1" t="str">
        <f>IF(E1305="","",E1305&amp;"|"&amp;COUNTIF($E$5:E1305,E1305))</f>
        <v/>
      </c>
    </row>
    <row r="1306" spans="2:13" x14ac:dyDescent="0.2">
      <c r="B1306" s="10"/>
      <c r="C1306" s="7"/>
      <c r="D1306" s="11"/>
      <c r="E1306" s="6"/>
      <c r="F1306" s="12" t="str">
        <f t="shared" si="40"/>
        <v/>
      </c>
      <c r="G1306" s="13" t="str">
        <f t="shared" si="41"/>
        <v/>
      </c>
      <c r="H1306" s="9"/>
      <c r="I1306" s="9"/>
      <c r="J1306" s="14" t="str">
        <f>IF(E1306="","",IFERROR(VLOOKUP(E1306,TabProd,5,FALSE),0)+SUMIFS($H$5:H1306,$E$5:E1306,E1306)-SUMIFS($I$5:I1306,$E$5:E1306,E1306))</f>
        <v/>
      </c>
      <c r="K1306" s="7"/>
      <c r="L1306" s="7"/>
      <c r="M1306" s="1" t="str">
        <f>IF(E1306="","",E1306&amp;"|"&amp;COUNTIF($E$5:E1306,E1306))</f>
        <v/>
      </c>
    </row>
    <row r="1307" spans="2:13" x14ac:dyDescent="0.2">
      <c r="B1307" s="10"/>
      <c r="C1307" s="7"/>
      <c r="D1307" s="11"/>
      <c r="E1307" s="6"/>
      <c r="F1307" s="12" t="str">
        <f t="shared" si="40"/>
        <v/>
      </c>
      <c r="G1307" s="13" t="str">
        <f t="shared" si="41"/>
        <v/>
      </c>
      <c r="H1307" s="9"/>
      <c r="I1307" s="9"/>
      <c r="J1307" s="14" t="str">
        <f>IF(E1307="","",IFERROR(VLOOKUP(E1307,TabProd,5,FALSE),0)+SUMIFS($H$5:H1307,$E$5:E1307,E1307)-SUMIFS($I$5:I1307,$E$5:E1307,E1307))</f>
        <v/>
      </c>
      <c r="K1307" s="7"/>
      <c r="L1307" s="7"/>
      <c r="M1307" s="1" t="str">
        <f>IF(E1307="","",E1307&amp;"|"&amp;COUNTIF($E$5:E1307,E1307))</f>
        <v/>
      </c>
    </row>
    <row r="1308" spans="2:13" x14ac:dyDescent="0.2">
      <c r="B1308" s="10"/>
      <c r="C1308" s="7"/>
      <c r="D1308" s="11"/>
      <c r="E1308" s="6"/>
      <c r="F1308" s="12" t="str">
        <f t="shared" si="40"/>
        <v/>
      </c>
      <c r="G1308" s="13" t="str">
        <f t="shared" si="41"/>
        <v/>
      </c>
      <c r="H1308" s="9"/>
      <c r="I1308" s="9"/>
      <c r="J1308" s="14" t="str">
        <f>IF(E1308="","",IFERROR(VLOOKUP(E1308,TabProd,5,FALSE),0)+SUMIFS($H$5:H1308,$E$5:E1308,E1308)-SUMIFS($I$5:I1308,$E$5:E1308,E1308))</f>
        <v/>
      </c>
      <c r="K1308" s="7"/>
      <c r="L1308" s="7"/>
      <c r="M1308" s="1" t="str">
        <f>IF(E1308="","",E1308&amp;"|"&amp;COUNTIF($E$5:E1308,E1308))</f>
        <v/>
      </c>
    </row>
    <row r="1309" spans="2:13" x14ac:dyDescent="0.2">
      <c r="B1309" s="10"/>
      <c r="C1309" s="7"/>
      <c r="D1309" s="11"/>
      <c r="E1309" s="6"/>
      <c r="F1309" s="12" t="str">
        <f t="shared" si="40"/>
        <v/>
      </c>
      <c r="G1309" s="13" t="str">
        <f t="shared" si="41"/>
        <v/>
      </c>
      <c r="H1309" s="9"/>
      <c r="I1309" s="9"/>
      <c r="J1309" s="14" t="str">
        <f>IF(E1309="","",IFERROR(VLOOKUP(E1309,TabProd,5,FALSE),0)+SUMIFS($H$5:H1309,$E$5:E1309,E1309)-SUMIFS($I$5:I1309,$E$5:E1309,E1309))</f>
        <v/>
      </c>
      <c r="K1309" s="7"/>
      <c r="L1309" s="7"/>
      <c r="M1309" s="1" t="str">
        <f>IF(E1309="","",E1309&amp;"|"&amp;COUNTIF($E$5:E1309,E1309))</f>
        <v/>
      </c>
    </row>
    <row r="1310" spans="2:13" x14ac:dyDescent="0.2">
      <c r="B1310" s="10"/>
      <c r="C1310" s="7"/>
      <c r="D1310" s="11"/>
      <c r="E1310" s="6"/>
      <c r="F1310" s="12" t="str">
        <f t="shared" si="40"/>
        <v/>
      </c>
      <c r="G1310" s="13" t="str">
        <f t="shared" si="41"/>
        <v/>
      </c>
      <c r="H1310" s="9"/>
      <c r="I1310" s="9"/>
      <c r="J1310" s="14" t="str">
        <f>IF(E1310="","",IFERROR(VLOOKUP(E1310,TabProd,5,FALSE),0)+SUMIFS($H$5:H1310,$E$5:E1310,E1310)-SUMIFS($I$5:I1310,$E$5:E1310,E1310))</f>
        <v/>
      </c>
      <c r="K1310" s="7"/>
      <c r="L1310" s="7"/>
      <c r="M1310" s="1" t="str">
        <f>IF(E1310="","",E1310&amp;"|"&amp;COUNTIF($E$5:E1310,E1310))</f>
        <v/>
      </c>
    </row>
    <row r="1311" spans="2:13" x14ac:dyDescent="0.2">
      <c r="B1311" s="10"/>
      <c r="C1311" s="7"/>
      <c r="D1311" s="11"/>
      <c r="E1311" s="6"/>
      <c r="F1311" s="12" t="str">
        <f t="shared" si="40"/>
        <v/>
      </c>
      <c r="G1311" s="13" t="str">
        <f t="shared" si="41"/>
        <v/>
      </c>
      <c r="H1311" s="9"/>
      <c r="I1311" s="9"/>
      <c r="J1311" s="14" t="str">
        <f>IF(E1311="","",IFERROR(VLOOKUP(E1311,TabProd,5,FALSE),0)+SUMIFS($H$5:H1311,$E$5:E1311,E1311)-SUMIFS($I$5:I1311,$E$5:E1311,E1311))</f>
        <v/>
      </c>
      <c r="K1311" s="7"/>
      <c r="L1311" s="7"/>
      <c r="M1311" s="1" t="str">
        <f>IF(E1311="","",E1311&amp;"|"&amp;COUNTIF($E$5:E1311,E1311))</f>
        <v/>
      </c>
    </row>
    <row r="1312" spans="2:13" x14ac:dyDescent="0.2">
      <c r="B1312" s="10"/>
      <c r="C1312" s="7"/>
      <c r="D1312" s="11"/>
      <c r="E1312" s="6"/>
      <c r="F1312" s="12" t="str">
        <f t="shared" si="40"/>
        <v/>
      </c>
      <c r="G1312" s="13" t="str">
        <f t="shared" si="41"/>
        <v/>
      </c>
      <c r="H1312" s="9"/>
      <c r="I1312" s="9"/>
      <c r="J1312" s="14" t="str">
        <f>IF(E1312="","",IFERROR(VLOOKUP(E1312,TabProd,5,FALSE),0)+SUMIFS($H$5:H1312,$E$5:E1312,E1312)-SUMIFS($I$5:I1312,$E$5:E1312,E1312))</f>
        <v/>
      </c>
      <c r="K1312" s="7"/>
      <c r="L1312" s="7"/>
      <c r="M1312" s="1" t="str">
        <f>IF(E1312="","",E1312&amp;"|"&amp;COUNTIF($E$5:E1312,E1312))</f>
        <v/>
      </c>
    </row>
    <row r="1313" spans="2:13" x14ac:dyDescent="0.2">
      <c r="B1313" s="10"/>
      <c r="C1313" s="7"/>
      <c r="D1313" s="11"/>
      <c r="E1313" s="6"/>
      <c r="F1313" s="12" t="str">
        <f t="shared" si="40"/>
        <v/>
      </c>
      <c r="G1313" s="13" t="str">
        <f t="shared" si="41"/>
        <v/>
      </c>
      <c r="H1313" s="9"/>
      <c r="I1313" s="9"/>
      <c r="J1313" s="14" t="str">
        <f>IF(E1313="","",IFERROR(VLOOKUP(E1313,TabProd,5,FALSE),0)+SUMIFS($H$5:H1313,$E$5:E1313,E1313)-SUMIFS($I$5:I1313,$E$5:E1313,E1313))</f>
        <v/>
      </c>
      <c r="K1313" s="7"/>
      <c r="L1313" s="7"/>
      <c r="M1313" s="1" t="str">
        <f>IF(E1313="","",E1313&amp;"|"&amp;COUNTIF($E$5:E1313,E1313))</f>
        <v/>
      </c>
    </row>
    <row r="1314" spans="2:13" x14ac:dyDescent="0.2">
      <c r="B1314" s="10"/>
      <c r="C1314" s="7"/>
      <c r="D1314" s="11"/>
      <c r="E1314" s="6"/>
      <c r="F1314" s="12" t="str">
        <f t="shared" si="40"/>
        <v/>
      </c>
      <c r="G1314" s="13" t="str">
        <f t="shared" si="41"/>
        <v/>
      </c>
      <c r="H1314" s="9"/>
      <c r="I1314" s="9"/>
      <c r="J1314" s="14" t="str">
        <f>IF(E1314="","",IFERROR(VLOOKUP(E1314,TabProd,5,FALSE),0)+SUMIFS($H$5:H1314,$E$5:E1314,E1314)-SUMIFS($I$5:I1314,$E$5:E1314,E1314))</f>
        <v/>
      </c>
      <c r="K1314" s="7"/>
      <c r="L1314" s="7"/>
      <c r="M1314" s="1" t="str">
        <f>IF(E1314="","",E1314&amp;"|"&amp;COUNTIF($E$5:E1314,E1314))</f>
        <v/>
      </c>
    </row>
    <row r="1315" spans="2:13" x14ac:dyDescent="0.2">
      <c r="B1315" s="10"/>
      <c r="C1315" s="7"/>
      <c r="D1315" s="11"/>
      <c r="E1315" s="6"/>
      <c r="F1315" s="12" t="str">
        <f t="shared" si="40"/>
        <v/>
      </c>
      <c r="G1315" s="13" t="str">
        <f t="shared" si="41"/>
        <v/>
      </c>
      <c r="H1315" s="9"/>
      <c r="I1315" s="9"/>
      <c r="J1315" s="14" t="str">
        <f>IF(E1315="","",IFERROR(VLOOKUP(E1315,TabProd,5,FALSE),0)+SUMIFS($H$5:H1315,$E$5:E1315,E1315)-SUMIFS($I$5:I1315,$E$5:E1315,E1315))</f>
        <v/>
      </c>
      <c r="K1315" s="7"/>
      <c r="L1315" s="7"/>
      <c r="M1315" s="1" t="str">
        <f>IF(E1315="","",E1315&amp;"|"&amp;COUNTIF($E$5:E1315,E1315))</f>
        <v/>
      </c>
    </row>
    <row r="1316" spans="2:13" x14ac:dyDescent="0.2">
      <c r="B1316" s="10"/>
      <c r="C1316" s="7"/>
      <c r="D1316" s="11"/>
      <c r="E1316" s="6"/>
      <c r="F1316" s="12" t="str">
        <f t="shared" si="40"/>
        <v/>
      </c>
      <c r="G1316" s="13" t="str">
        <f t="shared" si="41"/>
        <v/>
      </c>
      <c r="H1316" s="9"/>
      <c r="I1316" s="9"/>
      <c r="J1316" s="14" t="str">
        <f>IF(E1316="","",IFERROR(VLOOKUP(E1316,TabProd,5,FALSE),0)+SUMIFS($H$5:H1316,$E$5:E1316,E1316)-SUMIFS($I$5:I1316,$E$5:E1316,E1316))</f>
        <v/>
      </c>
      <c r="K1316" s="7"/>
      <c r="L1316" s="7"/>
      <c r="M1316" s="1" t="str">
        <f>IF(E1316="","",E1316&amp;"|"&amp;COUNTIF($E$5:E1316,E1316))</f>
        <v/>
      </c>
    </row>
    <row r="1317" spans="2:13" x14ac:dyDescent="0.2">
      <c r="B1317" s="10"/>
      <c r="C1317" s="7"/>
      <c r="D1317" s="11"/>
      <c r="E1317" s="6"/>
      <c r="F1317" s="12" t="str">
        <f t="shared" si="40"/>
        <v/>
      </c>
      <c r="G1317" s="13" t="str">
        <f t="shared" si="41"/>
        <v/>
      </c>
      <c r="H1317" s="9"/>
      <c r="I1317" s="9"/>
      <c r="J1317" s="14" t="str">
        <f>IF(E1317="","",IFERROR(VLOOKUP(E1317,TabProd,5,FALSE),0)+SUMIFS($H$5:H1317,$E$5:E1317,E1317)-SUMIFS($I$5:I1317,$E$5:E1317,E1317))</f>
        <v/>
      </c>
      <c r="K1317" s="7"/>
      <c r="L1317" s="7"/>
      <c r="M1317" s="1" t="str">
        <f>IF(E1317="","",E1317&amp;"|"&amp;COUNTIF($E$5:E1317,E1317))</f>
        <v/>
      </c>
    </row>
    <row r="1318" spans="2:13" x14ac:dyDescent="0.2">
      <c r="B1318" s="10"/>
      <c r="C1318" s="7"/>
      <c r="D1318" s="11"/>
      <c r="E1318" s="6"/>
      <c r="F1318" s="12" t="str">
        <f t="shared" si="40"/>
        <v/>
      </c>
      <c r="G1318" s="13" t="str">
        <f t="shared" si="41"/>
        <v/>
      </c>
      <c r="H1318" s="9"/>
      <c r="I1318" s="9"/>
      <c r="J1318" s="14" t="str">
        <f>IF(E1318="","",IFERROR(VLOOKUP(E1318,TabProd,5,FALSE),0)+SUMIFS($H$5:H1318,$E$5:E1318,E1318)-SUMIFS($I$5:I1318,$E$5:E1318,E1318))</f>
        <v/>
      </c>
      <c r="K1318" s="7"/>
      <c r="L1318" s="7"/>
      <c r="M1318" s="1" t="str">
        <f>IF(E1318="","",E1318&amp;"|"&amp;COUNTIF($E$5:E1318,E1318))</f>
        <v/>
      </c>
    </row>
    <row r="1319" spans="2:13" x14ac:dyDescent="0.2">
      <c r="B1319" s="10"/>
      <c r="C1319" s="7"/>
      <c r="D1319" s="11"/>
      <c r="E1319" s="6"/>
      <c r="F1319" s="12" t="str">
        <f t="shared" si="40"/>
        <v/>
      </c>
      <c r="G1319" s="13" t="str">
        <f t="shared" si="41"/>
        <v/>
      </c>
      <c r="H1319" s="9"/>
      <c r="I1319" s="9"/>
      <c r="J1319" s="14" t="str">
        <f>IF(E1319="","",IFERROR(VLOOKUP(E1319,TabProd,5,FALSE),0)+SUMIFS($H$5:H1319,$E$5:E1319,E1319)-SUMIFS($I$5:I1319,$E$5:E1319,E1319))</f>
        <v/>
      </c>
      <c r="K1319" s="7"/>
      <c r="L1319" s="7"/>
      <c r="M1319" s="1" t="str">
        <f>IF(E1319="","",E1319&amp;"|"&amp;COUNTIF($E$5:E1319,E1319))</f>
        <v/>
      </c>
    </row>
    <row r="1320" spans="2:13" x14ac:dyDescent="0.2">
      <c r="B1320" s="10"/>
      <c r="C1320" s="7"/>
      <c r="D1320" s="11"/>
      <c r="E1320" s="6"/>
      <c r="F1320" s="12" t="str">
        <f t="shared" si="40"/>
        <v/>
      </c>
      <c r="G1320" s="13" t="str">
        <f t="shared" si="41"/>
        <v/>
      </c>
      <c r="H1320" s="9"/>
      <c r="I1320" s="9"/>
      <c r="J1320" s="14" t="str">
        <f>IF(E1320="","",IFERROR(VLOOKUP(E1320,TabProd,5,FALSE),0)+SUMIFS($H$5:H1320,$E$5:E1320,E1320)-SUMIFS($I$5:I1320,$E$5:E1320,E1320))</f>
        <v/>
      </c>
      <c r="K1320" s="7"/>
      <c r="L1320" s="7"/>
      <c r="M1320" s="1" t="str">
        <f>IF(E1320="","",E1320&amp;"|"&amp;COUNTIF($E$5:E1320,E1320))</f>
        <v/>
      </c>
    </row>
    <row r="1321" spans="2:13" x14ac:dyDescent="0.2">
      <c r="B1321" s="10"/>
      <c r="C1321" s="7"/>
      <c r="D1321" s="11"/>
      <c r="E1321" s="6"/>
      <c r="F1321" s="12" t="str">
        <f t="shared" si="40"/>
        <v/>
      </c>
      <c r="G1321" s="13" t="str">
        <f t="shared" si="41"/>
        <v/>
      </c>
      <c r="H1321" s="9"/>
      <c r="I1321" s="9"/>
      <c r="J1321" s="14" t="str">
        <f>IF(E1321="","",IFERROR(VLOOKUP(E1321,TabProd,5,FALSE),0)+SUMIFS($H$5:H1321,$E$5:E1321,E1321)-SUMIFS($I$5:I1321,$E$5:E1321,E1321))</f>
        <v/>
      </c>
      <c r="K1321" s="7"/>
      <c r="L1321" s="7"/>
      <c r="M1321" s="1" t="str">
        <f>IF(E1321="","",E1321&amp;"|"&amp;COUNTIF($E$5:E1321,E1321))</f>
        <v/>
      </c>
    </row>
    <row r="1322" spans="2:13" x14ac:dyDescent="0.2">
      <c r="B1322" s="10"/>
      <c r="C1322" s="7"/>
      <c r="D1322" s="11"/>
      <c r="E1322" s="6"/>
      <c r="F1322" s="12" t="str">
        <f t="shared" si="40"/>
        <v/>
      </c>
      <c r="G1322" s="13" t="str">
        <f t="shared" si="41"/>
        <v/>
      </c>
      <c r="H1322" s="9"/>
      <c r="I1322" s="9"/>
      <c r="J1322" s="14" t="str">
        <f>IF(E1322="","",IFERROR(VLOOKUP(E1322,TabProd,5,FALSE),0)+SUMIFS($H$5:H1322,$E$5:E1322,E1322)-SUMIFS($I$5:I1322,$E$5:E1322,E1322))</f>
        <v/>
      </c>
      <c r="K1322" s="7"/>
      <c r="L1322" s="7"/>
      <c r="M1322" s="1" t="str">
        <f>IF(E1322="","",E1322&amp;"|"&amp;COUNTIF($E$5:E1322,E1322))</f>
        <v/>
      </c>
    </row>
    <row r="1323" spans="2:13" x14ac:dyDescent="0.2">
      <c r="B1323" s="10"/>
      <c r="C1323" s="7"/>
      <c r="D1323" s="11"/>
      <c r="E1323" s="6"/>
      <c r="F1323" s="12" t="str">
        <f t="shared" si="40"/>
        <v/>
      </c>
      <c r="G1323" s="13" t="str">
        <f t="shared" si="41"/>
        <v/>
      </c>
      <c r="H1323" s="9"/>
      <c r="I1323" s="9"/>
      <c r="J1323" s="14" t="str">
        <f>IF(E1323="","",IFERROR(VLOOKUP(E1323,TabProd,5,FALSE),0)+SUMIFS($H$5:H1323,$E$5:E1323,E1323)-SUMIFS($I$5:I1323,$E$5:E1323,E1323))</f>
        <v/>
      </c>
      <c r="K1323" s="7"/>
      <c r="L1323" s="7"/>
      <c r="M1323" s="1" t="str">
        <f>IF(E1323="","",E1323&amp;"|"&amp;COUNTIF($E$5:E1323,E1323))</f>
        <v/>
      </c>
    </row>
    <row r="1324" spans="2:13" x14ac:dyDescent="0.2">
      <c r="B1324" s="10"/>
      <c r="C1324" s="7"/>
      <c r="D1324" s="11"/>
      <c r="E1324" s="6"/>
      <c r="F1324" s="12" t="str">
        <f t="shared" si="40"/>
        <v/>
      </c>
      <c r="G1324" s="13" t="str">
        <f t="shared" si="41"/>
        <v/>
      </c>
      <c r="H1324" s="9"/>
      <c r="I1324" s="9"/>
      <c r="J1324" s="14" t="str">
        <f>IF(E1324="","",IFERROR(VLOOKUP(E1324,TabProd,5,FALSE),0)+SUMIFS($H$5:H1324,$E$5:E1324,E1324)-SUMIFS($I$5:I1324,$E$5:E1324,E1324))</f>
        <v/>
      </c>
      <c r="K1324" s="7"/>
      <c r="L1324" s="7"/>
      <c r="M1324" s="1" t="str">
        <f>IF(E1324="","",E1324&amp;"|"&amp;COUNTIF($E$5:E1324,E1324))</f>
        <v/>
      </c>
    </row>
    <row r="1325" spans="2:13" x14ac:dyDescent="0.2">
      <c r="B1325" s="10"/>
      <c r="C1325" s="7"/>
      <c r="D1325" s="11"/>
      <c r="E1325" s="6"/>
      <c r="F1325" s="12" t="str">
        <f t="shared" si="40"/>
        <v/>
      </c>
      <c r="G1325" s="13" t="str">
        <f t="shared" si="41"/>
        <v/>
      </c>
      <c r="H1325" s="9"/>
      <c r="I1325" s="9"/>
      <c r="J1325" s="14" t="str">
        <f>IF(E1325="","",IFERROR(VLOOKUP(E1325,TabProd,5,FALSE),0)+SUMIFS($H$5:H1325,$E$5:E1325,E1325)-SUMIFS($I$5:I1325,$E$5:E1325,E1325))</f>
        <v/>
      </c>
      <c r="K1325" s="7"/>
      <c r="L1325" s="7"/>
      <c r="M1325" s="1" t="str">
        <f>IF(E1325="","",E1325&amp;"|"&amp;COUNTIF($E$5:E1325,E1325))</f>
        <v/>
      </c>
    </row>
    <row r="1326" spans="2:13" x14ac:dyDescent="0.2">
      <c r="B1326" s="10"/>
      <c r="C1326" s="7"/>
      <c r="D1326" s="11"/>
      <c r="E1326" s="6"/>
      <c r="F1326" s="12" t="str">
        <f t="shared" si="40"/>
        <v/>
      </c>
      <c r="G1326" s="13" t="str">
        <f t="shared" si="41"/>
        <v/>
      </c>
      <c r="H1326" s="9"/>
      <c r="I1326" s="9"/>
      <c r="J1326" s="14" t="str">
        <f>IF(E1326="","",IFERROR(VLOOKUP(E1326,TabProd,5,FALSE),0)+SUMIFS($H$5:H1326,$E$5:E1326,E1326)-SUMIFS($I$5:I1326,$E$5:E1326,E1326))</f>
        <v/>
      </c>
      <c r="K1326" s="7"/>
      <c r="L1326" s="7"/>
      <c r="M1326" s="1" t="str">
        <f>IF(E1326="","",E1326&amp;"|"&amp;COUNTIF($E$5:E1326,E1326))</f>
        <v/>
      </c>
    </row>
    <row r="1327" spans="2:13" x14ac:dyDescent="0.2">
      <c r="B1327" s="10"/>
      <c r="C1327" s="7"/>
      <c r="D1327" s="11"/>
      <c r="E1327" s="6"/>
      <c r="F1327" s="12" t="str">
        <f t="shared" si="40"/>
        <v/>
      </c>
      <c r="G1327" s="13" t="str">
        <f t="shared" si="41"/>
        <v/>
      </c>
      <c r="H1327" s="9"/>
      <c r="I1327" s="9"/>
      <c r="J1327" s="14" t="str">
        <f>IF(E1327="","",IFERROR(VLOOKUP(E1327,TabProd,5,FALSE),0)+SUMIFS($H$5:H1327,$E$5:E1327,E1327)-SUMIFS($I$5:I1327,$E$5:E1327,E1327))</f>
        <v/>
      </c>
      <c r="K1327" s="7"/>
      <c r="L1327" s="7"/>
      <c r="M1327" s="1" t="str">
        <f>IF(E1327="","",E1327&amp;"|"&amp;COUNTIF($E$5:E1327,E1327))</f>
        <v/>
      </c>
    </row>
    <row r="1328" spans="2:13" x14ac:dyDescent="0.2">
      <c r="B1328" s="10"/>
      <c r="C1328" s="7"/>
      <c r="D1328" s="11"/>
      <c r="E1328" s="6"/>
      <c r="F1328" s="12" t="str">
        <f t="shared" si="40"/>
        <v/>
      </c>
      <c r="G1328" s="13" t="str">
        <f t="shared" si="41"/>
        <v/>
      </c>
      <c r="H1328" s="9"/>
      <c r="I1328" s="9"/>
      <c r="J1328" s="14" t="str">
        <f>IF(E1328="","",IFERROR(VLOOKUP(E1328,TabProd,5,FALSE),0)+SUMIFS($H$5:H1328,$E$5:E1328,E1328)-SUMIFS($I$5:I1328,$E$5:E1328,E1328))</f>
        <v/>
      </c>
      <c r="K1328" s="7"/>
      <c r="L1328" s="7"/>
      <c r="M1328" s="1" t="str">
        <f>IF(E1328="","",E1328&amp;"|"&amp;COUNTIF($E$5:E1328,E1328))</f>
        <v/>
      </c>
    </row>
    <row r="1329" spans="2:13" x14ac:dyDescent="0.2">
      <c r="B1329" s="10"/>
      <c r="C1329" s="7"/>
      <c r="D1329" s="11"/>
      <c r="E1329" s="6"/>
      <c r="F1329" s="12" t="str">
        <f t="shared" si="40"/>
        <v/>
      </c>
      <c r="G1329" s="13" t="str">
        <f t="shared" si="41"/>
        <v/>
      </c>
      <c r="H1329" s="9"/>
      <c r="I1329" s="9"/>
      <c r="J1329" s="14" t="str">
        <f>IF(E1329="","",IFERROR(VLOOKUP(E1329,TabProd,5,FALSE),0)+SUMIFS($H$5:H1329,$E$5:E1329,E1329)-SUMIFS($I$5:I1329,$E$5:E1329,E1329))</f>
        <v/>
      </c>
      <c r="K1329" s="7"/>
      <c r="L1329" s="7"/>
      <c r="M1329" s="1" t="str">
        <f>IF(E1329="","",E1329&amp;"|"&amp;COUNTIF($E$5:E1329,E1329))</f>
        <v/>
      </c>
    </row>
    <row r="1330" spans="2:13" x14ac:dyDescent="0.2">
      <c r="B1330" s="10"/>
      <c r="C1330" s="7"/>
      <c r="D1330" s="11"/>
      <c r="E1330" s="6"/>
      <c r="F1330" s="12" t="str">
        <f t="shared" si="40"/>
        <v/>
      </c>
      <c r="G1330" s="13" t="str">
        <f t="shared" si="41"/>
        <v/>
      </c>
      <c r="H1330" s="9"/>
      <c r="I1330" s="9"/>
      <c r="J1330" s="14" t="str">
        <f>IF(E1330="","",IFERROR(VLOOKUP(E1330,TabProd,5,FALSE),0)+SUMIFS($H$5:H1330,$E$5:E1330,E1330)-SUMIFS($I$5:I1330,$E$5:E1330,E1330))</f>
        <v/>
      </c>
      <c r="K1330" s="7"/>
      <c r="L1330" s="7"/>
      <c r="M1330" s="1" t="str">
        <f>IF(E1330="","",E1330&amp;"|"&amp;COUNTIF($E$5:E1330,E1330))</f>
        <v/>
      </c>
    </row>
    <row r="1331" spans="2:13" x14ac:dyDescent="0.2">
      <c r="B1331" s="10"/>
      <c r="C1331" s="7"/>
      <c r="D1331" s="11"/>
      <c r="E1331" s="6"/>
      <c r="F1331" s="12" t="str">
        <f t="shared" si="40"/>
        <v/>
      </c>
      <c r="G1331" s="13" t="str">
        <f t="shared" si="41"/>
        <v/>
      </c>
      <c r="H1331" s="9"/>
      <c r="I1331" s="9"/>
      <c r="J1331" s="14" t="str">
        <f>IF(E1331="","",IFERROR(VLOOKUP(E1331,TabProd,5,FALSE),0)+SUMIFS($H$5:H1331,$E$5:E1331,E1331)-SUMIFS($I$5:I1331,$E$5:E1331,E1331))</f>
        <v/>
      </c>
      <c r="K1331" s="7"/>
      <c r="L1331" s="7"/>
      <c r="M1331" s="1" t="str">
        <f>IF(E1331="","",E1331&amp;"|"&amp;COUNTIF($E$5:E1331,E1331))</f>
        <v/>
      </c>
    </row>
    <row r="1332" spans="2:13" x14ac:dyDescent="0.2">
      <c r="B1332" s="10"/>
      <c r="C1332" s="7"/>
      <c r="D1332" s="11"/>
      <c r="E1332" s="6"/>
      <c r="F1332" s="12" t="str">
        <f t="shared" si="40"/>
        <v/>
      </c>
      <c r="G1332" s="13" t="str">
        <f t="shared" si="41"/>
        <v/>
      </c>
      <c r="H1332" s="9"/>
      <c r="I1332" s="9"/>
      <c r="J1332" s="14" t="str">
        <f>IF(E1332="","",IFERROR(VLOOKUP(E1332,TabProd,5,FALSE),0)+SUMIFS($H$5:H1332,$E$5:E1332,E1332)-SUMIFS($I$5:I1332,$E$5:E1332,E1332))</f>
        <v/>
      </c>
      <c r="K1332" s="7"/>
      <c r="L1332" s="7"/>
      <c r="M1332" s="1" t="str">
        <f>IF(E1332="","",E1332&amp;"|"&amp;COUNTIF($E$5:E1332,E1332))</f>
        <v/>
      </c>
    </row>
    <row r="1333" spans="2:13" x14ac:dyDescent="0.2">
      <c r="B1333" s="10"/>
      <c r="C1333" s="7"/>
      <c r="D1333" s="11"/>
      <c r="E1333" s="6"/>
      <c r="F1333" s="12" t="str">
        <f t="shared" si="40"/>
        <v/>
      </c>
      <c r="G1333" s="13" t="str">
        <f t="shared" si="41"/>
        <v/>
      </c>
      <c r="H1333" s="9"/>
      <c r="I1333" s="9"/>
      <c r="J1333" s="14" t="str">
        <f>IF(E1333="","",IFERROR(VLOOKUP(E1333,TabProd,5,FALSE),0)+SUMIFS($H$5:H1333,$E$5:E1333,E1333)-SUMIFS($I$5:I1333,$E$5:E1333,E1333))</f>
        <v/>
      </c>
      <c r="K1333" s="7"/>
      <c r="L1333" s="7"/>
      <c r="M1333" s="1" t="str">
        <f>IF(E1333="","",E1333&amp;"|"&amp;COUNTIF($E$5:E1333,E1333))</f>
        <v/>
      </c>
    </row>
    <row r="1334" spans="2:13" x14ac:dyDescent="0.2">
      <c r="B1334" s="10"/>
      <c r="C1334" s="7"/>
      <c r="D1334" s="11"/>
      <c r="E1334" s="6"/>
      <c r="F1334" s="12" t="str">
        <f t="shared" si="40"/>
        <v/>
      </c>
      <c r="G1334" s="13" t="str">
        <f t="shared" si="41"/>
        <v/>
      </c>
      <c r="H1334" s="9"/>
      <c r="I1334" s="9"/>
      <c r="J1334" s="14" t="str">
        <f>IF(E1334="","",IFERROR(VLOOKUP(E1334,TabProd,5,FALSE),0)+SUMIFS($H$5:H1334,$E$5:E1334,E1334)-SUMIFS($I$5:I1334,$E$5:E1334,E1334))</f>
        <v/>
      </c>
      <c r="K1334" s="7"/>
      <c r="L1334" s="7"/>
      <c r="M1334" s="1" t="str">
        <f>IF(E1334="","",E1334&amp;"|"&amp;COUNTIF($E$5:E1334,E1334))</f>
        <v/>
      </c>
    </row>
    <row r="1335" spans="2:13" x14ac:dyDescent="0.2">
      <c r="B1335" s="10"/>
      <c r="C1335" s="7"/>
      <c r="D1335" s="11"/>
      <c r="E1335" s="6"/>
      <c r="F1335" s="12" t="str">
        <f t="shared" si="40"/>
        <v/>
      </c>
      <c r="G1335" s="13" t="str">
        <f t="shared" si="41"/>
        <v/>
      </c>
      <c r="H1335" s="9"/>
      <c r="I1335" s="9"/>
      <c r="J1335" s="14" t="str">
        <f>IF(E1335="","",IFERROR(VLOOKUP(E1335,TabProd,5,FALSE),0)+SUMIFS($H$5:H1335,$E$5:E1335,E1335)-SUMIFS($I$5:I1335,$E$5:E1335,E1335))</f>
        <v/>
      </c>
      <c r="K1335" s="7"/>
      <c r="L1335" s="7"/>
      <c r="M1335" s="1" t="str">
        <f>IF(E1335="","",E1335&amp;"|"&amp;COUNTIF($E$5:E1335,E1335))</f>
        <v/>
      </c>
    </row>
    <row r="1336" spans="2:13" x14ac:dyDescent="0.2">
      <c r="B1336" s="10"/>
      <c r="C1336" s="7"/>
      <c r="D1336" s="11"/>
      <c r="E1336" s="6"/>
      <c r="F1336" s="12" t="str">
        <f t="shared" si="40"/>
        <v/>
      </c>
      <c r="G1336" s="13" t="str">
        <f t="shared" si="41"/>
        <v/>
      </c>
      <c r="H1336" s="9"/>
      <c r="I1336" s="9"/>
      <c r="J1336" s="14" t="str">
        <f>IF(E1336="","",IFERROR(VLOOKUP(E1336,TabProd,5,FALSE),0)+SUMIFS($H$5:H1336,$E$5:E1336,E1336)-SUMIFS($I$5:I1336,$E$5:E1336,E1336))</f>
        <v/>
      </c>
      <c r="K1336" s="7"/>
      <c r="L1336" s="7"/>
      <c r="M1336" s="1" t="str">
        <f>IF(E1336="","",E1336&amp;"|"&amp;COUNTIF($E$5:E1336,E1336))</f>
        <v/>
      </c>
    </row>
    <row r="1337" spans="2:13" x14ac:dyDescent="0.2">
      <c r="B1337" s="10"/>
      <c r="C1337" s="7"/>
      <c r="D1337" s="11"/>
      <c r="E1337" s="6"/>
      <c r="F1337" s="12" t="str">
        <f t="shared" si="40"/>
        <v/>
      </c>
      <c r="G1337" s="13" t="str">
        <f t="shared" si="41"/>
        <v/>
      </c>
      <c r="H1337" s="9"/>
      <c r="I1337" s="9"/>
      <c r="J1337" s="14" t="str">
        <f>IF(E1337="","",IFERROR(VLOOKUP(E1337,TabProd,5,FALSE),0)+SUMIFS($H$5:H1337,$E$5:E1337,E1337)-SUMIFS($I$5:I1337,$E$5:E1337,E1337))</f>
        <v/>
      </c>
      <c r="K1337" s="7"/>
      <c r="L1337" s="7"/>
      <c r="M1337" s="1" t="str">
        <f>IF(E1337="","",E1337&amp;"|"&amp;COUNTIF($E$5:E1337,E1337))</f>
        <v/>
      </c>
    </row>
    <row r="1338" spans="2:13" x14ac:dyDescent="0.2">
      <c r="B1338" s="10"/>
      <c r="C1338" s="7"/>
      <c r="D1338" s="11"/>
      <c r="E1338" s="6"/>
      <c r="F1338" s="12" t="str">
        <f t="shared" si="40"/>
        <v/>
      </c>
      <c r="G1338" s="13" t="str">
        <f t="shared" si="41"/>
        <v/>
      </c>
      <c r="H1338" s="9"/>
      <c r="I1338" s="9"/>
      <c r="J1338" s="14" t="str">
        <f>IF(E1338="","",IFERROR(VLOOKUP(E1338,TabProd,5,FALSE),0)+SUMIFS($H$5:H1338,$E$5:E1338,E1338)-SUMIFS($I$5:I1338,$E$5:E1338,E1338))</f>
        <v/>
      </c>
      <c r="K1338" s="7"/>
      <c r="L1338" s="7"/>
      <c r="M1338" s="1" t="str">
        <f>IF(E1338="","",E1338&amp;"|"&amp;COUNTIF($E$5:E1338,E1338))</f>
        <v/>
      </c>
    </row>
    <row r="1339" spans="2:13" x14ac:dyDescent="0.2">
      <c r="B1339" s="10"/>
      <c r="C1339" s="7"/>
      <c r="D1339" s="11"/>
      <c r="E1339" s="6"/>
      <c r="F1339" s="12" t="str">
        <f t="shared" si="40"/>
        <v/>
      </c>
      <c r="G1339" s="13" t="str">
        <f t="shared" si="41"/>
        <v/>
      </c>
      <c r="H1339" s="9"/>
      <c r="I1339" s="9"/>
      <c r="J1339" s="14" t="str">
        <f>IF(E1339="","",IFERROR(VLOOKUP(E1339,TabProd,5,FALSE),0)+SUMIFS($H$5:H1339,$E$5:E1339,E1339)-SUMIFS($I$5:I1339,$E$5:E1339,E1339))</f>
        <v/>
      </c>
      <c r="K1339" s="7"/>
      <c r="L1339" s="7"/>
      <c r="M1339" s="1" t="str">
        <f>IF(E1339="","",E1339&amp;"|"&amp;COUNTIF($E$5:E1339,E1339))</f>
        <v/>
      </c>
    </row>
    <row r="1340" spans="2:13" x14ac:dyDescent="0.2">
      <c r="B1340" s="10"/>
      <c r="C1340" s="7"/>
      <c r="D1340" s="11"/>
      <c r="E1340" s="6"/>
      <c r="F1340" s="12" t="str">
        <f t="shared" si="40"/>
        <v/>
      </c>
      <c r="G1340" s="13" t="str">
        <f t="shared" si="41"/>
        <v/>
      </c>
      <c r="H1340" s="9"/>
      <c r="I1340" s="9"/>
      <c r="J1340" s="14" t="str">
        <f>IF(E1340="","",IFERROR(VLOOKUP(E1340,TabProd,5,FALSE),0)+SUMIFS($H$5:H1340,$E$5:E1340,E1340)-SUMIFS($I$5:I1340,$E$5:E1340,E1340))</f>
        <v/>
      </c>
      <c r="K1340" s="7"/>
      <c r="L1340" s="7"/>
      <c r="M1340" s="1" t="str">
        <f>IF(E1340="","",E1340&amp;"|"&amp;COUNTIF($E$5:E1340,E1340))</f>
        <v/>
      </c>
    </row>
    <row r="1341" spans="2:13" x14ac:dyDescent="0.2">
      <c r="B1341" s="10"/>
      <c r="C1341" s="7"/>
      <c r="D1341" s="11"/>
      <c r="E1341" s="6"/>
      <c r="F1341" s="12" t="str">
        <f t="shared" si="40"/>
        <v/>
      </c>
      <c r="G1341" s="13" t="str">
        <f t="shared" si="41"/>
        <v/>
      </c>
      <c r="H1341" s="9"/>
      <c r="I1341" s="9"/>
      <c r="J1341" s="14" t="str">
        <f>IF(E1341="","",IFERROR(VLOOKUP(E1341,TabProd,5,FALSE),0)+SUMIFS($H$5:H1341,$E$5:E1341,E1341)-SUMIFS($I$5:I1341,$E$5:E1341,E1341))</f>
        <v/>
      </c>
      <c r="K1341" s="7"/>
      <c r="L1341" s="7"/>
      <c r="M1341" s="1" t="str">
        <f>IF(E1341="","",E1341&amp;"|"&amp;COUNTIF($E$5:E1341,E1341))</f>
        <v/>
      </c>
    </row>
    <row r="1342" spans="2:13" x14ac:dyDescent="0.2">
      <c r="B1342" s="10"/>
      <c r="C1342" s="7"/>
      <c r="D1342" s="11"/>
      <c r="E1342" s="6"/>
      <c r="F1342" s="12" t="str">
        <f t="shared" si="40"/>
        <v/>
      </c>
      <c r="G1342" s="13" t="str">
        <f t="shared" si="41"/>
        <v/>
      </c>
      <c r="H1342" s="9"/>
      <c r="I1342" s="9"/>
      <c r="J1342" s="14" t="str">
        <f>IF(E1342="","",IFERROR(VLOOKUP(E1342,TabProd,5,FALSE),0)+SUMIFS($H$5:H1342,$E$5:E1342,E1342)-SUMIFS($I$5:I1342,$E$5:E1342,E1342))</f>
        <v/>
      </c>
      <c r="K1342" s="7"/>
      <c r="L1342" s="7"/>
      <c r="M1342" s="1" t="str">
        <f>IF(E1342="","",E1342&amp;"|"&amp;COUNTIF($E$5:E1342,E1342))</f>
        <v/>
      </c>
    </row>
    <row r="1343" spans="2:13" x14ac:dyDescent="0.2">
      <c r="B1343" s="10"/>
      <c r="C1343" s="7"/>
      <c r="D1343" s="11"/>
      <c r="E1343" s="6"/>
      <c r="F1343" s="12" t="str">
        <f t="shared" si="40"/>
        <v/>
      </c>
      <c r="G1343" s="13" t="str">
        <f t="shared" si="41"/>
        <v/>
      </c>
      <c r="H1343" s="9"/>
      <c r="I1343" s="9"/>
      <c r="J1343" s="14" t="str">
        <f>IF(E1343="","",IFERROR(VLOOKUP(E1343,TabProd,5,FALSE),0)+SUMIFS($H$5:H1343,$E$5:E1343,E1343)-SUMIFS($I$5:I1343,$E$5:E1343,E1343))</f>
        <v/>
      </c>
      <c r="K1343" s="7"/>
      <c r="L1343" s="7"/>
      <c r="M1343" s="1" t="str">
        <f>IF(E1343="","",E1343&amp;"|"&amp;COUNTIF($E$5:E1343,E1343))</f>
        <v/>
      </c>
    </row>
    <row r="1344" spans="2:13" x14ac:dyDescent="0.2">
      <c r="B1344" s="10"/>
      <c r="C1344" s="7"/>
      <c r="D1344" s="11"/>
      <c r="E1344" s="6"/>
      <c r="F1344" s="12" t="str">
        <f t="shared" si="40"/>
        <v/>
      </c>
      <c r="G1344" s="13" t="str">
        <f t="shared" si="41"/>
        <v/>
      </c>
      <c r="H1344" s="9"/>
      <c r="I1344" s="9"/>
      <c r="J1344" s="14" t="str">
        <f>IF(E1344="","",IFERROR(VLOOKUP(E1344,TabProd,5,FALSE),0)+SUMIFS($H$5:H1344,$E$5:E1344,E1344)-SUMIFS($I$5:I1344,$E$5:E1344,E1344))</f>
        <v/>
      </c>
      <c r="K1344" s="7"/>
      <c r="L1344" s="7"/>
      <c r="M1344" s="1" t="str">
        <f>IF(E1344="","",E1344&amp;"|"&amp;COUNTIF($E$5:E1344,E1344))</f>
        <v/>
      </c>
    </row>
    <row r="1345" spans="2:13" x14ac:dyDescent="0.2">
      <c r="B1345" s="10"/>
      <c r="C1345" s="7"/>
      <c r="D1345" s="11"/>
      <c r="E1345" s="6"/>
      <c r="F1345" s="12" t="str">
        <f t="shared" si="40"/>
        <v/>
      </c>
      <c r="G1345" s="13" t="str">
        <f t="shared" si="41"/>
        <v/>
      </c>
      <c r="H1345" s="9"/>
      <c r="I1345" s="9"/>
      <c r="J1345" s="14" t="str">
        <f>IF(E1345="","",IFERROR(VLOOKUP(E1345,TabProd,5,FALSE),0)+SUMIFS($H$5:H1345,$E$5:E1345,E1345)-SUMIFS($I$5:I1345,$E$5:E1345,E1345))</f>
        <v/>
      </c>
      <c r="K1345" s="7"/>
      <c r="L1345" s="7"/>
      <c r="M1345" s="1" t="str">
        <f>IF(E1345="","",E1345&amp;"|"&amp;COUNTIF($E$5:E1345,E1345))</f>
        <v/>
      </c>
    </row>
    <row r="1346" spans="2:13" x14ac:dyDescent="0.2">
      <c r="B1346" s="10"/>
      <c r="C1346" s="7"/>
      <c r="D1346" s="11"/>
      <c r="E1346" s="6"/>
      <c r="F1346" s="12" t="str">
        <f t="shared" si="40"/>
        <v/>
      </c>
      <c r="G1346" s="13" t="str">
        <f t="shared" si="41"/>
        <v/>
      </c>
      <c r="H1346" s="9"/>
      <c r="I1346" s="9"/>
      <c r="J1346" s="14" t="str">
        <f>IF(E1346="","",IFERROR(VLOOKUP(E1346,TabProd,5,FALSE),0)+SUMIFS($H$5:H1346,$E$5:E1346,E1346)-SUMIFS($I$5:I1346,$E$5:E1346,E1346))</f>
        <v/>
      </c>
      <c r="K1346" s="7"/>
      <c r="L1346" s="7"/>
      <c r="M1346" s="1" t="str">
        <f>IF(E1346="","",E1346&amp;"|"&amp;COUNTIF($E$5:E1346,E1346))</f>
        <v/>
      </c>
    </row>
    <row r="1347" spans="2:13" x14ac:dyDescent="0.2">
      <c r="B1347" s="10"/>
      <c r="C1347" s="7"/>
      <c r="D1347" s="11"/>
      <c r="E1347" s="6"/>
      <c r="F1347" s="12" t="str">
        <f t="shared" si="40"/>
        <v/>
      </c>
      <c r="G1347" s="13" t="str">
        <f t="shared" si="41"/>
        <v/>
      </c>
      <c r="H1347" s="9"/>
      <c r="I1347" s="9"/>
      <c r="J1347" s="14" t="str">
        <f>IF(E1347="","",IFERROR(VLOOKUP(E1347,TabProd,5,FALSE),0)+SUMIFS($H$5:H1347,$E$5:E1347,E1347)-SUMIFS($I$5:I1347,$E$5:E1347,E1347))</f>
        <v/>
      </c>
      <c r="K1347" s="7"/>
      <c r="L1347" s="7"/>
      <c r="M1347" s="1" t="str">
        <f>IF(E1347="","",E1347&amp;"|"&amp;COUNTIF($E$5:E1347,E1347))</f>
        <v/>
      </c>
    </row>
    <row r="1348" spans="2:13" x14ac:dyDescent="0.2">
      <c r="B1348" s="10"/>
      <c r="C1348" s="7"/>
      <c r="D1348" s="11"/>
      <c r="E1348" s="6"/>
      <c r="F1348" s="12" t="str">
        <f t="shared" si="40"/>
        <v/>
      </c>
      <c r="G1348" s="13" t="str">
        <f t="shared" si="41"/>
        <v/>
      </c>
      <c r="H1348" s="9"/>
      <c r="I1348" s="9"/>
      <c r="J1348" s="14" t="str">
        <f>IF(E1348="","",IFERROR(VLOOKUP(E1348,TabProd,5,FALSE),0)+SUMIFS($H$5:H1348,$E$5:E1348,E1348)-SUMIFS($I$5:I1348,$E$5:E1348,E1348))</f>
        <v/>
      </c>
      <c r="K1348" s="7"/>
      <c r="L1348" s="7"/>
      <c r="M1348" s="1" t="str">
        <f>IF(E1348="","",E1348&amp;"|"&amp;COUNTIF($E$5:E1348,E1348))</f>
        <v/>
      </c>
    </row>
    <row r="1349" spans="2:13" x14ac:dyDescent="0.2">
      <c r="B1349" s="10"/>
      <c r="C1349" s="7"/>
      <c r="D1349" s="11"/>
      <c r="E1349" s="6"/>
      <c r="F1349" s="12" t="str">
        <f t="shared" ref="F1349:F1412" si="42">IF(E1349="","",IFERROR(VLOOKUP(E1349,TabProd,2,FALSE),"Cod inexistent"))</f>
        <v/>
      </c>
      <c r="G1349" s="13" t="str">
        <f t="shared" ref="G1349:G1412" si="43">IF(E1349="","",IFERROR(VLOOKUP(E1349,TabProd,3,FALSE),""))</f>
        <v/>
      </c>
      <c r="H1349" s="9"/>
      <c r="I1349" s="9"/>
      <c r="J1349" s="14" t="str">
        <f>IF(E1349="","",IFERROR(VLOOKUP(E1349,TabProd,5,FALSE),0)+SUMIFS($H$5:H1349,$E$5:E1349,E1349)-SUMIFS($I$5:I1349,$E$5:E1349,E1349))</f>
        <v/>
      </c>
      <c r="K1349" s="7"/>
      <c r="L1349" s="7"/>
      <c r="M1349" s="1" t="str">
        <f>IF(E1349="","",E1349&amp;"|"&amp;COUNTIF($E$5:E1349,E1349))</f>
        <v/>
      </c>
    </row>
    <row r="1350" spans="2:13" x14ac:dyDescent="0.2">
      <c r="B1350" s="10"/>
      <c r="C1350" s="7"/>
      <c r="D1350" s="11"/>
      <c r="E1350" s="6"/>
      <c r="F1350" s="12" t="str">
        <f t="shared" si="42"/>
        <v/>
      </c>
      <c r="G1350" s="13" t="str">
        <f t="shared" si="43"/>
        <v/>
      </c>
      <c r="H1350" s="9"/>
      <c r="I1350" s="9"/>
      <c r="J1350" s="14" t="str">
        <f>IF(E1350="","",IFERROR(VLOOKUP(E1350,TabProd,5,FALSE),0)+SUMIFS($H$5:H1350,$E$5:E1350,E1350)-SUMIFS($I$5:I1350,$E$5:E1350,E1350))</f>
        <v/>
      </c>
      <c r="K1350" s="7"/>
      <c r="L1350" s="7"/>
      <c r="M1350" s="1" t="str">
        <f>IF(E1350="","",E1350&amp;"|"&amp;COUNTIF($E$5:E1350,E1350))</f>
        <v/>
      </c>
    </row>
    <row r="1351" spans="2:13" x14ac:dyDescent="0.2">
      <c r="B1351" s="10"/>
      <c r="C1351" s="7"/>
      <c r="D1351" s="11"/>
      <c r="E1351" s="6"/>
      <c r="F1351" s="12" t="str">
        <f t="shared" si="42"/>
        <v/>
      </c>
      <c r="G1351" s="13" t="str">
        <f t="shared" si="43"/>
        <v/>
      </c>
      <c r="H1351" s="9"/>
      <c r="I1351" s="9"/>
      <c r="J1351" s="14" t="str">
        <f>IF(E1351="","",IFERROR(VLOOKUP(E1351,TabProd,5,FALSE),0)+SUMIFS($H$5:H1351,$E$5:E1351,E1351)-SUMIFS($I$5:I1351,$E$5:E1351,E1351))</f>
        <v/>
      </c>
      <c r="K1351" s="7"/>
      <c r="L1351" s="7"/>
      <c r="M1351" s="1" t="str">
        <f>IF(E1351="","",E1351&amp;"|"&amp;COUNTIF($E$5:E1351,E1351))</f>
        <v/>
      </c>
    </row>
    <row r="1352" spans="2:13" x14ac:dyDescent="0.2">
      <c r="B1352" s="10"/>
      <c r="C1352" s="7"/>
      <c r="D1352" s="11"/>
      <c r="E1352" s="6"/>
      <c r="F1352" s="12" t="str">
        <f t="shared" si="42"/>
        <v/>
      </c>
      <c r="G1352" s="13" t="str">
        <f t="shared" si="43"/>
        <v/>
      </c>
      <c r="H1352" s="9"/>
      <c r="I1352" s="9"/>
      <c r="J1352" s="14" t="str">
        <f>IF(E1352="","",IFERROR(VLOOKUP(E1352,TabProd,5,FALSE),0)+SUMIFS($H$5:H1352,$E$5:E1352,E1352)-SUMIFS($I$5:I1352,$E$5:E1352,E1352))</f>
        <v/>
      </c>
      <c r="K1352" s="7"/>
      <c r="L1352" s="7"/>
      <c r="M1352" s="1" t="str">
        <f>IF(E1352="","",E1352&amp;"|"&amp;COUNTIF($E$5:E1352,E1352))</f>
        <v/>
      </c>
    </row>
    <row r="1353" spans="2:13" x14ac:dyDescent="0.2">
      <c r="B1353" s="10"/>
      <c r="C1353" s="7"/>
      <c r="D1353" s="11"/>
      <c r="E1353" s="6"/>
      <c r="F1353" s="12" t="str">
        <f t="shared" si="42"/>
        <v/>
      </c>
      <c r="G1353" s="13" t="str">
        <f t="shared" si="43"/>
        <v/>
      </c>
      <c r="H1353" s="9"/>
      <c r="I1353" s="9"/>
      <c r="J1353" s="14" t="str">
        <f>IF(E1353="","",IFERROR(VLOOKUP(E1353,TabProd,5,FALSE),0)+SUMIFS($H$5:H1353,$E$5:E1353,E1353)-SUMIFS($I$5:I1353,$E$5:E1353,E1353))</f>
        <v/>
      </c>
      <c r="K1353" s="7"/>
      <c r="L1353" s="7"/>
      <c r="M1353" s="1" t="str">
        <f>IF(E1353="","",E1353&amp;"|"&amp;COUNTIF($E$5:E1353,E1353))</f>
        <v/>
      </c>
    </row>
    <row r="1354" spans="2:13" x14ac:dyDescent="0.2">
      <c r="B1354" s="10"/>
      <c r="C1354" s="7"/>
      <c r="D1354" s="11"/>
      <c r="E1354" s="6"/>
      <c r="F1354" s="12" t="str">
        <f t="shared" si="42"/>
        <v/>
      </c>
      <c r="G1354" s="13" t="str">
        <f t="shared" si="43"/>
        <v/>
      </c>
      <c r="H1354" s="9"/>
      <c r="I1354" s="9"/>
      <c r="J1354" s="14" t="str">
        <f>IF(E1354="","",IFERROR(VLOOKUP(E1354,TabProd,5,FALSE),0)+SUMIFS($H$5:H1354,$E$5:E1354,E1354)-SUMIFS($I$5:I1354,$E$5:E1354,E1354))</f>
        <v/>
      </c>
      <c r="K1354" s="7"/>
      <c r="L1354" s="7"/>
      <c r="M1354" s="1" t="str">
        <f>IF(E1354="","",E1354&amp;"|"&amp;COUNTIF($E$5:E1354,E1354))</f>
        <v/>
      </c>
    </row>
    <row r="1355" spans="2:13" x14ac:dyDescent="0.2">
      <c r="B1355" s="10"/>
      <c r="C1355" s="7"/>
      <c r="D1355" s="11"/>
      <c r="E1355" s="6"/>
      <c r="F1355" s="12" t="str">
        <f t="shared" si="42"/>
        <v/>
      </c>
      <c r="G1355" s="13" t="str">
        <f t="shared" si="43"/>
        <v/>
      </c>
      <c r="H1355" s="9"/>
      <c r="I1355" s="9"/>
      <c r="J1355" s="14" t="str">
        <f>IF(E1355="","",IFERROR(VLOOKUP(E1355,TabProd,5,FALSE),0)+SUMIFS($H$5:H1355,$E$5:E1355,E1355)-SUMIFS($I$5:I1355,$E$5:E1355,E1355))</f>
        <v/>
      </c>
      <c r="K1355" s="7"/>
      <c r="L1355" s="7"/>
      <c r="M1355" s="1" t="str">
        <f>IF(E1355="","",E1355&amp;"|"&amp;COUNTIF($E$5:E1355,E1355))</f>
        <v/>
      </c>
    </row>
    <row r="1356" spans="2:13" x14ac:dyDescent="0.2">
      <c r="B1356" s="10"/>
      <c r="C1356" s="7"/>
      <c r="D1356" s="11"/>
      <c r="E1356" s="6"/>
      <c r="F1356" s="12" t="str">
        <f t="shared" si="42"/>
        <v/>
      </c>
      <c r="G1356" s="13" t="str">
        <f t="shared" si="43"/>
        <v/>
      </c>
      <c r="H1356" s="9"/>
      <c r="I1356" s="9"/>
      <c r="J1356" s="14" t="str">
        <f>IF(E1356="","",IFERROR(VLOOKUP(E1356,TabProd,5,FALSE),0)+SUMIFS($H$5:H1356,$E$5:E1356,E1356)-SUMIFS($I$5:I1356,$E$5:E1356,E1356))</f>
        <v/>
      </c>
      <c r="K1356" s="7"/>
      <c r="L1356" s="7"/>
      <c r="M1356" s="1" t="str">
        <f>IF(E1356="","",E1356&amp;"|"&amp;COUNTIF($E$5:E1356,E1356))</f>
        <v/>
      </c>
    </row>
    <row r="1357" spans="2:13" x14ac:dyDescent="0.2">
      <c r="B1357" s="10"/>
      <c r="C1357" s="7"/>
      <c r="D1357" s="11"/>
      <c r="E1357" s="6"/>
      <c r="F1357" s="12" t="str">
        <f t="shared" si="42"/>
        <v/>
      </c>
      <c r="G1357" s="13" t="str">
        <f t="shared" si="43"/>
        <v/>
      </c>
      <c r="H1357" s="9"/>
      <c r="I1357" s="9"/>
      <c r="J1357" s="14" t="str">
        <f>IF(E1357="","",IFERROR(VLOOKUP(E1357,TabProd,5,FALSE),0)+SUMIFS($H$5:H1357,$E$5:E1357,E1357)-SUMIFS($I$5:I1357,$E$5:E1357,E1357))</f>
        <v/>
      </c>
      <c r="K1357" s="7"/>
      <c r="L1357" s="7"/>
      <c r="M1357" s="1" t="str">
        <f>IF(E1357="","",E1357&amp;"|"&amp;COUNTIF($E$5:E1357,E1357))</f>
        <v/>
      </c>
    </row>
    <row r="1358" spans="2:13" x14ac:dyDescent="0.2">
      <c r="B1358" s="10"/>
      <c r="C1358" s="7"/>
      <c r="D1358" s="11"/>
      <c r="E1358" s="6"/>
      <c r="F1358" s="12" t="str">
        <f t="shared" si="42"/>
        <v/>
      </c>
      <c r="G1358" s="13" t="str">
        <f t="shared" si="43"/>
        <v/>
      </c>
      <c r="H1358" s="9"/>
      <c r="I1358" s="9"/>
      <c r="J1358" s="14" t="str">
        <f>IF(E1358="","",IFERROR(VLOOKUP(E1358,TabProd,5,FALSE),0)+SUMIFS($H$5:H1358,$E$5:E1358,E1358)-SUMIFS($I$5:I1358,$E$5:E1358,E1358))</f>
        <v/>
      </c>
      <c r="K1358" s="7"/>
      <c r="L1358" s="7"/>
      <c r="M1358" s="1" t="str">
        <f>IF(E1358="","",E1358&amp;"|"&amp;COUNTIF($E$5:E1358,E1358))</f>
        <v/>
      </c>
    </row>
    <row r="1359" spans="2:13" x14ac:dyDescent="0.2">
      <c r="B1359" s="10"/>
      <c r="C1359" s="7"/>
      <c r="D1359" s="11"/>
      <c r="E1359" s="6"/>
      <c r="F1359" s="12" t="str">
        <f t="shared" si="42"/>
        <v/>
      </c>
      <c r="G1359" s="13" t="str">
        <f t="shared" si="43"/>
        <v/>
      </c>
      <c r="H1359" s="9"/>
      <c r="I1359" s="9"/>
      <c r="J1359" s="14" t="str">
        <f>IF(E1359="","",IFERROR(VLOOKUP(E1359,TabProd,5,FALSE),0)+SUMIFS($H$5:H1359,$E$5:E1359,E1359)-SUMIFS($I$5:I1359,$E$5:E1359,E1359))</f>
        <v/>
      </c>
      <c r="K1359" s="7"/>
      <c r="L1359" s="7"/>
      <c r="M1359" s="1" t="str">
        <f>IF(E1359="","",E1359&amp;"|"&amp;COUNTIF($E$5:E1359,E1359))</f>
        <v/>
      </c>
    </row>
    <row r="1360" spans="2:13" x14ac:dyDescent="0.2">
      <c r="B1360" s="10"/>
      <c r="C1360" s="7"/>
      <c r="D1360" s="11"/>
      <c r="E1360" s="6"/>
      <c r="F1360" s="12" t="str">
        <f t="shared" si="42"/>
        <v/>
      </c>
      <c r="G1360" s="13" t="str">
        <f t="shared" si="43"/>
        <v/>
      </c>
      <c r="H1360" s="9"/>
      <c r="I1360" s="9"/>
      <c r="J1360" s="14" t="str">
        <f>IF(E1360="","",IFERROR(VLOOKUP(E1360,TabProd,5,FALSE),0)+SUMIFS($H$5:H1360,$E$5:E1360,E1360)-SUMIFS($I$5:I1360,$E$5:E1360,E1360))</f>
        <v/>
      </c>
      <c r="K1360" s="7"/>
      <c r="L1360" s="7"/>
      <c r="M1360" s="1" t="str">
        <f>IF(E1360="","",E1360&amp;"|"&amp;COUNTIF($E$5:E1360,E1360))</f>
        <v/>
      </c>
    </row>
    <row r="1361" spans="2:13" x14ac:dyDescent="0.2">
      <c r="B1361" s="10"/>
      <c r="C1361" s="7"/>
      <c r="D1361" s="11"/>
      <c r="E1361" s="6"/>
      <c r="F1361" s="12" t="str">
        <f t="shared" si="42"/>
        <v/>
      </c>
      <c r="G1361" s="13" t="str">
        <f t="shared" si="43"/>
        <v/>
      </c>
      <c r="H1361" s="9"/>
      <c r="I1361" s="9"/>
      <c r="J1361" s="14" t="str">
        <f>IF(E1361="","",IFERROR(VLOOKUP(E1361,TabProd,5,FALSE),0)+SUMIFS($H$5:H1361,$E$5:E1361,E1361)-SUMIFS($I$5:I1361,$E$5:E1361,E1361))</f>
        <v/>
      </c>
      <c r="K1361" s="7"/>
      <c r="L1361" s="7"/>
      <c r="M1361" s="1" t="str">
        <f>IF(E1361="","",E1361&amp;"|"&amp;COUNTIF($E$5:E1361,E1361))</f>
        <v/>
      </c>
    </row>
    <row r="1362" spans="2:13" x14ac:dyDescent="0.2">
      <c r="B1362" s="10"/>
      <c r="C1362" s="7"/>
      <c r="D1362" s="11"/>
      <c r="E1362" s="6"/>
      <c r="F1362" s="12" t="str">
        <f t="shared" si="42"/>
        <v/>
      </c>
      <c r="G1362" s="13" t="str">
        <f t="shared" si="43"/>
        <v/>
      </c>
      <c r="H1362" s="9"/>
      <c r="I1362" s="9"/>
      <c r="J1362" s="14" t="str">
        <f>IF(E1362="","",IFERROR(VLOOKUP(E1362,TabProd,5,FALSE),0)+SUMIFS($H$5:H1362,$E$5:E1362,E1362)-SUMIFS($I$5:I1362,$E$5:E1362,E1362))</f>
        <v/>
      </c>
      <c r="K1362" s="7"/>
      <c r="L1362" s="7"/>
      <c r="M1362" s="1" t="str">
        <f>IF(E1362="","",E1362&amp;"|"&amp;COUNTIF($E$5:E1362,E1362))</f>
        <v/>
      </c>
    </row>
    <row r="1363" spans="2:13" x14ac:dyDescent="0.2">
      <c r="B1363" s="10"/>
      <c r="C1363" s="7"/>
      <c r="D1363" s="11"/>
      <c r="E1363" s="6"/>
      <c r="F1363" s="12" t="str">
        <f t="shared" si="42"/>
        <v/>
      </c>
      <c r="G1363" s="13" t="str">
        <f t="shared" si="43"/>
        <v/>
      </c>
      <c r="H1363" s="9"/>
      <c r="I1363" s="9"/>
      <c r="J1363" s="14" t="str">
        <f>IF(E1363="","",IFERROR(VLOOKUP(E1363,TabProd,5,FALSE),0)+SUMIFS($H$5:H1363,$E$5:E1363,E1363)-SUMIFS($I$5:I1363,$E$5:E1363,E1363))</f>
        <v/>
      </c>
      <c r="K1363" s="7"/>
      <c r="L1363" s="7"/>
      <c r="M1363" s="1" t="str">
        <f>IF(E1363="","",E1363&amp;"|"&amp;COUNTIF($E$5:E1363,E1363))</f>
        <v/>
      </c>
    </row>
    <row r="1364" spans="2:13" x14ac:dyDescent="0.2">
      <c r="B1364" s="10"/>
      <c r="C1364" s="7"/>
      <c r="D1364" s="11"/>
      <c r="E1364" s="6"/>
      <c r="F1364" s="12" t="str">
        <f t="shared" si="42"/>
        <v/>
      </c>
      <c r="G1364" s="13" t="str">
        <f t="shared" si="43"/>
        <v/>
      </c>
      <c r="H1364" s="9"/>
      <c r="I1364" s="9"/>
      <c r="J1364" s="14" t="str">
        <f>IF(E1364="","",IFERROR(VLOOKUP(E1364,TabProd,5,FALSE),0)+SUMIFS($H$5:H1364,$E$5:E1364,E1364)-SUMIFS($I$5:I1364,$E$5:E1364,E1364))</f>
        <v/>
      </c>
      <c r="K1364" s="7"/>
      <c r="L1364" s="7"/>
      <c r="M1364" s="1" t="str">
        <f>IF(E1364="","",E1364&amp;"|"&amp;COUNTIF($E$5:E1364,E1364))</f>
        <v/>
      </c>
    </row>
    <row r="1365" spans="2:13" x14ac:dyDescent="0.2">
      <c r="B1365" s="10"/>
      <c r="C1365" s="7"/>
      <c r="D1365" s="11"/>
      <c r="E1365" s="6"/>
      <c r="F1365" s="12" t="str">
        <f t="shared" si="42"/>
        <v/>
      </c>
      <c r="G1365" s="13" t="str">
        <f t="shared" si="43"/>
        <v/>
      </c>
      <c r="H1365" s="9"/>
      <c r="I1365" s="9"/>
      <c r="J1365" s="14" t="str">
        <f>IF(E1365="","",IFERROR(VLOOKUP(E1365,TabProd,5,FALSE),0)+SUMIFS($H$5:H1365,$E$5:E1365,E1365)-SUMIFS($I$5:I1365,$E$5:E1365,E1365))</f>
        <v/>
      </c>
      <c r="K1365" s="7"/>
      <c r="L1365" s="7"/>
      <c r="M1365" s="1" t="str">
        <f>IF(E1365="","",E1365&amp;"|"&amp;COUNTIF($E$5:E1365,E1365))</f>
        <v/>
      </c>
    </row>
    <row r="1366" spans="2:13" x14ac:dyDescent="0.2">
      <c r="B1366" s="10"/>
      <c r="C1366" s="7"/>
      <c r="D1366" s="11"/>
      <c r="E1366" s="6"/>
      <c r="F1366" s="12" t="str">
        <f t="shared" si="42"/>
        <v/>
      </c>
      <c r="G1366" s="13" t="str">
        <f t="shared" si="43"/>
        <v/>
      </c>
      <c r="H1366" s="9"/>
      <c r="I1366" s="9"/>
      <c r="J1366" s="14" t="str">
        <f>IF(E1366="","",IFERROR(VLOOKUP(E1366,TabProd,5,FALSE),0)+SUMIFS($H$5:H1366,$E$5:E1366,E1366)-SUMIFS($I$5:I1366,$E$5:E1366,E1366))</f>
        <v/>
      </c>
      <c r="K1366" s="7"/>
      <c r="L1366" s="7"/>
      <c r="M1366" s="1" t="str">
        <f>IF(E1366="","",E1366&amp;"|"&amp;COUNTIF($E$5:E1366,E1366))</f>
        <v/>
      </c>
    </row>
    <row r="1367" spans="2:13" x14ac:dyDescent="0.2">
      <c r="B1367" s="10"/>
      <c r="C1367" s="7"/>
      <c r="D1367" s="11"/>
      <c r="E1367" s="6"/>
      <c r="F1367" s="12" t="str">
        <f t="shared" si="42"/>
        <v/>
      </c>
      <c r="G1367" s="13" t="str">
        <f t="shared" si="43"/>
        <v/>
      </c>
      <c r="H1367" s="9"/>
      <c r="I1367" s="9"/>
      <c r="J1367" s="14" t="str">
        <f>IF(E1367="","",IFERROR(VLOOKUP(E1367,TabProd,5,FALSE),0)+SUMIFS($H$5:H1367,$E$5:E1367,E1367)-SUMIFS($I$5:I1367,$E$5:E1367,E1367))</f>
        <v/>
      </c>
      <c r="K1367" s="7"/>
      <c r="L1367" s="7"/>
      <c r="M1367" s="1" t="str">
        <f>IF(E1367="","",E1367&amp;"|"&amp;COUNTIF($E$5:E1367,E1367))</f>
        <v/>
      </c>
    </row>
    <row r="1368" spans="2:13" x14ac:dyDescent="0.2">
      <c r="B1368" s="10"/>
      <c r="C1368" s="7"/>
      <c r="D1368" s="11"/>
      <c r="E1368" s="6"/>
      <c r="F1368" s="12" t="str">
        <f t="shared" si="42"/>
        <v/>
      </c>
      <c r="G1368" s="13" t="str">
        <f t="shared" si="43"/>
        <v/>
      </c>
      <c r="H1368" s="9"/>
      <c r="I1368" s="9"/>
      <c r="J1368" s="14" t="str">
        <f>IF(E1368="","",IFERROR(VLOOKUP(E1368,TabProd,5,FALSE),0)+SUMIFS($H$5:H1368,$E$5:E1368,E1368)-SUMIFS($I$5:I1368,$E$5:E1368,E1368))</f>
        <v/>
      </c>
      <c r="K1368" s="7"/>
      <c r="L1368" s="7"/>
      <c r="M1368" s="1" t="str">
        <f>IF(E1368="","",E1368&amp;"|"&amp;COUNTIF($E$5:E1368,E1368))</f>
        <v/>
      </c>
    </row>
    <row r="1369" spans="2:13" x14ac:dyDescent="0.2">
      <c r="B1369" s="10"/>
      <c r="C1369" s="7"/>
      <c r="D1369" s="11"/>
      <c r="E1369" s="6"/>
      <c r="F1369" s="12" t="str">
        <f t="shared" si="42"/>
        <v/>
      </c>
      <c r="G1369" s="13" t="str">
        <f t="shared" si="43"/>
        <v/>
      </c>
      <c r="H1369" s="9"/>
      <c r="I1369" s="9"/>
      <c r="J1369" s="14" t="str">
        <f>IF(E1369="","",IFERROR(VLOOKUP(E1369,TabProd,5,FALSE),0)+SUMIFS($H$5:H1369,$E$5:E1369,E1369)-SUMIFS($I$5:I1369,$E$5:E1369,E1369))</f>
        <v/>
      </c>
      <c r="K1369" s="7"/>
      <c r="L1369" s="7"/>
      <c r="M1369" s="1" t="str">
        <f>IF(E1369="","",E1369&amp;"|"&amp;COUNTIF($E$5:E1369,E1369))</f>
        <v/>
      </c>
    </row>
    <row r="1370" spans="2:13" x14ac:dyDescent="0.2">
      <c r="B1370" s="10"/>
      <c r="C1370" s="7"/>
      <c r="D1370" s="11"/>
      <c r="E1370" s="6"/>
      <c r="F1370" s="12" t="str">
        <f t="shared" si="42"/>
        <v/>
      </c>
      <c r="G1370" s="13" t="str">
        <f t="shared" si="43"/>
        <v/>
      </c>
      <c r="H1370" s="9"/>
      <c r="I1370" s="9"/>
      <c r="J1370" s="14" t="str">
        <f>IF(E1370="","",IFERROR(VLOOKUP(E1370,TabProd,5,FALSE),0)+SUMIFS($H$5:H1370,$E$5:E1370,E1370)-SUMIFS($I$5:I1370,$E$5:E1370,E1370))</f>
        <v/>
      </c>
      <c r="K1370" s="7"/>
      <c r="L1370" s="7"/>
      <c r="M1370" s="1" t="str">
        <f>IF(E1370="","",E1370&amp;"|"&amp;COUNTIF($E$5:E1370,E1370))</f>
        <v/>
      </c>
    </row>
    <row r="1371" spans="2:13" x14ac:dyDescent="0.2">
      <c r="B1371" s="10"/>
      <c r="C1371" s="7"/>
      <c r="D1371" s="11"/>
      <c r="E1371" s="6"/>
      <c r="F1371" s="12" t="str">
        <f t="shared" si="42"/>
        <v/>
      </c>
      <c r="G1371" s="13" t="str">
        <f t="shared" si="43"/>
        <v/>
      </c>
      <c r="H1371" s="9"/>
      <c r="I1371" s="9"/>
      <c r="J1371" s="14" t="str">
        <f>IF(E1371="","",IFERROR(VLOOKUP(E1371,TabProd,5,FALSE),0)+SUMIFS($H$5:H1371,$E$5:E1371,E1371)-SUMIFS($I$5:I1371,$E$5:E1371,E1371))</f>
        <v/>
      </c>
      <c r="K1371" s="7"/>
      <c r="L1371" s="7"/>
      <c r="M1371" s="1" t="str">
        <f>IF(E1371="","",E1371&amp;"|"&amp;COUNTIF($E$5:E1371,E1371))</f>
        <v/>
      </c>
    </row>
    <row r="1372" spans="2:13" x14ac:dyDescent="0.2">
      <c r="B1372" s="10"/>
      <c r="C1372" s="7"/>
      <c r="D1372" s="11"/>
      <c r="E1372" s="6"/>
      <c r="F1372" s="12" t="str">
        <f t="shared" si="42"/>
        <v/>
      </c>
      <c r="G1372" s="13" t="str">
        <f t="shared" si="43"/>
        <v/>
      </c>
      <c r="H1372" s="9"/>
      <c r="I1372" s="9"/>
      <c r="J1372" s="14" t="str">
        <f>IF(E1372="","",IFERROR(VLOOKUP(E1372,TabProd,5,FALSE),0)+SUMIFS($H$5:H1372,$E$5:E1372,E1372)-SUMIFS($I$5:I1372,$E$5:E1372,E1372))</f>
        <v/>
      </c>
      <c r="K1372" s="7"/>
      <c r="L1372" s="7"/>
      <c r="M1372" s="1" t="str">
        <f>IF(E1372="","",E1372&amp;"|"&amp;COUNTIF($E$5:E1372,E1372))</f>
        <v/>
      </c>
    </row>
    <row r="1373" spans="2:13" x14ac:dyDescent="0.2">
      <c r="B1373" s="10"/>
      <c r="C1373" s="7"/>
      <c r="D1373" s="11"/>
      <c r="E1373" s="6"/>
      <c r="F1373" s="12" t="str">
        <f t="shared" si="42"/>
        <v/>
      </c>
      <c r="G1373" s="13" t="str">
        <f t="shared" si="43"/>
        <v/>
      </c>
      <c r="H1373" s="9"/>
      <c r="I1373" s="9"/>
      <c r="J1373" s="14" t="str">
        <f>IF(E1373="","",IFERROR(VLOOKUP(E1373,TabProd,5,FALSE),0)+SUMIFS($H$5:H1373,$E$5:E1373,E1373)-SUMIFS($I$5:I1373,$E$5:E1373,E1373))</f>
        <v/>
      </c>
      <c r="K1373" s="7"/>
      <c r="L1373" s="7"/>
      <c r="M1373" s="1" t="str">
        <f>IF(E1373="","",E1373&amp;"|"&amp;COUNTIF($E$5:E1373,E1373))</f>
        <v/>
      </c>
    </row>
    <row r="1374" spans="2:13" x14ac:dyDescent="0.2">
      <c r="B1374" s="10"/>
      <c r="C1374" s="7"/>
      <c r="D1374" s="11"/>
      <c r="E1374" s="6"/>
      <c r="F1374" s="12" t="str">
        <f t="shared" si="42"/>
        <v/>
      </c>
      <c r="G1374" s="13" t="str">
        <f t="shared" si="43"/>
        <v/>
      </c>
      <c r="H1374" s="9"/>
      <c r="I1374" s="9"/>
      <c r="J1374" s="14" t="str">
        <f>IF(E1374="","",IFERROR(VLOOKUP(E1374,TabProd,5,FALSE),0)+SUMIFS($H$5:H1374,$E$5:E1374,E1374)-SUMIFS($I$5:I1374,$E$5:E1374,E1374))</f>
        <v/>
      </c>
      <c r="K1374" s="7"/>
      <c r="L1374" s="7"/>
      <c r="M1374" s="1" t="str">
        <f>IF(E1374="","",E1374&amp;"|"&amp;COUNTIF($E$5:E1374,E1374))</f>
        <v/>
      </c>
    </row>
    <row r="1375" spans="2:13" x14ac:dyDescent="0.2">
      <c r="B1375" s="10"/>
      <c r="C1375" s="7"/>
      <c r="D1375" s="11"/>
      <c r="E1375" s="6"/>
      <c r="F1375" s="12" t="str">
        <f t="shared" si="42"/>
        <v/>
      </c>
      <c r="G1375" s="13" t="str">
        <f t="shared" si="43"/>
        <v/>
      </c>
      <c r="H1375" s="9"/>
      <c r="I1375" s="9"/>
      <c r="J1375" s="14" t="str">
        <f>IF(E1375="","",IFERROR(VLOOKUP(E1375,TabProd,5,FALSE),0)+SUMIFS($H$5:H1375,$E$5:E1375,E1375)-SUMIFS($I$5:I1375,$E$5:E1375,E1375))</f>
        <v/>
      </c>
      <c r="K1375" s="7"/>
      <c r="L1375" s="7"/>
      <c r="M1375" s="1" t="str">
        <f>IF(E1375="","",E1375&amp;"|"&amp;COUNTIF($E$5:E1375,E1375))</f>
        <v/>
      </c>
    </row>
    <row r="1376" spans="2:13" x14ac:dyDescent="0.2">
      <c r="B1376" s="10"/>
      <c r="C1376" s="7"/>
      <c r="D1376" s="11"/>
      <c r="E1376" s="6"/>
      <c r="F1376" s="12" t="str">
        <f t="shared" si="42"/>
        <v/>
      </c>
      <c r="G1376" s="13" t="str">
        <f t="shared" si="43"/>
        <v/>
      </c>
      <c r="H1376" s="9"/>
      <c r="I1376" s="9"/>
      <c r="J1376" s="14" t="str">
        <f>IF(E1376="","",IFERROR(VLOOKUP(E1376,TabProd,5,FALSE),0)+SUMIFS($H$5:H1376,$E$5:E1376,E1376)-SUMIFS($I$5:I1376,$E$5:E1376,E1376))</f>
        <v/>
      </c>
      <c r="K1376" s="7"/>
      <c r="L1376" s="7"/>
      <c r="M1376" s="1" t="str">
        <f>IF(E1376="","",E1376&amp;"|"&amp;COUNTIF($E$5:E1376,E1376))</f>
        <v/>
      </c>
    </row>
    <row r="1377" spans="2:13" x14ac:dyDescent="0.2">
      <c r="B1377" s="10"/>
      <c r="C1377" s="7"/>
      <c r="D1377" s="11"/>
      <c r="E1377" s="6"/>
      <c r="F1377" s="12" t="str">
        <f t="shared" si="42"/>
        <v/>
      </c>
      <c r="G1377" s="13" t="str">
        <f t="shared" si="43"/>
        <v/>
      </c>
      <c r="H1377" s="9"/>
      <c r="I1377" s="9"/>
      <c r="J1377" s="14" t="str">
        <f>IF(E1377="","",IFERROR(VLOOKUP(E1377,TabProd,5,FALSE),0)+SUMIFS($H$5:H1377,$E$5:E1377,E1377)-SUMIFS($I$5:I1377,$E$5:E1377,E1377))</f>
        <v/>
      </c>
      <c r="K1377" s="7"/>
      <c r="L1377" s="7"/>
      <c r="M1377" s="1" t="str">
        <f>IF(E1377="","",E1377&amp;"|"&amp;COUNTIF($E$5:E1377,E1377))</f>
        <v/>
      </c>
    </row>
    <row r="1378" spans="2:13" x14ac:dyDescent="0.2">
      <c r="B1378" s="10"/>
      <c r="C1378" s="7"/>
      <c r="D1378" s="11"/>
      <c r="E1378" s="6"/>
      <c r="F1378" s="12" t="str">
        <f t="shared" si="42"/>
        <v/>
      </c>
      <c r="G1378" s="13" t="str">
        <f t="shared" si="43"/>
        <v/>
      </c>
      <c r="H1378" s="9"/>
      <c r="I1378" s="9"/>
      <c r="J1378" s="14" t="str">
        <f>IF(E1378="","",IFERROR(VLOOKUP(E1378,TabProd,5,FALSE),0)+SUMIFS($H$5:H1378,$E$5:E1378,E1378)-SUMIFS($I$5:I1378,$E$5:E1378,E1378))</f>
        <v/>
      </c>
      <c r="K1378" s="7"/>
      <c r="L1378" s="7"/>
      <c r="M1378" s="1" t="str">
        <f>IF(E1378="","",E1378&amp;"|"&amp;COUNTIF($E$5:E1378,E1378))</f>
        <v/>
      </c>
    </row>
    <row r="1379" spans="2:13" x14ac:dyDescent="0.2">
      <c r="B1379" s="10"/>
      <c r="C1379" s="7"/>
      <c r="D1379" s="11"/>
      <c r="E1379" s="6"/>
      <c r="F1379" s="12" t="str">
        <f t="shared" si="42"/>
        <v/>
      </c>
      <c r="G1379" s="13" t="str">
        <f t="shared" si="43"/>
        <v/>
      </c>
      <c r="H1379" s="9"/>
      <c r="I1379" s="9"/>
      <c r="J1379" s="14" t="str">
        <f>IF(E1379="","",IFERROR(VLOOKUP(E1379,TabProd,5,FALSE),0)+SUMIFS($H$5:H1379,$E$5:E1379,E1379)-SUMIFS($I$5:I1379,$E$5:E1379,E1379))</f>
        <v/>
      </c>
      <c r="K1379" s="7"/>
      <c r="L1379" s="7"/>
      <c r="M1379" s="1" t="str">
        <f>IF(E1379="","",E1379&amp;"|"&amp;COUNTIF($E$5:E1379,E1379))</f>
        <v/>
      </c>
    </row>
    <row r="1380" spans="2:13" x14ac:dyDescent="0.2">
      <c r="B1380" s="10"/>
      <c r="C1380" s="7"/>
      <c r="D1380" s="11"/>
      <c r="E1380" s="6"/>
      <c r="F1380" s="12" t="str">
        <f t="shared" si="42"/>
        <v/>
      </c>
      <c r="G1380" s="13" t="str">
        <f t="shared" si="43"/>
        <v/>
      </c>
      <c r="H1380" s="9"/>
      <c r="I1380" s="9"/>
      <c r="J1380" s="14" t="str">
        <f>IF(E1380="","",IFERROR(VLOOKUP(E1380,TabProd,5,FALSE),0)+SUMIFS($H$5:H1380,$E$5:E1380,E1380)-SUMIFS($I$5:I1380,$E$5:E1380,E1380))</f>
        <v/>
      </c>
      <c r="K1380" s="7"/>
      <c r="L1380" s="7"/>
      <c r="M1380" s="1" t="str">
        <f>IF(E1380="","",E1380&amp;"|"&amp;COUNTIF($E$5:E1380,E1380))</f>
        <v/>
      </c>
    </row>
    <row r="1381" spans="2:13" x14ac:dyDescent="0.2">
      <c r="B1381" s="10"/>
      <c r="C1381" s="7"/>
      <c r="D1381" s="11"/>
      <c r="E1381" s="6"/>
      <c r="F1381" s="12" t="str">
        <f t="shared" si="42"/>
        <v/>
      </c>
      <c r="G1381" s="13" t="str">
        <f t="shared" si="43"/>
        <v/>
      </c>
      <c r="H1381" s="9"/>
      <c r="I1381" s="9"/>
      <c r="J1381" s="14" t="str">
        <f>IF(E1381="","",IFERROR(VLOOKUP(E1381,TabProd,5,FALSE),0)+SUMIFS($H$5:H1381,$E$5:E1381,E1381)-SUMIFS($I$5:I1381,$E$5:E1381,E1381))</f>
        <v/>
      </c>
      <c r="K1381" s="7"/>
      <c r="L1381" s="7"/>
      <c r="M1381" s="1" t="str">
        <f>IF(E1381="","",E1381&amp;"|"&amp;COUNTIF($E$5:E1381,E1381))</f>
        <v/>
      </c>
    </row>
    <row r="1382" spans="2:13" x14ac:dyDescent="0.2">
      <c r="B1382" s="10"/>
      <c r="C1382" s="7"/>
      <c r="D1382" s="11"/>
      <c r="E1382" s="6"/>
      <c r="F1382" s="12" t="str">
        <f t="shared" si="42"/>
        <v/>
      </c>
      <c r="G1382" s="13" t="str">
        <f t="shared" si="43"/>
        <v/>
      </c>
      <c r="H1382" s="9"/>
      <c r="I1382" s="9"/>
      <c r="J1382" s="14" t="str">
        <f>IF(E1382="","",IFERROR(VLOOKUP(E1382,TabProd,5,FALSE),0)+SUMIFS($H$5:H1382,$E$5:E1382,E1382)-SUMIFS($I$5:I1382,$E$5:E1382,E1382))</f>
        <v/>
      </c>
      <c r="K1382" s="7"/>
      <c r="L1382" s="7"/>
      <c r="M1382" s="1" t="str">
        <f>IF(E1382="","",E1382&amp;"|"&amp;COUNTIF($E$5:E1382,E1382))</f>
        <v/>
      </c>
    </row>
    <row r="1383" spans="2:13" x14ac:dyDescent="0.2">
      <c r="B1383" s="10"/>
      <c r="C1383" s="7"/>
      <c r="D1383" s="11"/>
      <c r="E1383" s="6"/>
      <c r="F1383" s="12" t="str">
        <f t="shared" si="42"/>
        <v/>
      </c>
      <c r="G1383" s="13" t="str">
        <f t="shared" si="43"/>
        <v/>
      </c>
      <c r="H1383" s="9"/>
      <c r="I1383" s="9"/>
      <c r="J1383" s="14" t="str">
        <f>IF(E1383="","",IFERROR(VLOOKUP(E1383,TabProd,5,FALSE),0)+SUMIFS($H$5:H1383,$E$5:E1383,E1383)-SUMIFS($I$5:I1383,$E$5:E1383,E1383))</f>
        <v/>
      </c>
      <c r="K1383" s="7"/>
      <c r="L1383" s="7"/>
      <c r="M1383" s="1" t="str">
        <f>IF(E1383="","",E1383&amp;"|"&amp;COUNTIF($E$5:E1383,E1383))</f>
        <v/>
      </c>
    </row>
    <row r="1384" spans="2:13" x14ac:dyDescent="0.2">
      <c r="B1384" s="10"/>
      <c r="C1384" s="7"/>
      <c r="D1384" s="11"/>
      <c r="E1384" s="6"/>
      <c r="F1384" s="12" t="str">
        <f t="shared" si="42"/>
        <v/>
      </c>
      <c r="G1384" s="13" t="str">
        <f t="shared" si="43"/>
        <v/>
      </c>
      <c r="H1384" s="9"/>
      <c r="I1384" s="9"/>
      <c r="J1384" s="14" t="str">
        <f>IF(E1384="","",IFERROR(VLOOKUP(E1384,TabProd,5,FALSE),0)+SUMIFS($H$5:H1384,$E$5:E1384,E1384)-SUMIFS($I$5:I1384,$E$5:E1384,E1384))</f>
        <v/>
      </c>
      <c r="K1384" s="7"/>
      <c r="L1384" s="7"/>
      <c r="M1384" s="1" t="str">
        <f>IF(E1384="","",E1384&amp;"|"&amp;COUNTIF($E$5:E1384,E1384))</f>
        <v/>
      </c>
    </row>
    <row r="1385" spans="2:13" x14ac:dyDescent="0.2">
      <c r="B1385" s="10"/>
      <c r="C1385" s="7"/>
      <c r="D1385" s="11"/>
      <c r="E1385" s="6"/>
      <c r="F1385" s="12" t="str">
        <f t="shared" si="42"/>
        <v/>
      </c>
      <c r="G1385" s="13" t="str">
        <f t="shared" si="43"/>
        <v/>
      </c>
      <c r="H1385" s="9"/>
      <c r="I1385" s="9"/>
      <c r="J1385" s="14" t="str">
        <f>IF(E1385="","",IFERROR(VLOOKUP(E1385,TabProd,5,FALSE),0)+SUMIFS($H$5:H1385,$E$5:E1385,E1385)-SUMIFS($I$5:I1385,$E$5:E1385,E1385))</f>
        <v/>
      </c>
      <c r="K1385" s="7"/>
      <c r="L1385" s="7"/>
      <c r="M1385" s="1" t="str">
        <f>IF(E1385="","",E1385&amp;"|"&amp;COUNTIF($E$5:E1385,E1385))</f>
        <v/>
      </c>
    </row>
    <row r="1386" spans="2:13" x14ac:dyDescent="0.2">
      <c r="B1386" s="10"/>
      <c r="C1386" s="7"/>
      <c r="D1386" s="11"/>
      <c r="E1386" s="6"/>
      <c r="F1386" s="12" t="str">
        <f t="shared" si="42"/>
        <v/>
      </c>
      <c r="G1386" s="13" t="str">
        <f t="shared" si="43"/>
        <v/>
      </c>
      <c r="H1386" s="9"/>
      <c r="I1386" s="9"/>
      <c r="J1386" s="14" t="str">
        <f>IF(E1386="","",IFERROR(VLOOKUP(E1386,TabProd,5,FALSE),0)+SUMIFS($H$5:H1386,$E$5:E1386,E1386)-SUMIFS($I$5:I1386,$E$5:E1386,E1386))</f>
        <v/>
      </c>
      <c r="K1386" s="7"/>
      <c r="L1386" s="7"/>
      <c r="M1386" s="1" t="str">
        <f>IF(E1386="","",E1386&amp;"|"&amp;COUNTIF($E$5:E1386,E1386))</f>
        <v/>
      </c>
    </row>
    <row r="1387" spans="2:13" x14ac:dyDescent="0.2">
      <c r="B1387" s="10"/>
      <c r="C1387" s="7"/>
      <c r="D1387" s="11"/>
      <c r="E1387" s="6"/>
      <c r="F1387" s="12" t="str">
        <f t="shared" si="42"/>
        <v/>
      </c>
      <c r="G1387" s="13" t="str">
        <f t="shared" si="43"/>
        <v/>
      </c>
      <c r="H1387" s="9"/>
      <c r="I1387" s="9"/>
      <c r="J1387" s="14" t="str">
        <f>IF(E1387="","",IFERROR(VLOOKUP(E1387,TabProd,5,FALSE),0)+SUMIFS($H$5:H1387,$E$5:E1387,E1387)-SUMIFS($I$5:I1387,$E$5:E1387,E1387))</f>
        <v/>
      </c>
      <c r="K1387" s="7"/>
      <c r="L1387" s="7"/>
      <c r="M1387" s="1" t="str">
        <f>IF(E1387="","",E1387&amp;"|"&amp;COUNTIF($E$5:E1387,E1387))</f>
        <v/>
      </c>
    </row>
    <row r="1388" spans="2:13" x14ac:dyDescent="0.2">
      <c r="B1388" s="10"/>
      <c r="C1388" s="7"/>
      <c r="D1388" s="11"/>
      <c r="E1388" s="6"/>
      <c r="F1388" s="12" t="str">
        <f t="shared" si="42"/>
        <v/>
      </c>
      <c r="G1388" s="13" t="str">
        <f t="shared" si="43"/>
        <v/>
      </c>
      <c r="H1388" s="9"/>
      <c r="I1388" s="9"/>
      <c r="J1388" s="14" t="str">
        <f>IF(E1388="","",IFERROR(VLOOKUP(E1388,TabProd,5,FALSE),0)+SUMIFS($H$5:H1388,$E$5:E1388,E1388)-SUMIFS($I$5:I1388,$E$5:E1388,E1388))</f>
        <v/>
      </c>
      <c r="K1388" s="7"/>
      <c r="L1388" s="7"/>
      <c r="M1388" s="1" t="str">
        <f>IF(E1388="","",E1388&amp;"|"&amp;COUNTIF($E$5:E1388,E1388))</f>
        <v/>
      </c>
    </row>
    <row r="1389" spans="2:13" x14ac:dyDescent="0.2">
      <c r="B1389" s="10"/>
      <c r="C1389" s="7"/>
      <c r="D1389" s="11"/>
      <c r="E1389" s="6"/>
      <c r="F1389" s="12" t="str">
        <f t="shared" si="42"/>
        <v/>
      </c>
      <c r="G1389" s="13" t="str">
        <f t="shared" si="43"/>
        <v/>
      </c>
      <c r="H1389" s="9"/>
      <c r="I1389" s="9"/>
      <c r="J1389" s="14" t="str">
        <f>IF(E1389="","",IFERROR(VLOOKUP(E1389,TabProd,5,FALSE),0)+SUMIFS($H$5:H1389,$E$5:E1389,E1389)-SUMIFS($I$5:I1389,$E$5:E1389,E1389))</f>
        <v/>
      </c>
      <c r="K1389" s="7"/>
      <c r="L1389" s="7"/>
      <c r="M1389" s="1" t="str">
        <f>IF(E1389="","",E1389&amp;"|"&amp;COUNTIF($E$5:E1389,E1389))</f>
        <v/>
      </c>
    </row>
    <row r="1390" spans="2:13" x14ac:dyDescent="0.2">
      <c r="B1390" s="10"/>
      <c r="C1390" s="7"/>
      <c r="D1390" s="11"/>
      <c r="E1390" s="6"/>
      <c r="F1390" s="12" t="str">
        <f t="shared" si="42"/>
        <v/>
      </c>
      <c r="G1390" s="13" t="str">
        <f t="shared" si="43"/>
        <v/>
      </c>
      <c r="H1390" s="9"/>
      <c r="I1390" s="9"/>
      <c r="J1390" s="14" t="str">
        <f>IF(E1390="","",IFERROR(VLOOKUP(E1390,TabProd,5,FALSE),0)+SUMIFS($H$5:H1390,$E$5:E1390,E1390)-SUMIFS($I$5:I1390,$E$5:E1390,E1390))</f>
        <v/>
      </c>
      <c r="K1390" s="7"/>
      <c r="L1390" s="7"/>
      <c r="M1390" s="1" t="str">
        <f>IF(E1390="","",E1390&amp;"|"&amp;COUNTIF($E$5:E1390,E1390))</f>
        <v/>
      </c>
    </row>
    <row r="1391" spans="2:13" x14ac:dyDescent="0.2">
      <c r="B1391" s="10"/>
      <c r="C1391" s="7"/>
      <c r="D1391" s="11"/>
      <c r="E1391" s="6"/>
      <c r="F1391" s="12" t="str">
        <f t="shared" si="42"/>
        <v/>
      </c>
      <c r="G1391" s="13" t="str">
        <f t="shared" si="43"/>
        <v/>
      </c>
      <c r="H1391" s="9"/>
      <c r="I1391" s="9"/>
      <c r="J1391" s="14" t="str">
        <f>IF(E1391="","",IFERROR(VLOOKUP(E1391,TabProd,5,FALSE),0)+SUMIFS($H$5:H1391,$E$5:E1391,E1391)-SUMIFS($I$5:I1391,$E$5:E1391,E1391))</f>
        <v/>
      </c>
      <c r="K1391" s="7"/>
      <c r="L1391" s="7"/>
      <c r="M1391" s="1" t="str">
        <f>IF(E1391="","",E1391&amp;"|"&amp;COUNTIF($E$5:E1391,E1391))</f>
        <v/>
      </c>
    </row>
    <row r="1392" spans="2:13" x14ac:dyDescent="0.2">
      <c r="B1392" s="10"/>
      <c r="C1392" s="7"/>
      <c r="D1392" s="11"/>
      <c r="E1392" s="6"/>
      <c r="F1392" s="12" t="str">
        <f t="shared" si="42"/>
        <v/>
      </c>
      <c r="G1392" s="13" t="str">
        <f t="shared" si="43"/>
        <v/>
      </c>
      <c r="H1392" s="9"/>
      <c r="I1392" s="9"/>
      <c r="J1392" s="14" t="str">
        <f>IF(E1392="","",IFERROR(VLOOKUP(E1392,TabProd,5,FALSE),0)+SUMIFS($H$5:H1392,$E$5:E1392,E1392)-SUMIFS($I$5:I1392,$E$5:E1392,E1392))</f>
        <v/>
      </c>
      <c r="K1392" s="7"/>
      <c r="L1392" s="7"/>
      <c r="M1392" s="1" t="str">
        <f>IF(E1392="","",E1392&amp;"|"&amp;COUNTIF($E$5:E1392,E1392))</f>
        <v/>
      </c>
    </row>
    <row r="1393" spans="2:13" x14ac:dyDescent="0.2">
      <c r="B1393" s="10"/>
      <c r="C1393" s="7"/>
      <c r="D1393" s="11"/>
      <c r="E1393" s="6"/>
      <c r="F1393" s="12" t="str">
        <f t="shared" si="42"/>
        <v/>
      </c>
      <c r="G1393" s="13" t="str">
        <f t="shared" si="43"/>
        <v/>
      </c>
      <c r="H1393" s="9"/>
      <c r="I1393" s="9"/>
      <c r="J1393" s="14" t="str">
        <f>IF(E1393="","",IFERROR(VLOOKUP(E1393,TabProd,5,FALSE),0)+SUMIFS($H$5:H1393,$E$5:E1393,E1393)-SUMIFS($I$5:I1393,$E$5:E1393,E1393))</f>
        <v/>
      </c>
      <c r="K1393" s="7"/>
      <c r="L1393" s="7"/>
      <c r="M1393" s="1" t="str">
        <f>IF(E1393="","",E1393&amp;"|"&amp;COUNTIF($E$5:E1393,E1393))</f>
        <v/>
      </c>
    </row>
    <row r="1394" spans="2:13" x14ac:dyDescent="0.2">
      <c r="B1394" s="10"/>
      <c r="C1394" s="7"/>
      <c r="D1394" s="11"/>
      <c r="E1394" s="6"/>
      <c r="F1394" s="12" t="str">
        <f t="shared" si="42"/>
        <v/>
      </c>
      <c r="G1394" s="13" t="str">
        <f t="shared" si="43"/>
        <v/>
      </c>
      <c r="H1394" s="9"/>
      <c r="I1394" s="9"/>
      <c r="J1394" s="14" t="str">
        <f>IF(E1394="","",IFERROR(VLOOKUP(E1394,TabProd,5,FALSE),0)+SUMIFS($H$5:H1394,$E$5:E1394,E1394)-SUMIFS($I$5:I1394,$E$5:E1394,E1394))</f>
        <v/>
      </c>
      <c r="K1394" s="7"/>
      <c r="L1394" s="7"/>
      <c r="M1394" s="1" t="str">
        <f>IF(E1394="","",E1394&amp;"|"&amp;COUNTIF($E$5:E1394,E1394))</f>
        <v/>
      </c>
    </row>
    <row r="1395" spans="2:13" x14ac:dyDescent="0.2">
      <c r="B1395" s="10"/>
      <c r="C1395" s="7"/>
      <c r="D1395" s="11"/>
      <c r="E1395" s="6"/>
      <c r="F1395" s="12" t="str">
        <f t="shared" si="42"/>
        <v/>
      </c>
      <c r="G1395" s="13" t="str">
        <f t="shared" si="43"/>
        <v/>
      </c>
      <c r="H1395" s="9"/>
      <c r="I1395" s="9"/>
      <c r="J1395" s="14" t="str">
        <f>IF(E1395="","",IFERROR(VLOOKUP(E1395,TabProd,5,FALSE),0)+SUMIFS($H$5:H1395,$E$5:E1395,E1395)-SUMIFS($I$5:I1395,$E$5:E1395,E1395))</f>
        <v/>
      </c>
      <c r="K1395" s="7"/>
      <c r="L1395" s="7"/>
      <c r="M1395" s="1" t="str">
        <f>IF(E1395="","",E1395&amp;"|"&amp;COUNTIF($E$5:E1395,E1395))</f>
        <v/>
      </c>
    </row>
    <row r="1396" spans="2:13" x14ac:dyDescent="0.2">
      <c r="B1396" s="10"/>
      <c r="C1396" s="7"/>
      <c r="D1396" s="11"/>
      <c r="E1396" s="6"/>
      <c r="F1396" s="12" t="str">
        <f t="shared" si="42"/>
        <v/>
      </c>
      <c r="G1396" s="13" t="str">
        <f t="shared" si="43"/>
        <v/>
      </c>
      <c r="H1396" s="9"/>
      <c r="I1396" s="9"/>
      <c r="J1396" s="14" t="str">
        <f>IF(E1396="","",IFERROR(VLOOKUP(E1396,TabProd,5,FALSE),0)+SUMIFS($H$5:H1396,$E$5:E1396,E1396)-SUMIFS($I$5:I1396,$E$5:E1396,E1396))</f>
        <v/>
      </c>
      <c r="K1396" s="7"/>
      <c r="L1396" s="7"/>
      <c r="M1396" s="1" t="str">
        <f>IF(E1396="","",E1396&amp;"|"&amp;COUNTIF($E$5:E1396,E1396))</f>
        <v/>
      </c>
    </row>
    <row r="1397" spans="2:13" x14ac:dyDescent="0.2">
      <c r="B1397" s="10"/>
      <c r="C1397" s="7"/>
      <c r="D1397" s="11"/>
      <c r="E1397" s="6"/>
      <c r="F1397" s="12" t="str">
        <f t="shared" si="42"/>
        <v/>
      </c>
      <c r="G1397" s="13" t="str">
        <f t="shared" si="43"/>
        <v/>
      </c>
      <c r="H1397" s="9"/>
      <c r="I1397" s="9"/>
      <c r="J1397" s="14" t="str">
        <f>IF(E1397="","",IFERROR(VLOOKUP(E1397,TabProd,5,FALSE),0)+SUMIFS($H$5:H1397,$E$5:E1397,E1397)-SUMIFS($I$5:I1397,$E$5:E1397,E1397))</f>
        <v/>
      </c>
      <c r="K1397" s="7"/>
      <c r="L1397" s="7"/>
      <c r="M1397" s="1" t="str">
        <f>IF(E1397="","",E1397&amp;"|"&amp;COUNTIF($E$5:E1397,E1397))</f>
        <v/>
      </c>
    </row>
    <row r="1398" spans="2:13" x14ac:dyDescent="0.2">
      <c r="B1398" s="10"/>
      <c r="C1398" s="7"/>
      <c r="D1398" s="11"/>
      <c r="E1398" s="6"/>
      <c r="F1398" s="12" t="str">
        <f t="shared" si="42"/>
        <v/>
      </c>
      <c r="G1398" s="13" t="str">
        <f t="shared" si="43"/>
        <v/>
      </c>
      <c r="H1398" s="9"/>
      <c r="I1398" s="9"/>
      <c r="J1398" s="14" t="str">
        <f>IF(E1398="","",IFERROR(VLOOKUP(E1398,TabProd,5,FALSE),0)+SUMIFS($H$5:H1398,$E$5:E1398,E1398)-SUMIFS($I$5:I1398,$E$5:E1398,E1398))</f>
        <v/>
      </c>
      <c r="K1398" s="7"/>
      <c r="L1398" s="7"/>
      <c r="M1398" s="1" t="str">
        <f>IF(E1398="","",E1398&amp;"|"&amp;COUNTIF($E$5:E1398,E1398))</f>
        <v/>
      </c>
    </row>
    <row r="1399" spans="2:13" x14ac:dyDescent="0.2">
      <c r="B1399" s="10"/>
      <c r="C1399" s="7"/>
      <c r="D1399" s="11"/>
      <c r="E1399" s="6"/>
      <c r="F1399" s="12" t="str">
        <f t="shared" si="42"/>
        <v/>
      </c>
      <c r="G1399" s="13" t="str">
        <f t="shared" si="43"/>
        <v/>
      </c>
      <c r="H1399" s="9"/>
      <c r="I1399" s="9"/>
      <c r="J1399" s="14" t="str">
        <f>IF(E1399="","",IFERROR(VLOOKUP(E1399,TabProd,5,FALSE),0)+SUMIFS($H$5:H1399,$E$5:E1399,E1399)-SUMIFS($I$5:I1399,$E$5:E1399,E1399))</f>
        <v/>
      </c>
      <c r="K1399" s="7"/>
      <c r="L1399" s="7"/>
      <c r="M1399" s="1" t="str">
        <f>IF(E1399="","",E1399&amp;"|"&amp;COUNTIF($E$5:E1399,E1399))</f>
        <v/>
      </c>
    </row>
    <row r="1400" spans="2:13" x14ac:dyDescent="0.2">
      <c r="B1400" s="10"/>
      <c r="C1400" s="7"/>
      <c r="D1400" s="11"/>
      <c r="E1400" s="6"/>
      <c r="F1400" s="12" t="str">
        <f t="shared" si="42"/>
        <v/>
      </c>
      <c r="G1400" s="13" t="str">
        <f t="shared" si="43"/>
        <v/>
      </c>
      <c r="H1400" s="9"/>
      <c r="I1400" s="9"/>
      <c r="J1400" s="14" t="str">
        <f>IF(E1400="","",IFERROR(VLOOKUP(E1400,TabProd,5,FALSE),0)+SUMIFS($H$5:H1400,$E$5:E1400,E1400)-SUMIFS($I$5:I1400,$E$5:E1400,E1400))</f>
        <v/>
      </c>
      <c r="K1400" s="7"/>
      <c r="L1400" s="7"/>
      <c r="M1400" s="1" t="str">
        <f>IF(E1400="","",E1400&amp;"|"&amp;COUNTIF($E$5:E1400,E1400))</f>
        <v/>
      </c>
    </row>
    <row r="1401" spans="2:13" x14ac:dyDescent="0.2">
      <c r="B1401" s="10"/>
      <c r="C1401" s="7"/>
      <c r="D1401" s="11"/>
      <c r="E1401" s="6"/>
      <c r="F1401" s="12" t="str">
        <f t="shared" si="42"/>
        <v/>
      </c>
      <c r="G1401" s="13" t="str">
        <f t="shared" si="43"/>
        <v/>
      </c>
      <c r="H1401" s="9"/>
      <c r="I1401" s="9"/>
      <c r="J1401" s="14" t="str">
        <f>IF(E1401="","",IFERROR(VLOOKUP(E1401,TabProd,5,FALSE),0)+SUMIFS($H$5:H1401,$E$5:E1401,E1401)-SUMIFS($I$5:I1401,$E$5:E1401,E1401))</f>
        <v/>
      </c>
      <c r="K1401" s="7"/>
      <c r="L1401" s="7"/>
      <c r="M1401" s="1" t="str">
        <f>IF(E1401="","",E1401&amp;"|"&amp;COUNTIF($E$5:E1401,E1401))</f>
        <v/>
      </c>
    </row>
    <row r="1402" spans="2:13" x14ac:dyDescent="0.2">
      <c r="B1402" s="10"/>
      <c r="C1402" s="7"/>
      <c r="D1402" s="11"/>
      <c r="E1402" s="6"/>
      <c r="F1402" s="12" t="str">
        <f t="shared" si="42"/>
        <v/>
      </c>
      <c r="G1402" s="13" t="str">
        <f t="shared" si="43"/>
        <v/>
      </c>
      <c r="H1402" s="9"/>
      <c r="I1402" s="9"/>
      <c r="J1402" s="14" t="str">
        <f>IF(E1402="","",IFERROR(VLOOKUP(E1402,TabProd,5,FALSE),0)+SUMIFS($H$5:H1402,$E$5:E1402,E1402)-SUMIFS($I$5:I1402,$E$5:E1402,E1402))</f>
        <v/>
      </c>
      <c r="K1402" s="7"/>
      <c r="L1402" s="7"/>
      <c r="M1402" s="1" t="str">
        <f>IF(E1402="","",E1402&amp;"|"&amp;COUNTIF($E$5:E1402,E1402))</f>
        <v/>
      </c>
    </row>
    <row r="1403" spans="2:13" x14ac:dyDescent="0.2">
      <c r="B1403" s="10"/>
      <c r="C1403" s="7"/>
      <c r="D1403" s="11"/>
      <c r="E1403" s="6"/>
      <c r="F1403" s="12" t="str">
        <f t="shared" si="42"/>
        <v/>
      </c>
      <c r="G1403" s="13" t="str">
        <f t="shared" si="43"/>
        <v/>
      </c>
      <c r="H1403" s="9"/>
      <c r="I1403" s="9"/>
      <c r="J1403" s="14" t="str">
        <f>IF(E1403="","",IFERROR(VLOOKUP(E1403,TabProd,5,FALSE),0)+SUMIFS($H$5:H1403,$E$5:E1403,E1403)-SUMIFS($I$5:I1403,$E$5:E1403,E1403))</f>
        <v/>
      </c>
      <c r="K1403" s="7"/>
      <c r="L1403" s="7"/>
      <c r="M1403" s="1" t="str">
        <f>IF(E1403="","",E1403&amp;"|"&amp;COUNTIF($E$5:E1403,E1403))</f>
        <v/>
      </c>
    </row>
    <row r="1404" spans="2:13" x14ac:dyDescent="0.2">
      <c r="B1404" s="10"/>
      <c r="C1404" s="7"/>
      <c r="D1404" s="11"/>
      <c r="E1404" s="6"/>
      <c r="F1404" s="12" t="str">
        <f t="shared" si="42"/>
        <v/>
      </c>
      <c r="G1404" s="13" t="str">
        <f t="shared" si="43"/>
        <v/>
      </c>
      <c r="H1404" s="9"/>
      <c r="I1404" s="9"/>
      <c r="J1404" s="14" t="str">
        <f>IF(E1404="","",IFERROR(VLOOKUP(E1404,TabProd,5,FALSE),0)+SUMIFS($H$5:H1404,$E$5:E1404,E1404)-SUMIFS($I$5:I1404,$E$5:E1404,E1404))</f>
        <v/>
      </c>
      <c r="K1404" s="7"/>
      <c r="L1404" s="7"/>
      <c r="M1404" s="1" t="str">
        <f>IF(E1404="","",E1404&amp;"|"&amp;COUNTIF($E$5:E1404,E1404))</f>
        <v/>
      </c>
    </row>
    <row r="1405" spans="2:13" x14ac:dyDescent="0.2">
      <c r="B1405" s="10"/>
      <c r="C1405" s="7"/>
      <c r="D1405" s="11"/>
      <c r="E1405" s="6"/>
      <c r="F1405" s="12" t="str">
        <f t="shared" si="42"/>
        <v/>
      </c>
      <c r="G1405" s="13" t="str">
        <f t="shared" si="43"/>
        <v/>
      </c>
      <c r="H1405" s="9"/>
      <c r="I1405" s="9"/>
      <c r="J1405" s="14" t="str">
        <f>IF(E1405="","",IFERROR(VLOOKUP(E1405,TabProd,5,FALSE),0)+SUMIFS($H$5:H1405,$E$5:E1405,E1405)-SUMIFS($I$5:I1405,$E$5:E1405,E1405))</f>
        <v/>
      </c>
      <c r="K1405" s="7"/>
      <c r="L1405" s="7"/>
      <c r="M1405" s="1" t="str">
        <f>IF(E1405="","",E1405&amp;"|"&amp;COUNTIF($E$5:E1405,E1405))</f>
        <v/>
      </c>
    </row>
    <row r="1406" spans="2:13" x14ac:dyDescent="0.2">
      <c r="B1406" s="10"/>
      <c r="C1406" s="7"/>
      <c r="D1406" s="11"/>
      <c r="E1406" s="6"/>
      <c r="F1406" s="12" t="str">
        <f t="shared" si="42"/>
        <v/>
      </c>
      <c r="G1406" s="13" t="str">
        <f t="shared" si="43"/>
        <v/>
      </c>
      <c r="H1406" s="9"/>
      <c r="I1406" s="9"/>
      <c r="J1406" s="14" t="str">
        <f>IF(E1406="","",IFERROR(VLOOKUP(E1406,TabProd,5,FALSE),0)+SUMIFS($H$5:H1406,$E$5:E1406,E1406)-SUMIFS($I$5:I1406,$E$5:E1406,E1406))</f>
        <v/>
      </c>
      <c r="K1406" s="7"/>
      <c r="L1406" s="7"/>
      <c r="M1406" s="1" t="str">
        <f>IF(E1406="","",E1406&amp;"|"&amp;COUNTIF($E$5:E1406,E1406))</f>
        <v/>
      </c>
    </row>
    <row r="1407" spans="2:13" x14ac:dyDescent="0.2">
      <c r="B1407" s="10"/>
      <c r="C1407" s="7"/>
      <c r="D1407" s="11"/>
      <c r="E1407" s="6"/>
      <c r="F1407" s="12" t="str">
        <f t="shared" si="42"/>
        <v/>
      </c>
      <c r="G1407" s="13" t="str">
        <f t="shared" si="43"/>
        <v/>
      </c>
      <c r="H1407" s="9"/>
      <c r="I1407" s="9"/>
      <c r="J1407" s="14" t="str">
        <f>IF(E1407="","",IFERROR(VLOOKUP(E1407,TabProd,5,FALSE),0)+SUMIFS($H$5:H1407,$E$5:E1407,E1407)-SUMIFS($I$5:I1407,$E$5:E1407,E1407))</f>
        <v/>
      </c>
      <c r="K1407" s="7"/>
      <c r="L1407" s="7"/>
      <c r="M1407" s="1" t="str">
        <f>IF(E1407="","",E1407&amp;"|"&amp;COUNTIF($E$5:E1407,E1407))</f>
        <v/>
      </c>
    </row>
    <row r="1408" spans="2:13" x14ac:dyDescent="0.2">
      <c r="B1408" s="10"/>
      <c r="C1408" s="7"/>
      <c r="D1408" s="11"/>
      <c r="E1408" s="6"/>
      <c r="F1408" s="12" t="str">
        <f t="shared" si="42"/>
        <v/>
      </c>
      <c r="G1408" s="13" t="str">
        <f t="shared" si="43"/>
        <v/>
      </c>
      <c r="H1408" s="9"/>
      <c r="I1408" s="9"/>
      <c r="J1408" s="14" t="str">
        <f>IF(E1408="","",IFERROR(VLOOKUP(E1408,TabProd,5,FALSE),0)+SUMIFS($H$5:H1408,$E$5:E1408,E1408)-SUMIFS($I$5:I1408,$E$5:E1408,E1408))</f>
        <v/>
      </c>
      <c r="K1408" s="7"/>
      <c r="L1408" s="7"/>
      <c r="M1408" s="1" t="str">
        <f>IF(E1408="","",E1408&amp;"|"&amp;COUNTIF($E$5:E1408,E1408))</f>
        <v/>
      </c>
    </row>
    <row r="1409" spans="2:13" x14ac:dyDescent="0.2">
      <c r="B1409" s="10"/>
      <c r="C1409" s="7"/>
      <c r="D1409" s="11"/>
      <c r="E1409" s="6"/>
      <c r="F1409" s="12" t="str">
        <f t="shared" si="42"/>
        <v/>
      </c>
      <c r="G1409" s="13" t="str">
        <f t="shared" si="43"/>
        <v/>
      </c>
      <c r="H1409" s="9"/>
      <c r="I1409" s="9"/>
      <c r="J1409" s="14" t="str">
        <f>IF(E1409="","",IFERROR(VLOOKUP(E1409,TabProd,5,FALSE),0)+SUMIFS($H$5:H1409,$E$5:E1409,E1409)-SUMIFS($I$5:I1409,$E$5:E1409,E1409))</f>
        <v/>
      </c>
      <c r="K1409" s="7"/>
      <c r="L1409" s="7"/>
      <c r="M1409" s="1" t="str">
        <f>IF(E1409="","",E1409&amp;"|"&amp;COUNTIF($E$5:E1409,E1409))</f>
        <v/>
      </c>
    </row>
    <row r="1410" spans="2:13" x14ac:dyDescent="0.2">
      <c r="B1410" s="10"/>
      <c r="C1410" s="7"/>
      <c r="D1410" s="11"/>
      <c r="E1410" s="6"/>
      <c r="F1410" s="12" t="str">
        <f t="shared" si="42"/>
        <v/>
      </c>
      <c r="G1410" s="13" t="str">
        <f t="shared" si="43"/>
        <v/>
      </c>
      <c r="H1410" s="9"/>
      <c r="I1410" s="9"/>
      <c r="J1410" s="14" t="str">
        <f>IF(E1410="","",IFERROR(VLOOKUP(E1410,TabProd,5,FALSE),0)+SUMIFS($H$5:H1410,$E$5:E1410,E1410)-SUMIFS($I$5:I1410,$E$5:E1410,E1410))</f>
        <v/>
      </c>
      <c r="K1410" s="7"/>
      <c r="L1410" s="7"/>
      <c r="M1410" s="1" t="str">
        <f>IF(E1410="","",E1410&amp;"|"&amp;COUNTIF($E$5:E1410,E1410))</f>
        <v/>
      </c>
    </row>
    <row r="1411" spans="2:13" x14ac:dyDescent="0.2">
      <c r="B1411" s="10"/>
      <c r="C1411" s="7"/>
      <c r="D1411" s="11"/>
      <c r="E1411" s="6"/>
      <c r="F1411" s="12" t="str">
        <f t="shared" si="42"/>
        <v/>
      </c>
      <c r="G1411" s="13" t="str">
        <f t="shared" si="43"/>
        <v/>
      </c>
      <c r="H1411" s="9"/>
      <c r="I1411" s="9"/>
      <c r="J1411" s="14" t="str">
        <f>IF(E1411="","",IFERROR(VLOOKUP(E1411,TabProd,5,FALSE),0)+SUMIFS($H$5:H1411,$E$5:E1411,E1411)-SUMIFS($I$5:I1411,$E$5:E1411,E1411))</f>
        <v/>
      </c>
      <c r="K1411" s="7"/>
      <c r="L1411" s="7"/>
      <c r="M1411" s="1" t="str">
        <f>IF(E1411="","",E1411&amp;"|"&amp;COUNTIF($E$5:E1411,E1411))</f>
        <v/>
      </c>
    </row>
    <row r="1412" spans="2:13" x14ac:dyDescent="0.2">
      <c r="B1412" s="10"/>
      <c r="C1412" s="7"/>
      <c r="D1412" s="11"/>
      <c r="E1412" s="6"/>
      <c r="F1412" s="12" t="str">
        <f t="shared" si="42"/>
        <v/>
      </c>
      <c r="G1412" s="13" t="str">
        <f t="shared" si="43"/>
        <v/>
      </c>
      <c r="H1412" s="9"/>
      <c r="I1412" s="9"/>
      <c r="J1412" s="14" t="str">
        <f>IF(E1412="","",IFERROR(VLOOKUP(E1412,TabProd,5,FALSE),0)+SUMIFS($H$5:H1412,$E$5:E1412,E1412)-SUMIFS($I$5:I1412,$E$5:E1412,E1412))</f>
        <v/>
      </c>
      <c r="K1412" s="7"/>
      <c r="L1412" s="7"/>
      <c r="M1412" s="1" t="str">
        <f>IF(E1412="","",E1412&amp;"|"&amp;COUNTIF($E$5:E1412,E1412))</f>
        <v/>
      </c>
    </row>
    <row r="1413" spans="2:13" x14ac:dyDescent="0.2">
      <c r="B1413" s="10"/>
      <c r="C1413" s="7"/>
      <c r="D1413" s="11"/>
      <c r="E1413" s="6"/>
      <c r="F1413" s="12" t="str">
        <f t="shared" ref="F1413:F1476" si="44">IF(E1413="","",IFERROR(VLOOKUP(E1413,TabProd,2,FALSE),"Cod inexistent"))</f>
        <v/>
      </c>
      <c r="G1413" s="13" t="str">
        <f t="shared" ref="G1413:G1476" si="45">IF(E1413="","",IFERROR(VLOOKUP(E1413,TabProd,3,FALSE),""))</f>
        <v/>
      </c>
      <c r="H1413" s="9"/>
      <c r="I1413" s="9"/>
      <c r="J1413" s="14" t="str">
        <f>IF(E1413="","",IFERROR(VLOOKUP(E1413,TabProd,5,FALSE),0)+SUMIFS($H$5:H1413,$E$5:E1413,E1413)-SUMIFS($I$5:I1413,$E$5:E1413,E1413))</f>
        <v/>
      </c>
      <c r="K1413" s="7"/>
      <c r="L1413" s="7"/>
      <c r="M1413" s="1" t="str">
        <f>IF(E1413="","",E1413&amp;"|"&amp;COUNTIF($E$5:E1413,E1413))</f>
        <v/>
      </c>
    </row>
    <row r="1414" spans="2:13" x14ac:dyDescent="0.2">
      <c r="B1414" s="10"/>
      <c r="C1414" s="7"/>
      <c r="D1414" s="11"/>
      <c r="E1414" s="6"/>
      <c r="F1414" s="12" t="str">
        <f t="shared" si="44"/>
        <v/>
      </c>
      <c r="G1414" s="13" t="str">
        <f t="shared" si="45"/>
        <v/>
      </c>
      <c r="H1414" s="9"/>
      <c r="I1414" s="9"/>
      <c r="J1414" s="14" t="str">
        <f>IF(E1414="","",IFERROR(VLOOKUP(E1414,TabProd,5,FALSE),0)+SUMIFS($H$5:H1414,$E$5:E1414,E1414)-SUMIFS($I$5:I1414,$E$5:E1414,E1414))</f>
        <v/>
      </c>
      <c r="K1414" s="7"/>
      <c r="L1414" s="7"/>
      <c r="M1414" s="1" t="str">
        <f>IF(E1414="","",E1414&amp;"|"&amp;COUNTIF($E$5:E1414,E1414))</f>
        <v/>
      </c>
    </row>
    <row r="1415" spans="2:13" x14ac:dyDescent="0.2">
      <c r="B1415" s="10"/>
      <c r="C1415" s="7"/>
      <c r="D1415" s="11"/>
      <c r="E1415" s="6"/>
      <c r="F1415" s="12" t="str">
        <f t="shared" si="44"/>
        <v/>
      </c>
      <c r="G1415" s="13" t="str">
        <f t="shared" si="45"/>
        <v/>
      </c>
      <c r="H1415" s="9"/>
      <c r="I1415" s="9"/>
      <c r="J1415" s="14" t="str">
        <f>IF(E1415="","",IFERROR(VLOOKUP(E1415,TabProd,5,FALSE),0)+SUMIFS($H$5:H1415,$E$5:E1415,E1415)-SUMIFS($I$5:I1415,$E$5:E1415,E1415))</f>
        <v/>
      </c>
      <c r="K1415" s="7"/>
      <c r="L1415" s="7"/>
      <c r="M1415" s="1" t="str">
        <f>IF(E1415="","",E1415&amp;"|"&amp;COUNTIF($E$5:E1415,E1415))</f>
        <v/>
      </c>
    </row>
    <row r="1416" spans="2:13" x14ac:dyDescent="0.2">
      <c r="B1416" s="10"/>
      <c r="C1416" s="7"/>
      <c r="D1416" s="11"/>
      <c r="E1416" s="6"/>
      <c r="F1416" s="12" t="str">
        <f t="shared" si="44"/>
        <v/>
      </c>
      <c r="G1416" s="13" t="str">
        <f t="shared" si="45"/>
        <v/>
      </c>
      <c r="H1416" s="9"/>
      <c r="I1416" s="9"/>
      <c r="J1416" s="14" t="str">
        <f>IF(E1416="","",IFERROR(VLOOKUP(E1416,TabProd,5,FALSE),0)+SUMIFS($H$5:H1416,$E$5:E1416,E1416)-SUMIFS($I$5:I1416,$E$5:E1416,E1416))</f>
        <v/>
      </c>
      <c r="K1416" s="7"/>
      <c r="L1416" s="7"/>
      <c r="M1416" s="1" t="str">
        <f>IF(E1416="","",E1416&amp;"|"&amp;COUNTIF($E$5:E1416,E1416))</f>
        <v/>
      </c>
    </row>
    <row r="1417" spans="2:13" x14ac:dyDescent="0.2">
      <c r="B1417" s="10"/>
      <c r="C1417" s="7"/>
      <c r="D1417" s="11"/>
      <c r="E1417" s="6"/>
      <c r="F1417" s="12" t="str">
        <f t="shared" si="44"/>
        <v/>
      </c>
      <c r="G1417" s="13" t="str">
        <f t="shared" si="45"/>
        <v/>
      </c>
      <c r="H1417" s="9"/>
      <c r="I1417" s="9"/>
      <c r="J1417" s="14" t="str">
        <f>IF(E1417="","",IFERROR(VLOOKUP(E1417,TabProd,5,FALSE),0)+SUMIFS($H$5:H1417,$E$5:E1417,E1417)-SUMIFS($I$5:I1417,$E$5:E1417,E1417))</f>
        <v/>
      </c>
      <c r="K1417" s="7"/>
      <c r="L1417" s="7"/>
      <c r="M1417" s="1" t="str">
        <f>IF(E1417="","",E1417&amp;"|"&amp;COUNTIF($E$5:E1417,E1417))</f>
        <v/>
      </c>
    </row>
    <row r="1418" spans="2:13" x14ac:dyDescent="0.2">
      <c r="B1418" s="10"/>
      <c r="C1418" s="7"/>
      <c r="D1418" s="11"/>
      <c r="E1418" s="6"/>
      <c r="F1418" s="12" t="str">
        <f t="shared" si="44"/>
        <v/>
      </c>
      <c r="G1418" s="13" t="str">
        <f t="shared" si="45"/>
        <v/>
      </c>
      <c r="H1418" s="9"/>
      <c r="I1418" s="9"/>
      <c r="J1418" s="14" t="str">
        <f>IF(E1418="","",IFERROR(VLOOKUP(E1418,TabProd,5,FALSE),0)+SUMIFS($H$5:H1418,$E$5:E1418,E1418)-SUMIFS($I$5:I1418,$E$5:E1418,E1418))</f>
        <v/>
      </c>
      <c r="K1418" s="7"/>
      <c r="L1418" s="7"/>
      <c r="M1418" s="1" t="str">
        <f>IF(E1418="","",E1418&amp;"|"&amp;COUNTIF($E$5:E1418,E1418))</f>
        <v/>
      </c>
    </row>
    <row r="1419" spans="2:13" x14ac:dyDescent="0.2">
      <c r="B1419" s="10"/>
      <c r="C1419" s="7"/>
      <c r="D1419" s="11"/>
      <c r="E1419" s="6"/>
      <c r="F1419" s="12" t="str">
        <f t="shared" si="44"/>
        <v/>
      </c>
      <c r="G1419" s="13" t="str">
        <f t="shared" si="45"/>
        <v/>
      </c>
      <c r="H1419" s="9"/>
      <c r="I1419" s="9"/>
      <c r="J1419" s="14" t="str">
        <f>IF(E1419="","",IFERROR(VLOOKUP(E1419,TabProd,5,FALSE),0)+SUMIFS($H$5:H1419,$E$5:E1419,E1419)-SUMIFS($I$5:I1419,$E$5:E1419,E1419))</f>
        <v/>
      </c>
      <c r="K1419" s="7"/>
      <c r="L1419" s="7"/>
      <c r="M1419" s="1" t="str">
        <f>IF(E1419="","",E1419&amp;"|"&amp;COUNTIF($E$5:E1419,E1419))</f>
        <v/>
      </c>
    </row>
    <row r="1420" spans="2:13" x14ac:dyDescent="0.2">
      <c r="B1420" s="10"/>
      <c r="C1420" s="7"/>
      <c r="D1420" s="11"/>
      <c r="E1420" s="6"/>
      <c r="F1420" s="12" t="str">
        <f t="shared" si="44"/>
        <v/>
      </c>
      <c r="G1420" s="13" t="str">
        <f t="shared" si="45"/>
        <v/>
      </c>
      <c r="H1420" s="9"/>
      <c r="I1420" s="9"/>
      <c r="J1420" s="14" t="str">
        <f>IF(E1420="","",IFERROR(VLOOKUP(E1420,TabProd,5,FALSE),0)+SUMIFS($H$5:H1420,$E$5:E1420,E1420)-SUMIFS($I$5:I1420,$E$5:E1420,E1420))</f>
        <v/>
      </c>
      <c r="K1420" s="7"/>
      <c r="L1420" s="7"/>
      <c r="M1420" s="1" t="str">
        <f>IF(E1420="","",E1420&amp;"|"&amp;COUNTIF($E$5:E1420,E1420))</f>
        <v/>
      </c>
    </row>
    <row r="1421" spans="2:13" x14ac:dyDescent="0.2">
      <c r="B1421" s="10"/>
      <c r="C1421" s="7"/>
      <c r="D1421" s="11"/>
      <c r="E1421" s="6"/>
      <c r="F1421" s="12" t="str">
        <f t="shared" si="44"/>
        <v/>
      </c>
      <c r="G1421" s="13" t="str">
        <f t="shared" si="45"/>
        <v/>
      </c>
      <c r="H1421" s="9"/>
      <c r="I1421" s="9"/>
      <c r="J1421" s="14" t="str">
        <f>IF(E1421="","",IFERROR(VLOOKUP(E1421,TabProd,5,FALSE),0)+SUMIFS($H$5:H1421,$E$5:E1421,E1421)-SUMIFS($I$5:I1421,$E$5:E1421,E1421))</f>
        <v/>
      </c>
      <c r="K1421" s="7"/>
      <c r="L1421" s="7"/>
      <c r="M1421" s="1" t="str">
        <f>IF(E1421="","",E1421&amp;"|"&amp;COUNTIF($E$5:E1421,E1421))</f>
        <v/>
      </c>
    </row>
    <row r="1422" spans="2:13" x14ac:dyDescent="0.2">
      <c r="B1422" s="10"/>
      <c r="C1422" s="7"/>
      <c r="D1422" s="11"/>
      <c r="E1422" s="6"/>
      <c r="F1422" s="12" t="str">
        <f t="shared" si="44"/>
        <v/>
      </c>
      <c r="G1422" s="13" t="str">
        <f t="shared" si="45"/>
        <v/>
      </c>
      <c r="H1422" s="9"/>
      <c r="I1422" s="9"/>
      <c r="J1422" s="14" t="str">
        <f>IF(E1422="","",IFERROR(VLOOKUP(E1422,TabProd,5,FALSE),0)+SUMIFS($H$5:H1422,$E$5:E1422,E1422)-SUMIFS($I$5:I1422,$E$5:E1422,E1422))</f>
        <v/>
      </c>
      <c r="K1422" s="7"/>
      <c r="L1422" s="7"/>
      <c r="M1422" s="1" t="str">
        <f>IF(E1422="","",E1422&amp;"|"&amp;COUNTIF($E$5:E1422,E1422))</f>
        <v/>
      </c>
    </row>
    <row r="1423" spans="2:13" x14ac:dyDescent="0.2">
      <c r="B1423" s="10"/>
      <c r="C1423" s="7"/>
      <c r="D1423" s="11"/>
      <c r="E1423" s="6"/>
      <c r="F1423" s="12" t="str">
        <f t="shared" si="44"/>
        <v/>
      </c>
      <c r="G1423" s="13" t="str">
        <f t="shared" si="45"/>
        <v/>
      </c>
      <c r="H1423" s="9"/>
      <c r="I1423" s="9"/>
      <c r="J1423" s="14" t="str">
        <f>IF(E1423="","",IFERROR(VLOOKUP(E1423,TabProd,5,FALSE),0)+SUMIFS($H$5:H1423,$E$5:E1423,E1423)-SUMIFS($I$5:I1423,$E$5:E1423,E1423))</f>
        <v/>
      </c>
      <c r="K1423" s="7"/>
      <c r="L1423" s="7"/>
      <c r="M1423" s="1" t="str">
        <f>IF(E1423="","",E1423&amp;"|"&amp;COUNTIF($E$5:E1423,E1423))</f>
        <v/>
      </c>
    </row>
    <row r="1424" spans="2:13" x14ac:dyDescent="0.2">
      <c r="B1424" s="10"/>
      <c r="C1424" s="7"/>
      <c r="D1424" s="11"/>
      <c r="E1424" s="6"/>
      <c r="F1424" s="12" t="str">
        <f t="shared" si="44"/>
        <v/>
      </c>
      <c r="G1424" s="13" t="str">
        <f t="shared" si="45"/>
        <v/>
      </c>
      <c r="H1424" s="9"/>
      <c r="I1424" s="9"/>
      <c r="J1424" s="14" t="str">
        <f>IF(E1424="","",IFERROR(VLOOKUP(E1424,TabProd,5,FALSE),0)+SUMIFS($H$5:H1424,$E$5:E1424,E1424)-SUMIFS($I$5:I1424,$E$5:E1424,E1424))</f>
        <v/>
      </c>
      <c r="K1424" s="7"/>
      <c r="L1424" s="7"/>
      <c r="M1424" s="1" t="str">
        <f>IF(E1424="","",E1424&amp;"|"&amp;COUNTIF($E$5:E1424,E1424))</f>
        <v/>
      </c>
    </row>
    <row r="1425" spans="2:13" x14ac:dyDescent="0.2">
      <c r="B1425" s="10"/>
      <c r="C1425" s="7"/>
      <c r="D1425" s="11"/>
      <c r="E1425" s="6"/>
      <c r="F1425" s="12" t="str">
        <f t="shared" si="44"/>
        <v/>
      </c>
      <c r="G1425" s="13" t="str">
        <f t="shared" si="45"/>
        <v/>
      </c>
      <c r="H1425" s="9"/>
      <c r="I1425" s="9"/>
      <c r="J1425" s="14" t="str">
        <f>IF(E1425="","",IFERROR(VLOOKUP(E1425,TabProd,5,FALSE),0)+SUMIFS($H$5:H1425,$E$5:E1425,E1425)-SUMIFS($I$5:I1425,$E$5:E1425,E1425))</f>
        <v/>
      </c>
      <c r="K1425" s="7"/>
      <c r="L1425" s="7"/>
      <c r="M1425" s="1" t="str">
        <f>IF(E1425="","",E1425&amp;"|"&amp;COUNTIF($E$5:E1425,E1425))</f>
        <v/>
      </c>
    </row>
    <row r="1426" spans="2:13" x14ac:dyDescent="0.2">
      <c r="B1426" s="10"/>
      <c r="C1426" s="7"/>
      <c r="D1426" s="11"/>
      <c r="E1426" s="6"/>
      <c r="F1426" s="12" t="str">
        <f t="shared" si="44"/>
        <v/>
      </c>
      <c r="G1426" s="13" t="str">
        <f t="shared" si="45"/>
        <v/>
      </c>
      <c r="H1426" s="9"/>
      <c r="I1426" s="9"/>
      <c r="J1426" s="14" t="str">
        <f>IF(E1426="","",IFERROR(VLOOKUP(E1426,TabProd,5,FALSE),0)+SUMIFS($H$5:H1426,$E$5:E1426,E1426)-SUMIFS($I$5:I1426,$E$5:E1426,E1426))</f>
        <v/>
      </c>
      <c r="K1426" s="7"/>
      <c r="L1426" s="7"/>
      <c r="M1426" s="1" t="str">
        <f>IF(E1426="","",E1426&amp;"|"&amp;COUNTIF($E$5:E1426,E1426))</f>
        <v/>
      </c>
    </row>
    <row r="1427" spans="2:13" x14ac:dyDescent="0.2">
      <c r="B1427" s="10"/>
      <c r="C1427" s="7"/>
      <c r="D1427" s="11"/>
      <c r="E1427" s="6"/>
      <c r="F1427" s="12" t="str">
        <f t="shared" si="44"/>
        <v/>
      </c>
      <c r="G1427" s="13" t="str">
        <f t="shared" si="45"/>
        <v/>
      </c>
      <c r="H1427" s="9"/>
      <c r="I1427" s="9"/>
      <c r="J1427" s="14" t="str">
        <f>IF(E1427="","",IFERROR(VLOOKUP(E1427,TabProd,5,FALSE),0)+SUMIFS($H$5:H1427,$E$5:E1427,E1427)-SUMIFS($I$5:I1427,$E$5:E1427,E1427))</f>
        <v/>
      </c>
      <c r="K1427" s="7"/>
      <c r="L1427" s="7"/>
      <c r="M1427" s="1" t="str">
        <f>IF(E1427="","",E1427&amp;"|"&amp;COUNTIF($E$5:E1427,E1427))</f>
        <v/>
      </c>
    </row>
    <row r="1428" spans="2:13" x14ac:dyDescent="0.2">
      <c r="B1428" s="10"/>
      <c r="C1428" s="7"/>
      <c r="D1428" s="11"/>
      <c r="E1428" s="6"/>
      <c r="F1428" s="12" t="str">
        <f t="shared" si="44"/>
        <v/>
      </c>
      <c r="G1428" s="13" t="str">
        <f t="shared" si="45"/>
        <v/>
      </c>
      <c r="H1428" s="9"/>
      <c r="I1428" s="9"/>
      <c r="J1428" s="14" t="str">
        <f>IF(E1428="","",IFERROR(VLOOKUP(E1428,TabProd,5,FALSE),0)+SUMIFS($H$5:H1428,$E$5:E1428,E1428)-SUMIFS($I$5:I1428,$E$5:E1428,E1428))</f>
        <v/>
      </c>
      <c r="K1428" s="7"/>
      <c r="L1428" s="7"/>
      <c r="M1428" s="1" t="str">
        <f>IF(E1428="","",E1428&amp;"|"&amp;COUNTIF($E$5:E1428,E1428))</f>
        <v/>
      </c>
    </row>
    <row r="1429" spans="2:13" x14ac:dyDescent="0.2">
      <c r="B1429" s="10"/>
      <c r="C1429" s="7"/>
      <c r="D1429" s="11"/>
      <c r="E1429" s="6"/>
      <c r="F1429" s="12" t="str">
        <f t="shared" si="44"/>
        <v/>
      </c>
      <c r="G1429" s="13" t="str">
        <f t="shared" si="45"/>
        <v/>
      </c>
      <c r="H1429" s="9"/>
      <c r="I1429" s="9"/>
      <c r="J1429" s="14" t="str">
        <f>IF(E1429="","",IFERROR(VLOOKUP(E1429,TabProd,5,FALSE),0)+SUMIFS($H$5:H1429,$E$5:E1429,E1429)-SUMIFS($I$5:I1429,$E$5:E1429,E1429))</f>
        <v/>
      </c>
      <c r="K1429" s="7"/>
      <c r="L1429" s="7"/>
      <c r="M1429" s="1" t="str">
        <f>IF(E1429="","",E1429&amp;"|"&amp;COUNTIF($E$5:E1429,E1429))</f>
        <v/>
      </c>
    </row>
    <row r="1430" spans="2:13" x14ac:dyDescent="0.2">
      <c r="B1430" s="10"/>
      <c r="C1430" s="7"/>
      <c r="D1430" s="11"/>
      <c r="E1430" s="6"/>
      <c r="F1430" s="12" t="str">
        <f t="shared" si="44"/>
        <v/>
      </c>
      <c r="G1430" s="13" t="str">
        <f t="shared" si="45"/>
        <v/>
      </c>
      <c r="H1430" s="9"/>
      <c r="I1430" s="9"/>
      <c r="J1430" s="14" t="str">
        <f>IF(E1430="","",IFERROR(VLOOKUP(E1430,TabProd,5,FALSE),0)+SUMIFS($H$5:H1430,$E$5:E1430,E1430)-SUMIFS($I$5:I1430,$E$5:E1430,E1430))</f>
        <v/>
      </c>
      <c r="K1430" s="7"/>
      <c r="L1430" s="7"/>
      <c r="M1430" s="1" t="str">
        <f>IF(E1430="","",E1430&amp;"|"&amp;COUNTIF($E$5:E1430,E1430))</f>
        <v/>
      </c>
    </row>
    <row r="1431" spans="2:13" x14ac:dyDescent="0.2">
      <c r="B1431" s="10"/>
      <c r="C1431" s="7"/>
      <c r="D1431" s="11"/>
      <c r="E1431" s="6"/>
      <c r="F1431" s="12" t="str">
        <f t="shared" si="44"/>
        <v/>
      </c>
      <c r="G1431" s="13" t="str">
        <f t="shared" si="45"/>
        <v/>
      </c>
      <c r="H1431" s="9"/>
      <c r="I1431" s="9"/>
      <c r="J1431" s="14" t="str">
        <f>IF(E1431="","",IFERROR(VLOOKUP(E1431,TabProd,5,FALSE),0)+SUMIFS($H$5:H1431,$E$5:E1431,E1431)-SUMIFS($I$5:I1431,$E$5:E1431,E1431))</f>
        <v/>
      </c>
      <c r="K1431" s="7"/>
      <c r="L1431" s="7"/>
      <c r="M1431" s="1" t="str">
        <f>IF(E1431="","",E1431&amp;"|"&amp;COUNTIF($E$5:E1431,E1431))</f>
        <v/>
      </c>
    </row>
    <row r="1432" spans="2:13" x14ac:dyDescent="0.2">
      <c r="B1432" s="10"/>
      <c r="C1432" s="7"/>
      <c r="D1432" s="11"/>
      <c r="E1432" s="6"/>
      <c r="F1432" s="12" t="str">
        <f t="shared" si="44"/>
        <v/>
      </c>
      <c r="G1432" s="13" t="str">
        <f t="shared" si="45"/>
        <v/>
      </c>
      <c r="H1432" s="9"/>
      <c r="I1432" s="9"/>
      <c r="J1432" s="14" t="str">
        <f>IF(E1432="","",IFERROR(VLOOKUP(E1432,TabProd,5,FALSE),0)+SUMIFS($H$5:H1432,$E$5:E1432,E1432)-SUMIFS($I$5:I1432,$E$5:E1432,E1432))</f>
        <v/>
      </c>
      <c r="K1432" s="7"/>
      <c r="L1432" s="7"/>
      <c r="M1432" s="1" t="str">
        <f>IF(E1432="","",E1432&amp;"|"&amp;COUNTIF($E$5:E1432,E1432))</f>
        <v/>
      </c>
    </row>
    <row r="1433" spans="2:13" x14ac:dyDescent="0.2">
      <c r="B1433" s="10"/>
      <c r="C1433" s="7"/>
      <c r="D1433" s="11"/>
      <c r="E1433" s="6"/>
      <c r="F1433" s="12" t="str">
        <f t="shared" si="44"/>
        <v/>
      </c>
      <c r="G1433" s="13" t="str">
        <f t="shared" si="45"/>
        <v/>
      </c>
      <c r="H1433" s="9"/>
      <c r="I1433" s="9"/>
      <c r="J1433" s="14" t="str">
        <f>IF(E1433="","",IFERROR(VLOOKUP(E1433,TabProd,5,FALSE),0)+SUMIFS($H$5:H1433,$E$5:E1433,E1433)-SUMIFS($I$5:I1433,$E$5:E1433,E1433))</f>
        <v/>
      </c>
      <c r="K1433" s="7"/>
      <c r="L1433" s="7"/>
      <c r="M1433" s="1" t="str">
        <f>IF(E1433="","",E1433&amp;"|"&amp;COUNTIF($E$5:E1433,E1433))</f>
        <v/>
      </c>
    </row>
    <row r="1434" spans="2:13" x14ac:dyDescent="0.2">
      <c r="B1434" s="10"/>
      <c r="C1434" s="7"/>
      <c r="D1434" s="11"/>
      <c r="E1434" s="6"/>
      <c r="F1434" s="12" t="str">
        <f t="shared" si="44"/>
        <v/>
      </c>
      <c r="G1434" s="13" t="str">
        <f t="shared" si="45"/>
        <v/>
      </c>
      <c r="H1434" s="9"/>
      <c r="I1434" s="9"/>
      <c r="J1434" s="14" t="str">
        <f>IF(E1434="","",IFERROR(VLOOKUP(E1434,TabProd,5,FALSE),0)+SUMIFS($H$5:H1434,$E$5:E1434,E1434)-SUMIFS($I$5:I1434,$E$5:E1434,E1434))</f>
        <v/>
      </c>
      <c r="K1434" s="7"/>
      <c r="L1434" s="7"/>
      <c r="M1434" s="1" t="str">
        <f>IF(E1434="","",E1434&amp;"|"&amp;COUNTIF($E$5:E1434,E1434))</f>
        <v/>
      </c>
    </row>
    <row r="1435" spans="2:13" x14ac:dyDescent="0.2">
      <c r="B1435" s="10"/>
      <c r="C1435" s="7"/>
      <c r="D1435" s="11"/>
      <c r="E1435" s="6"/>
      <c r="F1435" s="12" t="str">
        <f t="shared" si="44"/>
        <v/>
      </c>
      <c r="G1435" s="13" t="str">
        <f t="shared" si="45"/>
        <v/>
      </c>
      <c r="H1435" s="9"/>
      <c r="I1435" s="9"/>
      <c r="J1435" s="14" t="str">
        <f>IF(E1435="","",IFERROR(VLOOKUP(E1435,TabProd,5,FALSE),0)+SUMIFS($H$5:H1435,$E$5:E1435,E1435)-SUMIFS($I$5:I1435,$E$5:E1435,E1435))</f>
        <v/>
      </c>
      <c r="K1435" s="7"/>
      <c r="L1435" s="7"/>
      <c r="M1435" s="1" t="str">
        <f>IF(E1435="","",E1435&amp;"|"&amp;COUNTIF($E$5:E1435,E1435))</f>
        <v/>
      </c>
    </row>
    <row r="1436" spans="2:13" x14ac:dyDescent="0.2">
      <c r="B1436" s="10"/>
      <c r="C1436" s="7"/>
      <c r="D1436" s="11"/>
      <c r="E1436" s="6"/>
      <c r="F1436" s="12" t="str">
        <f t="shared" si="44"/>
        <v/>
      </c>
      <c r="G1436" s="13" t="str">
        <f t="shared" si="45"/>
        <v/>
      </c>
      <c r="H1436" s="9"/>
      <c r="I1436" s="9"/>
      <c r="J1436" s="14" t="str">
        <f>IF(E1436="","",IFERROR(VLOOKUP(E1436,TabProd,5,FALSE),0)+SUMIFS($H$5:H1436,$E$5:E1436,E1436)-SUMIFS($I$5:I1436,$E$5:E1436,E1436))</f>
        <v/>
      </c>
      <c r="K1436" s="7"/>
      <c r="L1436" s="7"/>
      <c r="M1436" s="1" t="str">
        <f>IF(E1436="","",E1436&amp;"|"&amp;COUNTIF($E$5:E1436,E1436))</f>
        <v/>
      </c>
    </row>
    <row r="1437" spans="2:13" x14ac:dyDescent="0.2">
      <c r="B1437" s="10"/>
      <c r="C1437" s="7"/>
      <c r="D1437" s="11"/>
      <c r="E1437" s="6"/>
      <c r="F1437" s="12" t="str">
        <f t="shared" si="44"/>
        <v/>
      </c>
      <c r="G1437" s="13" t="str">
        <f t="shared" si="45"/>
        <v/>
      </c>
      <c r="H1437" s="9"/>
      <c r="I1437" s="9"/>
      <c r="J1437" s="14" t="str">
        <f>IF(E1437="","",IFERROR(VLOOKUP(E1437,TabProd,5,FALSE),0)+SUMIFS($H$5:H1437,$E$5:E1437,E1437)-SUMIFS($I$5:I1437,$E$5:E1437,E1437))</f>
        <v/>
      </c>
      <c r="K1437" s="7"/>
      <c r="L1437" s="7"/>
      <c r="M1437" s="1" t="str">
        <f>IF(E1437="","",E1437&amp;"|"&amp;COUNTIF($E$5:E1437,E1437))</f>
        <v/>
      </c>
    </row>
    <row r="1438" spans="2:13" x14ac:dyDescent="0.2">
      <c r="B1438" s="10"/>
      <c r="C1438" s="7"/>
      <c r="D1438" s="11"/>
      <c r="E1438" s="6"/>
      <c r="F1438" s="12" t="str">
        <f t="shared" si="44"/>
        <v/>
      </c>
      <c r="G1438" s="13" t="str">
        <f t="shared" si="45"/>
        <v/>
      </c>
      <c r="H1438" s="9"/>
      <c r="I1438" s="9"/>
      <c r="J1438" s="14" t="str">
        <f>IF(E1438="","",IFERROR(VLOOKUP(E1438,TabProd,5,FALSE),0)+SUMIFS($H$5:H1438,$E$5:E1438,E1438)-SUMIFS($I$5:I1438,$E$5:E1438,E1438))</f>
        <v/>
      </c>
      <c r="K1438" s="7"/>
      <c r="L1438" s="7"/>
      <c r="M1438" s="1" t="str">
        <f>IF(E1438="","",E1438&amp;"|"&amp;COUNTIF($E$5:E1438,E1438))</f>
        <v/>
      </c>
    </row>
    <row r="1439" spans="2:13" x14ac:dyDescent="0.2">
      <c r="B1439" s="10"/>
      <c r="C1439" s="7"/>
      <c r="D1439" s="11"/>
      <c r="E1439" s="6"/>
      <c r="F1439" s="12" t="str">
        <f t="shared" si="44"/>
        <v/>
      </c>
      <c r="G1439" s="13" t="str">
        <f t="shared" si="45"/>
        <v/>
      </c>
      <c r="H1439" s="9"/>
      <c r="I1439" s="9"/>
      <c r="J1439" s="14" t="str">
        <f>IF(E1439="","",IFERROR(VLOOKUP(E1439,TabProd,5,FALSE),0)+SUMIFS($H$5:H1439,$E$5:E1439,E1439)-SUMIFS($I$5:I1439,$E$5:E1439,E1439))</f>
        <v/>
      </c>
      <c r="K1439" s="7"/>
      <c r="L1439" s="7"/>
      <c r="M1439" s="1" t="str">
        <f>IF(E1439="","",E1439&amp;"|"&amp;COUNTIF($E$5:E1439,E1439))</f>
        <v/>
      </c>
    </row>
    <row r="1440" spans="2:13" x14ac:dyDescent="0.2">
      <c r="B1440" s="10"/>
      <c r="C1440" s="7"/>
      <c r="D1440" s="11"/>
      <c r="E1440" s="6"/>
      <c r="F1440" s="12" t="str">
        <f t="shared" si="44"/>
        <v/>
      </c>
      <c r="G1440" s="13" t="str">
        <f t="shared" si="45"/>
        <v/>
      </c>
      <c r="H1440" s="9"/>
      <c r="I1440" s="9"/>
      <c r="J1440" s="14" t="str">
        <f>IF(E1440="","",IFERROR(VLOOKUP(E1440,TabProd,5,FALSE),0)+SUMIFS($H$5:H1440,$E$5:E1440,E1440)-SUMIFS($I$5:I1440,$E$5:E1440,E1440))</f>
        <v/>
      </c>
      <c r="K1440" s="7"/>
      <c r="L1440" s="7"/>
      <c r="M1440" s="1" t="str">
        <f>IF(E1440="","",E1440&amp;"|"&amp;COUNTIF($E$5:E1440,E1440))</f>
        <v/>
      </c>
    </row>
    <row r="1441" spans="2:13" x14ac:dyDescent="0.2">
      <c r="B1441" s="10"/>
      <c r="C1441" s="7"/>
      <c r="D1441" s="11"/>
      <c r="E1441" s="6"/>
      <c r="F1441" s="12" t="str">
        <f t="shared" si="44"/>
        <v/>
      </c>
      <c r="G1441" s="13" t="str">
        <f t="shared" si="45"/>
        <v/>
      </c>
      <c r="H1441" s="9"/>
      <c r="I1441" s="9"/>
      <c r="J1441" s="14" t="str">
        <f>IF(E1441="","",IFERROR(VLOOKUP(E1441,TabProd,5,FALSE),0)+SUMIFS($H$5:H1441,$E$5:E1441,E1441)-SUMIFS($I$5:I1441,$E$5:E1441,E1441))</f>
        <v/>
      </c>
      <c r="K1441" s="7"/>
      <c r="L1441" s="7"/>
      <c r="M1441" s="1" t="str">
        <f>IF(E1441="","",E1441&amp;"|"&amp;COUNTIF($E$5:E1441,E1441))</f>
        <v/>
      </c>
    </row>
    <row r="1442" spans="2:13" x14ac:dyDescent="0.2">
      <c r="B1442" s="10"/>
      <c r="C1442" s="7"/>
      <c r="D1442" s="11"/>
      <c r="E1442" s="6"/>
      <c r="F1442" s="12" t="str">
        <f t="shared" si="44"/>
        <v/>
      </c>
      <c r="G1442" s="13" t="str">
        <f t="shared" si="45"/>
        <v/>
      </c>
      <c r="H1442" s="9"/>
      <c r="I1442" s="9"/>
      <c r="J1442" s="14" t="str">
        <f>IF(E1442="","",IFERROR(VLOOKUP(E1442,TabProd,5,FALSE),0)+SUMIFS($H$5:H1442,$E$5:E1442,E1442)-SUMIFS($I$5:I1442,$E$5:E1442,E1442))</f>
        <v/>
      </c>
      <c r="K1442" s="7"/>
      <c r="L1442" s="7"/>
      <c r="M1442" s="1" t="str">
        <f>IF(E1442="","",E1442&amp;"|"&amp;COUNTIF($E$5:E1442,E1442))</f>
        <v/>
      </c>
    </row>
    <row r="1443" spans="2:13" x14ac:dyDescent="0.2">
      <c r="B1443" s="10"/>
      <c r="C1443" s="7"/>
      <c r="D1443" s="11"/>
      <c r="E1443" s="6"/>
      <c r="F1443" s="12" t="str">
        <f t="shared" si="44"/>
        <v/>
      </c>
      <c r="G1443" s="13" t="str">
        <f t="shared" si="45"/>
        <v/>
      </c>
      <c r="H1443" s="9"/>
      <c r="I1443" s="9"/>
      <c r="J1443" s="14" t="str">
        <f>IF(E1443="","",IFERROR(VLOOKUP(E1443,TabProd,5,FALSE),0)+SUMIFS($H$5:H1443,$E$5:E1443,E1443)-SUMIFS($I$5:I1443,$E$5:E1443,E1443))</f>
        <v/>
      </c>
      <c r="K1443" s="7"/>
      <c r="L1443" s="7"/>
      <c r="M1443" s="1" t="str">
        <f>IF(E1443="","",E1443&amp;"|"&amp;COUNTIF($E$5:E1443,E1443))</f>
        <v/>
      </c>
    </row>
    <row r="1444" spans="2:13" x14ac:dyDescent="0.2">
      <c r="B1444" s="10"/>
      <c r="C1444" s="7"/>
      <c r="D1444" s="11"/>
      <c r="E1444" s="6"/>
      <c r="F1444" s="12" t="str">
        <f t="shared" si="44"/>
        <v/>
      </c>
      <c r="G1444" s="13" t="str">
        <f t="shared" si="45"/>
        <v/>
      </c>
      <c r="H1444" s="9"/>
      <c r="I1444" s="9"/>
      <c r="J1444" s="14" t="str">
        <f>IF(E1444="","",IFERROR(VLOOKUP(E1444,TabProd,5,FALSE),0)+SUMIFS($H$5:H1444,$E$5:E1444,E1444)-SUMIFS($I$5:I1444,$E$5:E1444,E1444))</f>
        <v/>
      </c>
      <c r="K1444" s="7"/>
      <c r="L1444" s="7"/>
      <c r="M1444" s="1" t="str">
        <f>IF(E1444="","",E1444&amp;"|"&amp;COUNTIF($E$5:E1444,E1444))</f>
        <v/>
      </c>
    </row>
    <row r="1445" spans="2:13" x14ac:dyDescent="0.2">
      <c r="B1445" s="10"/>
      <c r="C1445" s="7"/>
      <c r="D1445" s="11"/>
      <c r="E1445" s="6"/>
      <c r="F1445" s="12" t="str">
        <f t="shared" si="44"/>
        <v/>
      </c>
      <c r="G1445" s="13" t="str">
        <f t="shared" si="45"/>
        <v/>
      </c>
      <c r="H1445" s="9"/>
      <c r="I1445" s="9"/>
      <c r="J1445" s="14" t="str">
        <f>IF(E1445="","",IFERROR(VLOOKUP(E1445,TabProd,5,FALSE),0)+SUMIFS($H$5:H1445,$E$5:E1445,E1445)-SUMIFS($I$5:I1445,$E$5:E1445,E1445))</f>
        <v/>
      </c>
      <c r="K1445" s="7"/>
      <c r="L1445" s="7"/>
      <c r="M1445" s="1" t="str">
        <f>IF(E1445="","",E1445&amp;"|"&amp;COUNTIF($E$5:E1445,E1445))</f>
        <v/>
      </c>
    </row>
    <row r="1446" spans="2:13" x14ac:dyDescent="0.2">
      <c r="B1446" s="10"/>
      <c r="C1446" s="7"/>
      <c r="D1446" s="11"/>
      <c r="E1446" s="6"/>
      <c r="F1446" s="12" t="str">
        <f t="shared" si="44"/>
        <v/>
      </c>
      <c r="G1446" s="13" t="str">
        <f t="shared" si="45"/>
        <v/>
      </c>
      <c r="H1446" s="9"/>
      <c r="I1446" s="9"/>
      <c r="J1446" s="14" t="str">
        <f>IF(E1446="","",IFERROR(VLOOKUP(E1446,TabProd,5,FALSE),0)+SUMIFS($H$5:H1446,$E$5:E1446,E1446)-SUMIFS($I$5:I1446,$E$5:E1446,E1446))</f>
        <v/>
      </c>
      <c r="K1446" s="7"/>
      <c r="L1446" s="7"/>
      <c r="M1446" s="1" t="str">
        <f>IF(E1446="","",E1446&amp;"|"&amp;COUNTIF($E$5:E1446,E1446))</f>
        <v/>
      </c>
    </row>
    <row r="1447" spans="2:13" x14ac:dyDescent="0.2">
      <c r="B1447" s="10"/>
      <c r="C1447" s="7"/>
      <c r="D1447" s="11"/>
      <c r="E1447" s="6"/>
      <c r="F1447" s="12" t="str">
        <f t="shared" si="44"/>
        <v/>
      </c>
      <c r="G1447" s="13" t="str">
        <f t="shared" si="45"/>
        <v/>
      </c>
      <c r="H1447" s="9"/>
      <c r="I1447" s="9"/>
      <c r="J1447" s="14" t="str">
        <f>IF(E1447="","",IFERROR(VLOOKUP(E1447,TabProd,5,FALSE),0)+SUMIFS($H$5:H1447,$E$5:E1447,E1447)-SUMIFS($I$5:I1447,$E$5:E1447,E1447))</f>
        <v/>
      </c>
      <c r="K1447" s="7"/>
      <c r="L1447" s="7"/>
      <c r="M1447" s="1" t="str">
        <f>IF(E1447="","",E1447&amp;"|"&amp;COUNTIF($E$5:E1447,E1447))</f>
        <v/>
      </c>
    </row>
    <row r="1448" spans="2:13" x14ac:dyDescent="0.2">
      <c r="B1448" s="10"/>
      <c r="C1448" s="7"/>
      <c r="D1448" s="11"/>
      <c r="E1448" s="6"/>
      <c r="F1448" s="12" t="str">
        <f t="shared" si="44"/>
        <v/>
      </c>
      <c r="G1448" s="13" t="str">
        <f t="shared" si="45"/>
        <v/>
      </c>
      <c r="H1448" s="9"/>
      <c r="I1448" s="9"/>
      <c r="J1448" s="14" t="str">
        <f>IF(E1448="","",IFERROR(VLOOKUP(E1448,TabProd,5,FALSE),0)+SUMIFS($H$5:H1448,$E$5:E1448,E1448)-SUMIFS($I$5:I1448,$E$5:E1448,E1448))</f>
        <v/>
      </c>
      <c r="K1448" s="7"/>
      <c r="L1448" s="7"/>
      <c r="M1448" s="1" t="str">
        <f>IF(E1448="","",E1448&amp;"|"&amp;COUNTIF($E$5:E1448,E1448))</f>
        <v/>
      </c>
    </row>
    <row r="1449" spans="2:13" x14ac:dyDescent="0.2">
      <c r="B1449" s="10"/>
      <c r="C1449" s="7"/>
      <c r="D1449" s="11"/>
      <c r="E1449" s="6"/>
      <c r="F1449" s="12" t="str">
        <f t="shared" si="44"/>
        <v/>
      </c>
      <c r="G1449" s="13" t="str">
        <f t="shared" si="45"/>
        <v/>
      </c>
      <c r="H1449" s="9"/>
      <c r="I1449" s="9"/>
      <c r="J1449" s="14" t="str">
        <f>IF(E1449="","",IFERROR(VLOOKUP(E1449,TabProd,5,FALSE),0)+SUMIFS($H$5:H1449,$E$5:E1449,E1449)-SUMIFS($I$5:I1449,$E$5:E1449,E1449))</f>
        <v/>
      </c>
      <c r="K1449" s="7"/>
      <c r="L1449" s="7"/>
      <c r="M1449" s="1" t="str">
        <f>IF(E1449="","",E1449&amp;"|"&amp;COUNTIF($E$5:E1449,E1449))</f>
        <v/>
      </c>
    </row>
    <row r="1450" spans="2:13" x14ac:dyDescent="0.2">
      <c r="B1450" s="10"/>
      <c r="C1450" s="7"/>
      <c r="D1450" s="11"/>
      <c r="E1450" s="6"/>
      <c r="F1450" s="12" t="str">
        <f t="shared" si="44"/>
        <v/>
      </c>
      <c r="G1450" s="13" t="str">
        <f t="shared" si="45"/>
        <v/>
      </c>
      <c r="H1450" s="9"/>
      <c r="I1450" s="9"/>
      <c r="J1450" s="14" t="str">
        <f>IF(E1450="","",IFERROR(VLOOKUP(E1450,TabProd,5,FALSE),0)+SUMIFS($H$5:H1450,$E$5:E1450,E1450)-SUMIFS($I$5:I1450,$E$5:E1450,E1450))</f>
        <v/>
      </c>
      <c r="K1450" s="7"/>
      <c r="L1450" s="7"/>
      <c r="M1450" s="1" t="str">
        <f>IF(E1450="","",E1450&amp;"|"&amp;COUNTIF($E$5:E1450,E1450))</f>
        <v/>
      </c>
    </row>
    <row r="1451" spans="2:13" x14ac:dyDescent="0.2">
      <c r="B1451" s="10"/>
      <c r="C1451" s="7"/>
      <c r="D1451" s="11"/>
      <c r="E1451" s="6"/>
      <c r="F1451" s="12" t="str">
        <f t="shared" si="44"/>
        <v/>
      </c>
      <c r="G1451" s="13" t="str">
        <f t="shared" si="45"/>
        <v/>
      </c>
      <c r="H1451" s="9"/>
      <c r="I1451" s="9"/>
      <c r="J1451" s="14" t="str">
        <f>IF(E1451="","",IFERROR(VLOOKUP(E1451,TabProd,5,FALSE),0)+SUMIFS($H$5:H1451,$E$5:E1451,E1451)-SUMIFS($I$5:I1451,$E$5:E1451,E1451))</f>
        <v/>
      </c>
      <c r="K1451" s="7"/>
      <c r="L1451" s="7"/>
      <c r="M1451" s="1" t="str">
        <f>IF(E1451="","",E1451&amp;"|"&amp;COUNTIF($E$5:E1451,E1451))</f>
        <v/>
      </c>
    </row>
    <row r="1452" spans="2:13" x14ac:dyDescent="0.2">
      <c r="B1452" s="10"/>
      <c r="C1452" s="7"/>
      <c r="D1452" s="11"/>
      <c r="E1452" s="6"/>
      <c r="F1452" s="12" t="str">
        <f t="shared" si="44"/>
        <v/>
      </c>
      <c r="G1452" s="13" t="str">
        <f t="shared" si="45"/>
        <v/>
      </c>
      <c r="H1452" s="9"/>
      <c r="I1452" s="9"/>
      <c r="J1452" s="14" t="str">
        <f>IF(E1452="","",IFERROR(VLOOKUP(E1452,TabProd,5,FALSE),0)+SUMIFS($H$5:H1452,$E$5:E1452,E1452)-SUMIFS($I$5:I1452,$E$5:E1452,E1452))</f>
        <v/>
      </c>
      <c r="K1452" s="7"/>
      <c r="L1452" s="7"/>
      <c r="M1452" s="1" t="str">
        <f>IF(E1452="","",E1452&amp;"|"&amp;COUNTIF($E$5:E1452,E1452))</f>
        <v/>
      </c>
    </row>
    <row r="1453" spans="2:13" x14ac:dyDescent="0.2">
      <c r="B1453" s="10"/>
      <c r="C1453" s="7"/>
      <c r="D1453" s="11"/>
      <c r="E1453" s="6"/>
      <c r="F1453" s="12" t="str">
        <f t="shared" si="44"/>
        <v/>
      </c>
      <c r="G1453" s="13" t="str">
        <f t="shared" si="45"/>
        <v/>
      </c>
      <c r="H1453" s="9"/>
      <c r="I1453" s="9"/>
      <c r="J1453" s="14" t="str">
        <f>IF(E1453="","",IFERROR(VLOOKUP(E1453,TabProd,5,FALSE),0)+SUMIFS($H$5:H1453,$E$5:E1453,E1453)-SUMIFS($I$5:I1453,$E$5:E1453,E1453))</f>
        <v/>
      </c>
      <c r="K1453" s="7"/>
      <c r="L1453" s="7"/>
      <c r="M1453" s="1" t="str">
        <f>IF(E1453="","",E1453&amp;"|"&amp;COUNTIF($E$5:E1453,E1453))</f>
        <v/>
      </c>
    </row>
    <row r="1454" spans="2:13" x14ac:dyDescent="0.2">
      <c r="B1454" s="10"/>
      <c r="C1454" s="7"/>
      <c r="D1454" s="11"/>
      <c r="E1454" s="6"/>
      <c r="F1454" s="12" t="str">
        <f t="shared" si="44"/>
        <v/>
      </c>
      <c r="G1454" s="13" t="str">
        <f t="shared" si="45"/>
        <v/>
      </c>
      <c r="H1454" s="9"/>
      <c r="I1454" s="9"/>
      <c r="J1454" s="14" t="str">
        <f>IF(E1454="","",IFERROR(VLOOKUP(E1454,TabProd,5,FALSE),0)+SUMIFS($H$5:H1454,$E$5:E1454,E1454)-SUMIFS($I$5:I1454,$E$5:E1454,E1454))</f>
        <v/>
      </c>
      <c r="K1454" s="7"/>
      <c r="L1454" s="7"/>
      <c r="M1454" s="1" t="str">
        <f>IF(E1454="","",E1454&amp;"|"&amp;COUNTIF($E$5:E1454,E1454))</f>
        <v/>
      </c>
    </row>
    <row r="1455" spans="2:13" x14ac:dyDescent="0.2">
      <c r="B1455" s="10"/>
      <c r="C1455" s="7"/>
      <c r="D1455" s="11"/>
      <c r="E1455" s="6"/>
      <c r="F1455" s="12" t="str">
        <f t="shared" si="44"/>
        <v/>
      </c>
      <c r="G1455" s="13" t="str">
        <f t="shared" si="45"/>
        <v/>
      </c>
      <c r="H1455" s="9"/>
      <c r="I1455" s="9"/>
      <c r="J1455" s="14" t="str">
        <f>IF(E1455="","",IFERROR(VLOOKUP(E1455,TabProd,5,FALSE),0)+SUMIFS($H$5:H1455,$E$5:E1455,E1455)-SUMIFS($I$5:I1455,$E$5:E1455,E1455))</f>
        <v/>
      </c>
      <c r="K1455" s="7"/>
      <c r="L1455" s="7"/>
      <c r="M1455" s="1" t="str">
        <f>IF(E1455="","",E1455&amp;"|"&amp;COUNTIF($E$5:E1455,E1455))</f>
        <v/>
      </c>
    </row>
    <row r="1456" spans="2:13" x14ac:dyDescent="0.2">
      <c r="B1456" s="10"/>
      <c r="C1456" s="7"/>
      <c r="D1456" s="11"/>
      <c r="E1456" s="6"/>
      <c r="F1456" s="12" t="str">
        <f t="shared" si="44"/>
        <v/>
      </c>
      <c r="G1456" s="13" t="str">
        <f t="shared" si="45"/>
        <v/>
      </c>
      <c r="H1456" s="9"/>
      <c r="I1456" s="9"/>
      <c r="J1456" s="14" t="str">
        <f>IF(E1456="","",IFERROR(VLOOKUP(E1456,TabProd,5,FALSE),0)+SUMIFS($H$5:H1456,$E$5:E1456,E1456)-SUMIFS($I$5:I1456,$E$5:E1456,E1456))</f>
        <v/>
      </c>
      <c r="K1456" s="7"/>
      <c r="L1456" s="7"/>
      <c r="M1456" s="1" t="str">
        <f>IF(E1456="","",E1456&amp;"|"&amp;COUNTIF($E$5:E1456,E1456))</f>
        <v/>
      </c>
    </row>
    <row r="1457" spans="2:13" x14ac:dyDescent="0.2">
      <c r="B1457" s="10"/>
      <c r="C1457" s="7"/>
      <c r="D1457" s="11"/>
      <c r="E1457" s="6"/>
      <c r="F1457" s="12" t="str">
        <f t="shared" si="44"/>
        <v/>
      </c>
      <c r="G1457" s="13" t="str">
        <f t="shared" si="45"/>
        <v/>
      </c>
      <c r="H1457" s="9"/>
      <c r="I1457" s="9"/>
      <c r="J1457" s="14" t="str">
        <f>IF(E1457="","",IFERROR(VLOOKUP(E1457,TabProd,5,FALSE),0)+SUMIFS($H$5:H1457,$E$5:E1457,E1457)-SUMIFS($I$5:I1457,$E$5:E1457,E1457))</f>
        <v/>
      </c>
      <c r="K1457" s="7"/>
      <c r="L1457" s="7"/>
      <c r="M1457" s="1" t="str">
        <f>IF(E1457="","",E1457&amp;"|"&amp;COUNTIF($E$5:E1457,E1457))</f>
        <v/>
      </c>
    </row>
    <row r="1458" spans="2:13" x14ac:dyDescent="0.2">
      <c r="B1458" s="10"/>
      <c r="C1458" s="7"/>
      <c r="D1458" s="11"/>
      <c r="E1458" s="6"/>
      <c r="F1458" s="12" t="str">
        <f t="shared" si="44"/>
        <v/>
      </c>
      <c r="G1458" s="13" t="str">
        <f t="shared" si="45"/>
        <v/>
      </c>
      <c r="H1458" s="9"/>
      <c r="I1458" s="9"/>
      <c r="J1458" s="14" t="str">
        <f>IF(E1458="","",IFERROR(VLOOKUP(E1458,TabProd,5,FALSE),0)+SUMIFS($H$5:H1458,$E$5:E1458,E1458)-SUMIFS($I$5:I1458,$E$5:E1458,E1458))</f>
        <v/>
      </c>
      <c r="K1458" s="7"/>
      <c r="L1458" s="7"/>
      <c r="M1458" s="1" t="str">
        <f>IF(E1458="","",E1458&amp;"|"&amp;COUNTIF($E$5:E1458,E1458))</f>
        <v/>
      </c>
    </row>
    <row r="1459" spans="2:13" x14ac:dyDescent="0.2">
      <c r="B1459" s="10"/>
      <c r="C1459" s="7"/>
      <c r="D1459" s="11"/>
      <c r="E1459" s="6"/>
      <c r="F1459" s="12" t="str">
        <f t="shared" si="44"/>
        <v/>
      </c>
      <c r="G1459" s="13" t="str">
        <f t="shared" si="45"/>
        <v/>
      </c>
      <c r="H1459" s="9"/>
      <c r="I1459" s="9"/>
      <c r="J1459" s="14" t="str">
        <f>IF(E1459="","",IFERROR(VLOOKUP(E1459,TabProd,5,FALSE),0)+SUMIFS($H$5:H1459,$E$5:E1459,E1459)-SUMIFS($I$5:I1459,$E$5:E1459,E1459))</f>
        <v/>
      </c>
      <c r="K1459" s="7"/>
      <c r="L1459" s="7"/>
      <c r="M1459" s="1" t="str">
        <f>IF(E1459="","",E1459&amp;"|"&amp;COUNTIF($E$5:E1459,E1459))</f>
        <v/>
      </c>
    </row>
    <row r="1460" spans="2:13" x14ac:dyDescent="0.2">
      <c r="B1460" s="10"/>
      <c r="C1460" s="7"/>
      <c r="D1460" s="11"/>
      <c r="E1460" s="6"/>
      <c r="F1460" s="12" t="str">
        <f t="shared" si="44"/>
        <v/>
      </c>
      <c r="G1460" s="13" t="str">
        <f t="shared" si="45"/>
        <v/>
      </c>
      <c r="H1460" s="9"/>
      <c r="I1460" s="9"/>
      <c r="J1460" s="14" t="str">
        <f>IF(E1460="","",IFERROR(VLOOKUP(E1460,TabProd,5,FALSE),0)+SUMIFS($H$5:H1460,$E$5:E1460,E1460)-SUMIFS($I$5:I1460,$E$5:E1460,E1460))</f>
        <v/>
      </c>
      <c r="K1460" s="7"/>
      <c r="L1460" s="7"/>
      <c r="M1460" s="1" t="str">
        <f>IF(E1460="","",E1460&amp;"|"&amp;COUNTIF($E$5:E1460,E1460))</f>
        <v/>
      </c>
    </row>
    <row r="1461" spans="2:13" x14ac:dyDescent="0.2">
      <c r="B1461" s="10"/>
      <c r="C1461" s="7"/>
      <c r="D1461" s="11"/>
      <c r="E1461" s="6"/>
      <c r="F1461" s="12" t="str">
        <f t="shared" si="44"/>
        <v/>
      </c>
      <c r="G1461" s="13" t="str">
        <f t="shared" si="45"/>
        <v/>
      </c>
      <c r="H1461" s="9"/>
      <c r="I1461" s="9"/>
      <c r="J1461" s="14" t="str">
        <f>IF(E1461="","",IFERROR(VLOOKUP(E1461,TabProd,5,FALSE),0)+SUMIFS($H$5:H1461,$E$5:E1461,E1461)-SUMIFS($I$5:I1461,$E$5:E1461,E1461))</f>
        <v/>
      </c>
      <c r="K1461" s="7"/>
      <c r="L1461" s="7"/>
      <c r="M1461" s="1" t="str">
        <f>IF(E1461="","",E1461&amp;"|"&amp;COUNTIF($E$5:E1461,E1461))</f>
        <v/>
      </c>
    </row>
    <row r="1462" spans="2:13" x14ac:dyDescent="0.2">
      <c r="B1462" s="10"/>
      <c r="C1462" s="7"/>
      <c r="D1462" s="11"/>
      <c r="E1462" s="6"/>
      <c r="F1462" s="12" t="str">
        <f t="shared" si="44"/>
        <v/>
      </c>
      <c r="G1462" s="13" t="str">
        <f t="shared" si="45"/>
        <v/>
      </c>
      <c r="H1462" s="9"/>
      <c r="I1462" s="9"/>
      <c r="J1462" s="14" t="str">
        <f>IF(E1462="","",IFERROR(VLOOKUP(E1462,TabProd,5,FALSE),0)+SUMIFS($H$5:H1462,$E$5:E1462,E1462)-SUMIFS($I$5:I1462,$E$5:E1462,E1462))</f>
        <v/>
      </c>
      <c r="K1462" s="7"/>
      <c r="L1462" s="7"/>
      <c r="M1462" s="1" t="str">
        <f>IF(E1462="","",E1462&amp;"|"&amp;COUNTIF($E$5:E1462,E1462))</f>
        <v/>
      </c>
    </row>
    <row r="1463" spans="2:13" x14ac:dyDescent="0.2">
      <c r="B1463" s="10"/>
      <c r="C1463" s="7"/>
      <c r="D1463" s="11"/>
      <c r="E1463" s="6"/>
      <c r="F1463" s="12" t="str">
        <f t="shared" si="44"/>
        <v/>
      </c>
      <c r="G1463" s="13" t="str">
        <f t="shared" si="45"/>
        <v/>
      </c>
      <c r="H1463" s="9"/>
      <c r="I1463" s="9"/>
      <c r="J1463" s="14" t="str">
        <f>IF(E1463="","",IFERROR(VLOOKUP(E1463,TabProd,5,FALSE),0)+SUMIFS($H$5:H1463,$E$5:E1463,E1463)-SUMIFS($I$5:I1463,$E$5:E1463,E1463))</f>
        <v/>
      </c>
      <c r="K1463" s="7"/>
      <c r="L1463" s="7"/>
      <c r="M1463" s="1" t="str">
        <f>IF(E1463="","",E1463&amp;"|"&amp;COUNTIF($E$5:E1463,E1463))</f>
        <v/>
      </c>
    </row>
    <row r="1464" spans="2:13" x14ac:dyDescent="0.2">
      <c r="B1464" s="10"/>
      <c r="C1464" s="7"/>
      <c r="D1464" s="11"/>
      <c r="E1464" s="6"/>
      <c r="F1464" s="12" t="str">
        <f t="shared" si="44"/>
        <v/>
      </c>
      <c r="G1464" s="13" t="str">
        <f t="shared" si="45"/>
        <v/>
      </c>
      <c r="H1464" s="9"/>
      <c r="I1464" s="9"/>
      <c r="J1464" s="14" t="str">
        <f>IF(E1464="","",IFERROR(VLOOKUP(E1464,TabProd,5,FALSE),0)+SUMIFS($H$5:H1464,$E$5:E1464,E1464)-SUMIFS($I$5:I1464,$E$5:E1464,E1464))</f>
        <v/>
      </c>
      <c r="K1464" s="7"/>
      <c r="L1464" s="7"/>
      <c r="M1464" s="1" t="str">
        <f>IF(E1464="","",E1464&amp;"|"&amp;COUNTIF($E$5:E1464,E1464))</f>
        <v/>
      </c>
    </row>
    <row r="1465" spans="2:13" x14ac:dyDescent="0.2">
      <c r="B1465" s="10"/>
      <c r="C1465" s="7"/>
      <c r="D1465" s="11"/>
      <c r="E1465" s="6"/>
      <c r="F1465" s="12" t="str">
        <f t="shared" si="44"/>
        <v/>
      </c>
      <c r="G1465" s="13" t="str">
        <f t="shared" si="45"/>
        <v/>
      </c>
      <c r="H1465" s="9"/>
      <c r="I1465" s="9"/>
      <c r="J1465" s="14" t="str">
        <f>IF(E1465="","",IFERROR(VLOOKUP(E1465,TabProd,5,FALSE),0)+SUMIFS($H$5:H1465,$E$5:E1465,E1465)-SUMIFS($I$5:I1465,$E$5:E1465,E1465))</f>
        <v/>
      </c>
      <c r="K1465" s="7"/>
      <c r="L1465" s="7"/>
      <c r="M1465" s="1" t="str">
        <f>IF(E1465="","",E1465&amp;"|"&amp;COUNTIF($E$5:E1465,E1465))</f>
        <v/>
      </c>
    </row>
    <row r="1466" spans="2:13" x14ac:dyDescent="0.2">
      <c r="B1466" s="10"/>
      <c r="C1466" s="7"/>
      <c r="D1466" s="11"/>
      <c r="E1466" s="6"/>
      <c r="F1466" s="12" t="str">
        <f t="shared" si="44"/>
        <v/>
      </c>
      <c r="G1466" s="13" t="str">
        <f t="shared" si="45"/>
        <v/>
      </c>
      <c r="H1466" s="9"/>
      <c r="I1466" s="9"/>
      <c r="J1466" s="14" t="str">
        <f>IF(E1466="","",IFERROR(VLOOKUP(E1466,TabProd,5,FALSE),0)+SUMIFS($H$5:H1466,$E$5:E1466,E1466)-SUMIFS($I$5:I1466,$E$5:E1466,E1466))</f>
        <v/>
      </c>
      <c r="K1466" s="7"/>
      <c r="L1466" s="7"/>
      <c r="M1466" s="1" t="str">
        <f>IF(E1466="","",E1466&amp;"|"&amp;COUNTIF($E$5:E1466,E1466))</f>
        <v/>
      </c>
    </row>
    <row r="1467" spans="2:13" x14ac:dyDescent="0.2">
      <c r="B1467" s="10"/>
      <c r="C1467" s="7"/>
      <c r="D1467" s="11"/>
      <c r="E1467" s="6"/>
      <c r="F1467" s="12" t="str">
        <f t="shared" si="44"/>
        <v/>
      </c>
      <c r="G1467" s="13" t="str">
        <f t="shared" si="45"/>
        <v/>
      </c>
      <c r="H1467" s="9"/>
      <c r="I1467" s="9"/>
      <c r="J1467" s="14" t="str">
        <f>IF(E1467="","",IFERROR(VLOOKUP(E1467,TabProd,5,FALSE),0)+SUMIFS($H$5:H1467,$E$5:E1467,E1467)-SUMIFS($I$5:I1467,$E$5:E1467,E1467))</f>
        <v/>
      </c>
      <c r="K1467" s="7"/>
      <c r="L1467" s="7"/>
      <c r="M1467" s="1" t="str">
        <f>IF(E1467="","",E1467&amp;"|"&amp;COUNTIF($E$5:E1467,E1467))</f>
        <v/>
      </c>
    </row>
    <row r="1468" spans="2:13" x14ac:dyDescent="0.2">
      <c r="B1468" s="10"/>
      <c r="C1468" s="7"/>
      <c r="D1468" s="11"/>
      <c r="E1468" s="6"/>
      <c r="F1468" s="12" t="str">
        <f t="shared" si="44"/>
        <v/>
      </c>
      <c r="G1468" s="13" t="str">
        <f t="shared" si="45"/>
        <v/>
      </c>
      <c r="H1468" s="9"/>
      <c r="I1468" s="9"/>
      <c r="J1468" s="14" t="str">
        <f>IF(E1468="","",IFERROR(VLOOKUP(E1468,TabProd,5,FALSE),0)+SUMIFS($H$5:H1468,$E$5:E1468,E1468)-SUMIFS($I$5:I1468,$E$5:E1468,E1468))</f>
        <v/>
      </c>
      <c r="K1468" s="7"/>
      <c r="L1468" s="7"/>
      <c r="M1468" s="1" t="str">
        <f>IF(E1468="","",E1468&amp;"|"&amp;COUNTIF($E$5:E1468,E1468))</f>
        <v/>
      </c>
    </row>
    <row r="1469" spans="2:13" x14ac:dyDescent="0.2">
      <c r="B1469" s="10"/>
      <c r="C1469" s="7"/>
      <c r="D1469" s="11"/>
      <c r="E1469" s="6"/>
      <c r="F1469" s="12" t="str">
        <f t="shared" si="44"/>
        <v/>
      </c>
      <c r="G1469" s="13" t="str">
        <f t="shared" si="45"/>
        <v/>
      </c>
      <c r="H1469" s="9"/>
      <c r="I1469" s="9"/>
      <c r="J1469" s="14" t="str">
        <f>IF(E1469="","",IFERROR(VLOOKUP(E1469,TabProd,5,FALSE),0)+SUMIFS($H$5:H1469,$E$5:E1469,E1469)-SUMIFS($I$5:I1469,$E$5:E1469,E1469))</f>
        <v/>
      </c>
      <c r="K1469" s="7"/>
      <c r="L1469" s="7"/>
      <c r="M1469" s="1" t="str">
        <f>IF(E1469="","",E1469&amp;"|"&amp;COUNTIF($E$5:E1469,E1469))</f>
        <v/>
      </c>
    </row>
    <row r="1470" spans="2:13" x14ac:dyDescent="0.2">
      <c r="B1470" s="10"/>
      <c r="C1470" s="7"/>
      <c r="D1470" s="11"/>
      <c r="E1470" s="6"/>
      <c r="F1470" s="12" t="str">
        <f t="shared" si="44"/>
        <v/>
      </c>
      <c r="G1470" s="13" t="str">
        <f t="shared" si="45"/>
        <v/>
      </c>
      <c r="H1470" s="9"/>
      <c r="I1470" s="9"/>
      <c r="J1470" s="14" t="str">
        <f>IF(E1470="","",IFERROR(VLOOKUP(E1470,TabProd,5,FALSE),0)+SUMIFS($H$5:H1470,$E$5:E1470,E1470)-SUMIFS($I$5:I1470,$E$5:E1470,E1470))</f>
        <v/>
      </c>
      <c r="K1470" s="7"/>
      <c r="L1470" s="7"/>
      <c r="M1470" s="1" t="str">
        <f>IF(E1470="","",E1470&amp;"|"&amp;COUNTIF($E$5:E1470,E1470))</f>
        <v/>
      </c>
    </row>
    <row r="1471" spans="2:13" x14ac:dyDescent="0.2">
      <c r="B1471" s="10"/>
      <c r="C1471" s="7"/>
      <c r="D1471" s="11"/>
      <c r="E1471" s="6"/>
      <c r="F1471" s="12" t="str">
        <f t="shared" si="44"/>
        <v/>
      </c>
      <c r="G1471" s="13" t="str">
        <f t="shared" si="45"/>
        <v/>
      </c>
      <c r="H1471" s="9"/>
      <c r="I1471" s="9"/>
      <c r="J1471" s="14" t="str">
        <f>IF(E1471="","",IFERROR(VLOOKUP(E1471,TabProd,5,FALSE),0)+SUMIFS($H$5:H1471,$E$5:E1471,E1471)-SUMIFS($I$5:I1471,$E$5:E1471,E1471))</f>
        <v/>
      </c>
      <c r="K1471" s="7"/>
      <c r="L1471" s="7"/>
      <c r="M1471" s="1" t="str">
        <f>IF(E1471="","",E1471&amp;"|"&amp;COUNTIF($E$5:E1471,E1471))</f>
        <v/>
      </c>
    </row>
    <row r="1472" spans="2:13" x14ac:dyDescent="0.2">
      <c r="B1472" s="10"/>
      <c r="C1472" s="7"/>
      <c r="D1472" s="11"/>
      <c r="E1472" s="6"/>
      <c r="F1472" s="12" t="str">
        <f t="shared" si="44"/>
        <v/>
      </c>
      <c r="G1472" s="13" t="str">
        <f t="shared" si="45"/>
        <v/>
      </c>
      <c r="H1472" s="9"/>
      <c r="I1472" s="9"/>
      <c r="J1472" s="14" t="str">
        <f>IF(E1472="","",IFERROR(VLOOKUP(E1472,TabProd,5,FALSE),0)+SUMIFS($H$5:H1472,$E$5:E1472,E1472)-SUMIFS($I$5:I1472,$E$5:E1472,E1472))</f>
        <v/>
      </c>
      <c r="K1472" s="7"/>
      <c r="L1472" s="7"/>
      <c r="M1472" s="1" t="str">
        <f>IF(E1472="","",E1472&amp;"|"&amp;COUNTIF($E$5:E1472,E1472))</f>
        <v/>
      </c>
    </row>
    <row r="1473" spans="2:13" x14ac:dyDescent="0.2">
      <c r="B1473" s="10"/>
      <c r="C1473" s="7"/>
      <c r="D1473" s="11"/>
      <c r="E1473" s="6"/>
      <c r="F1473" s="12" t="str">
        <f t="shared" si="44"/>
        <v/>
      </c>
      <c r="G1473" s="13" t="str">
        <f t="shared" si="45"/>
        <v/>
      </c>
      <c r="H1473" s="9"/>
      <c r="I1473" s="9"/>
      <c r="J1473" s="14" t="str">
        <f>IF(E1473="","",IFERROR(VLOOKUP(E1473,TabProd,5,FALSE),0)+SUMIFS($H$5:H1473,$E$5:E1473,E1473)-SUMIFS($I$5:I1473,$E$5:E1473,E1473))</f>
        <v/>
      </c>
      <c r="K1473" s="7"/>
      <c r="L1473" s="7"/>
      <c r="M1473" s="1" t="str">
        <f>IF(E1473="","",E1473&amp;"|"&amp;COUNTIF($E$5:E1473,E1473))</f>
        <v/>
      </c>
    </row>
    <row r="1474" spans="2:13" x14ac:dyDescent="0.2">
      <c r="B1474" s="10"/>
      <c r="C1474" s="7"/>
      <c r="D1474" s="11"/>
      <c r="E1474" s="6"/>
      <c r="F1474" s="12" t="str">
        <f t="shared" si="44"/>
        <v/>
      </c>
      <c r="G1474" s="13" t="str">
        <f t="shared" si="45"/>
        <v/>
      </c>
      <c r="H1474" s="9"/>
      <c r="I1474" s="9"/>
      <c r="J1474" s="14" t="str">
        <f>IF(E1474="","",IFERROR(VLOOKUP(E1474,TabProd,5,FALSE),0)+SUMIFS($H$5:H1474,$E$5:E1474,E1474)-SUMIFS($I$5:I1474,$E$5:E1474,E1474))</f>
        <v/>
      </c>
      <c r="K1474" s="7"/>
      <c r="L1474" s="7"/>
      <c r="M1474" s="1" t="str">
        <f>IF(E1474="","",E1474&amp;"|"&amp;COUNTIF($E$5:E1474,E1474))</f>
        <v/>
      </c>
    </row>
    <row r="1475" spans="2:13" x14ac:dyDescent="0.2">
      <c r="B1475" s="10"/>
      <c r="C1475" s="7"/>
      <c r="D1475" s="11"/>
      <c r="E1475" s="6"/>
      <c r="F1475" s="12" t="str">
        <f t="shared" si="44"/>
        <v/>
      </c>
      <c r="G1475" s="13" t="str">
        <f t="shared" si="45"/>
        <v/>
      </c>
      <c r="H1475" s="9"/>
      <c r="I1475" s="9"/>
      <c r="J1475" s="14" t="str">
        <f>IF(E1475="","",IFERROR(VLOOKUP(E1475,TabProd,5,FALSE),0)+SUMIFS($H$5:H1475,$E$5:E1475,E1475)-SUMIFS($I$5:I1475,$E$5:E1475,E1475))</f>
        <v/>
      </c>
      <c r="K1475" s="7"/>
      <c r="L1475" s="7"/>
      <c r="M1475" s="1" t="str">
        <f>IF(E1475="","",E1475&amp;"|"&amp;COUNTIF($E$5:E1475,E1475))</f>
        <v/>
      </c>
    </row>
    <row r="1476" spans="2:13" x14ac:dyDescent="0.2">
      <c r="B1476" s="10"/>
      <c r="C1476" s="7"/>
      <c r="D1476" s="11"/>
      <c r="E1476" s="6"/>
      <c r="F1476" s="12" t="str">
        <f t="shared" si="44"/>
        <v/>
      </c>
      <c r="G1476" s="13" t="str">
        <f t="shared" si="45"/>
        <v/>
      </c>
      <c r="H1476" s="9"/>
      <c r="I1476" s="9"/>
      <c r="J1476" s="14" t="str">
        <f>IF(E1476="","",IFERROR(VLOOKUP(E1476,TabProd,5,FALSE),0)+SUMIFS($H$5:H1476,$E$5:E1476,E1476)-SUMIFS($I$5:I1476,$E$5:E1476,E1476))</f>
        <v/>
      </c>
      <c r="K1476" s="7"/>
      <c r="L1476" s="7"/>
      <c r="M1476" s="1" t="str">
        <f>IF(E1476="","",E1476&amp;"|"&amp;COUNTIF($E$5:E1476,E1476))</f>
        <v/>
      </c>
    </row>
    <row r="1477" spans="2:13" x14ac:dyDescent="0.2">
      <c r="B1477" s="10"/>
      <c r="C1477" s="7"/>
      <c r="D1477" s="11"/>
      <c r="E1477" s="6"/>
      <c r="F1477" s="12" t="str">
        <f t="shared" ref="F1477:F1540" si="46">IF(E1477="","",IFERROR(VLOOKUP(E1477,TabProd,2,FALSE),"Cod inexistent"))</f>
        <v/>
      </c>
      <c r="G1477" s="13" t="str">
        <f t="shared" ref="G1477:G1540" si="47">IF(E1477="","",IFERROR(VLOOKUP(E1477,TabProd,3,FALSE),""))</f>
        <v/>
      </c>
      <c r="H1477" s="9"/>
      <c r="I1477" s="9"/>
      <c r="J1477" s="14" t="str">
        <f>IF(E1477="","",IFERROR(VLOOKUP(E1477,TabProd,5,FALSE),0)+SUMIFS($H$5:H1477,$E$5:E1477,E1477)-SUMIFS($I$5:I1477,$E$5:E1477,E1477))</f>
        <v/>
      </c>
      <c r="K1477" s="7"/>
      <c r="L1477" s="7"/>
      <c r="M1477" s="1" t="str">
        <f>IF(E1477="","",E1477&amp;"|"&amp;COUNTIF($E$5:E1477,E1477))</f>
        <v/>
      </c>
    </row>
    <row r="1478" spans="2:13" x14ac:dyDescent="0.2">
      <c r="B1478" s="10"/>
      <c r="C1478" s="7"/>
      <c r="D1478" s="11"/>
      <c r="E1478" s="6"/>
      <c r="F1478" s="12" t="str">
        <f t="shared" si="46"/>
        <v/>
      </c>
      <c r="G1478" s="13" t="str">
        <f t="shared" si="47"/>
        <v/>
      </c>
      <c r="H1478" s="9"/>
      <c r="I1478" s="9"/>
      <c r="J1478" s="14" t="str">
        <f>IF(E1478="","",IFERROR(VLOOKUP(E1478,TabProd,5,FALSE),0)+SUMIFS($H$5:H1478,$E$5:E1478,E1478)-SUMIFS($I$5:I1478,$E$5:E1478,E1478))</f>
        <v/>
      </c>
      <c r="K1478" s="7"/>
      <c r="L1478" s="7"/>
      <c r="M1478" s="1" t="str">
        <f>IF(E1478="","",E1478&amp;"|"&amp;COUNTIF($E$5:E1478,E1478))</f>
        <v/>
      </c>
    </row>
    <row r="1479" spans="2:13" x14ac:dyDescent="0.2">
      <c r="B1479" s="10"/>
      <c r="C1479" s="7"/>
      <c r="D1479" s="11"/>
      <c r="E1479" s="6"/>
      <c r="F1479" s="12" t="str">
        <f t="shared" si="46"/>
        <v/>
      </c>
      <c r="G1479" s="13" t="str">
        <f t="shared" si="47"/>
        <v/>
      </c>
      <c r="H1479" s="9"/>
      <c r="I1479" s="9"/>
      <c r="J1479" s="14" t="str">
        <f>IF(E1479="","",IFERROR(VLOOKUP(E1479,TabProd,5,FALSE),0)+SUMIFS($H$5:H1479,$E$5:E1479,E1479)-SUMIFS($I$5:I1479,$E$5:E1479,E1479))</f>
        <v/>
      </c>
      <c r="K1479" s="7"/>
      <c r="L1479" s="7"/>
      <c r="M1479" s="1" t="str">
        <f>IF(E1479="","",E1479&amp;"|"&amp;COUNTIF($E$5:E1479,E1479))</f>
        <v/>
      </c>
    </row>
    <row r="1480" spans="2:13" x14ac:dyDescent="0.2">
      <c r="B1480" s="10"/>
      <c r="C1480" s="7"/>
      <c r="D1480" s="11"/>
      <c r="E1480" s="6"/>
      <c r="F1480" s="12" t="str">
        <f t="shared" si="46"/>
        <v/>
      </c>
      <c r="G1480" s="13" t="str">
        <f t="shared" si="47"/>
        <v/>
      </c>
      <c r="H1480" s="9"/>
      <c r="I1480" s="9"/>
      <c r="J1480" s="14" t="str">
        <f>IF(E1480="","",IFERROR(VLOOKUP(E1480,TabProd,5,FALSE),0)+SUMIFS($H$5:H1480,$E$5:E1480,E1480)-SUMIFS($I$5:I1480,$E$5:E1480,E1480))</f>
        <v/>
      </c>
      <c r="K1480" s="7"/>
      <c r="L1480" s="7"/>
      <c r="M1480" s="1" t="str">
        <f>IF(E1480="","",E1480&amp;"|"&amp;COUNTIF($E$5:E1480,E1480))</f>
        <v/>
      </c>
    </row>
    <row r="1481" spans="2:13" x14ac:dyDescent="0.2">
      <c r="B1481" s="10"/>
      <c r="C1481" s="7"/>
      <c r="D1481" s="11"/>
      <c r="E1481" s="6"/>
      <c r="F1481" s="12" t="str">
        <f t="shared" si="46"/>
        <v/>
      </c>
      <c r="G1481" s="13" t="str">
        <f t="shared" si="47"/>
        <v/>
      </c>
      <c r="H1481" s="9"/>
      <c r="I1481" s="9"/>
      <c r="J1481" s="14" t="str">
        <f>IF(E1481="","",IFERROR(VLOOKUP(E1481,TabProd,5,FALSE),0)+SUMIFS($H$5:H1481,$E$5:E1481,E1481)-SUMIFS($I$5:I1481,$E$5:E1481,E1481))</f>
        <v/>
      </c>
      <c r="K1481" s="7"/>
      <c r="L1481" s="7"/>
      <c r="M1481" s="1" t="str">
        <f>IF(E1481="","",E1481&amp;"|"&amp;COUNTIF($E$5:E1481,E1481))</f>
        <v/>
      </c>
    </row>
    <row r="1482" spans="2:13" x14ac:dyDescent="0.2">
      <c r="B1482" s="10"/>
      <c r="C1482" s="7"/>
      <c r="D1482" s="11"/>
      <c r="E1482" s="6"/>
      <c r="F1482" s="12" t="str">
        <f t="shared" si="46"/>
        <v/>
      </c>
      <c r="G1482" s="13" t="str">
        <f t="shared" si="47"/>
        <v/>
      </c>
      <c r="H1482" s="9"/>
      <c r="I1482" s="9"/>
      <c r="J1482" s="14" t="str">
        <f>IF(E1482="","",IFERROR(VLOOKUP(E1482,TabProd,5,FALSE),0)+SUMIFS($H$5:H1482,$E$5:E1482,E1482)-SUMIFS($I$5:I1482,$E$5:E1482,E1482))</f>
        <v/>
      </c>
      <c r="K1482" s="7"/>
      <c r="L1482" s="7"/>
      <c r="M1482" s="1" t="str">
        <f>IF(E1482="","",E1482&amp;"|"&amp;COUNTIF($E$5:E1482,E1482))</f>
        <v/>
      </c>
    </row>
    <row r="1483" spans="2:13" x14ac:dyDescent="0.2">
      <c r="B1483" s="10"/>
      <c r="C1483" s="7"/>
      <c r="D1483" s="11"/>
      <c r="E1483" s="6"/>
      <c r="F1483" s="12" t="str">
        <f t="shared" si="46"/>
        <v/>
      </c>
      <c r="G1483" s="13" t="str">
        <f t="shared" si="47"/>
        <v/>
      </c>
      <c r="H1483" s="9"/>
      <c r="I1483" s="9"/>
      <c r="J1483" s="14" t="str">
        <f>IF(E1483="","",IFERROR(VLOOKUP(E1483,TabProd,5,FALSE),0)+SUMIFS($H$5:H1483,$E$5:E1483,E1483)-SUMIFS($I$5:I1483,$E$5:E1483,E1483))</f>
        <v/>
      </c>
      <c r="K1483" s="7"/>
      <c r="L1483" s="7"/>
      <c r="M1483" s="1" t="str">
        <f>IF(E1483="","",E1483&amp;"|"&amp;COUNTIF($E$5:E1483,E1483))</f>
        <v/>
      </c>
    </row>
    <row r="1484" spans="2:13" x14ac:dyDescent="0.2">
      <c r="B1484" s="10"/>
      <c r="C1484" s="7"/>
      <c r="D1484" s="11"/>
      <c r="E1484" s="6"/>
      <c r="F1484" s="12" t="str">
        <f t="shared" si="46"/>
        <v/>
      </c>
      <c r="G1484" s="13" t="str">
        <f t="shared" si="47"/>
        <v/>
      </c>
      <c r="H1484" s="9"/>
      <c r="I1484" s="9"/>
      <c r="J1484" s="14" t="str">
        <f>IF(E1484="","",IFERROR(VLOOKUP(E1484,TabProd,5,FALSE),0)+SUMIFS($H$5:H1484,$E$5:E1484,E1484)-SUMIFS($I$5:I1484,$E$5:E1484,E1484))</f>
        <v/>
      </c>
      <c r="K1484" s="7"/>
      <c r="L1484" s="7"/>
      <c r="M1484" s="1" t="str">
        <f>IF(E1484="","",E1484&amp;"|"&amp;COUNTIF($E$5:E1484,E1484))</f>
        <v/>
      </c>
    </row>
    <row r="1485" spans="2:13" x14ac:dyDescent="0.2">
      <c r="B1485" s="10"/>
      <c r="C1485" s="7"/>
      <c r="D1485" s="11"/>
      <c r="E1485" s="6"/>
      <c r="F1485" s="12" t="str">
        <f t="shared" si="46"/>
        <v/>
      </c>
      <c r="G1485" s="13" t="str">
        <f t="shared" si="47"/>
        <v/>
      </c>
      <c r="H1485" s="9"/>
      <c r="I1485" s="9"/>
      <c r="J1485" s="14" t="str">
        <f>IF(E1485="","",IFERROR(VLOOKUP(E1485,TabProd,5,FALSE),0)+SUMIFS($H$5:H1485,$E$5:E1485,E1485)-SUMIFS($I$5:I1485,$E$5:E1485,E1485))</f>
        <v/>
      </c>
      <c r="K1485" s="7"/>
      <c r="L1485" s="7"/>
      <c r="M1485" s="1" t="str">
        <f>IF(E1485="","",E1485&amp;"|"&amp;COUNTIF($E$5:E1485,E1485))</f>
        <v/>
      </c>
    </row>
    <row r="1486" spans="2:13" x14ac:dyDescent="0.2">
      <c r="B1486" s="10"/>
      <c r="C1486" s="7"/>
      <c r="D1486" s="11"/>
      <c r="E1486" s="6"/>
      <c r="F1486" s="12" t="str">
        <f t="shared" si="46"/>
        <v/>
      </c>
      <c r="G1486" s="13" t="str">
        <f t="shared" si="47"/>
        <v/>
      </c>
      <c r="H1486" s="9"/>
      <c r="I1486" s="9"/>
      <c r="J1486" s="14" t="str">
        <f>IF(E1486="","",IFERROR(VLOOKUP(E1486,TabProd,5,FALSE),0)+SUMIFS($H$5:H1486,$E$5:E1486,E1486)-SUMIFS($I$5:I1486,$E$5:E1486,E1486))</f>
        <v/>
      </c>
      <c r="K1486" s="7"/>
      <c r="L1486" s="7"/>
      <c r="M1486" s="1" t="str">
        <f>IF(E1486="","",E1486&amp;"|"&amp;COUNTIF($E$5:E1486,E1486))</f>
        <v/>
      </c>
    </row>
    <row r="1487" spans="2:13" x14ac:dyDescent="0.2">
      <c r="B1487" s="10"/>
      <c r="C1487" s="7"/>
      <c r="D1487" s="11"/>
      <c r="E1487" s="6"/>
      <c r="F1487" s="12" t="str">
        <f t="shared" si="46"/>
        <v/>
      </c>
      <c r="G1487" s="13" t="str">
        <f t="shared" si="47"/>
        <v/>
      </c>
      <c r="H1487" s="9"/>
      <c r="I1487" s="9"/>
      <c r="J1487" s="14" t="str">
        <f>IF(E1487="","",IFERROR(VLOOKUP(E1487,TabProd,5,FALSE),0)+SUMIFS($H$5:H1487,$E$5:E1487,E1487)-SUMIFS($I$5:I1487,$E$5:E1487,E1487))</f>
        <v/>
      </c>
      <c r="K1487" s="7"/>
      <c r="L1487" s="7"/>
      <c r="M1487" s="1" t="str">
        <f>IF(E1487="","",E1487&amp;"|"&amp;COUNTIF($E$5:E1487,E1487))</f>
        <v/>
      </c>
    </row>
    <row r="1488" spans="2:13" x14ac:dyDescent="0.2">
      <c r="B1488" s="10"/>
      <c r="C1488" s="7"/>
      <c r="D1488" s="11"/>
      <c r="E1488" s="6"/>
      <c r="F1488" s="12" t="str">
        <f t="shared" si="46"/>
        <v/>
      </c>
      <c r="G1488" s="13" t="str">
        <f t="shared" si="47"/>
        <v/>
      </c>
      <c r="H1488" s="9"/>
      <c r="I1488" s="9"/>
      <c r="J1488" s="14" t="str">
        <f>IF(E1488="","",IFERROR(VLOOKUP(E1488,TabProd,5,FALSE),0)+SUMIFS($H$5:H1488,$E$5:E1488,E1488)-SUMIFS($I$5:I1488,$E$5:E1488,E1488))</f>
        <v/>
      </c>
      <c r="K1488" s="7"/>
      <c r="L1488" s="7"/>
      <c r="M1488" s="1" t="str">
        <f>IF(E1488="","",E1488&amp;"|"&amp;COUNTIF($E$5:E1488,E1488))</f>
        <v/>
      </c>
    </row>
    <row r="1489" spans="2:13" x14ac:dyDescent="0.2">
      <c r="B1489" s="10"/>
      <c r="C1489" s="7"/>
      <c r="D1489" s="11"/>
      <c r="E1489" s="6"/>
      <c r="F1489" s="12" t="str">
        <f t="shared" si="46"/>
        <v/>
      </c>
      <c r="G1489" s="13" t="str">
        <f t="shared" si="47"/>
        <v/>
      </c>
      <c r="H1489" s="9"/>
      <c r="I1489" s="9"/>
      <c r="J1489" s="14" t="str">
        <f>IF(E1489="","",IFERROR(VLOOKUP(E1489,TabProd,5,FALSE),0)+SUMIFS($H$5:H1489,$E$5:E1489,E1489)-SUMIFS($I$5:I1489,$E$5:E1489,E1489))</f>
        <v/>
      </c>
      <c r="K1489" s="7"/>
      <c r="L1489" s="7"/>
      <c r="M1489" s="1" t="str">
        <f>IF(E1489="","",E1489&amp;"|"&amp;COUNTIF($E$5:E1489,E1489))</f>
        <v/>
      </c>
    </row>
    <row r="1490" spans="2:13" x14ac:dyDescent="0.2">
      <c r="B1490" s="10"/>
      <c r="C1490" s="7"/>
      <c r="D1490" s="11"/>
      <c r="E1490" s="6"/>
      <c r="F1490" s="12" t="str">
        <f t="shared" si="46"/>
        <v/>
      </c>
      <c r="G1490" s="13" t="str">
        <f t="shared" si="47"/>
        <v/>
      </c>
      <c r="H1490" s="9"/>
      <c r="I1490" s="9"/>
      <c r="J1490" s="14" t="str">
        <f>IF(E1490="","",IFERROR(VLOOKUP(E1490,TabProd,5,FALSE),0)+SUMIFS($H$5:H1490,$E$5:E1490,E1490)-SUMIFS($I$5:I1490,$E$5:E1490,E1490))</f>
        <v/>
      </c>
      <c r="K1490" s="7"/>
      <c r="L1490" s="7"/>
      <c r="M1490" s="1" t="str">
        <f>IF(E1490="","",E1490&amp;"|"&amp;COUNTIF($E$5:E1490,E1490))</f>
        <v/>
      </c>
    </row>
    <row r="1491" spans="2:13" x14ac:dyDescent="0.2">
      <c r="B1491" s="10"/>
      <c r="C1491" s="7"/>
      <c r="D1491" s="11"/>
      <c r="E1491" s="6"/>
      <c r="F1491" s="12" t="str">
        <f t="shared" si="46"/>
        <v/>
      </c>
      <c r="G1491" s="13" t="str">
        <f t="shared" si="47"/>
        <v/>
      </c>
      <c r="H1491" s="9"/>
      <c r="I1491" s="9"/>
      <c r="J1491" s="14" t="str">
        <f>IF(E1491="","",IFERROR(VLOOKUP(E1491,TabProd,5,FALSE),0)+SUMIFS($H$5:H1491,$E$5:E1491,E1491)-SUMIFS($I$5:I1491,$E$5:E1491,E1491))</f>
        <v/>
      </c>
      <c r="K1491" s="7"/>
      <c r="L1491" s="7"/>
      <c r="M1491" s="1" t="str">
        <f>IF(E1491="","",E1491&amp;"|"&amp;COUNTIF($E$5:E1491,E1491))</f>
        <v/>
      </c>
    </row>
    <row r="1492" spans="2:13" x14ac:dyDescent="0.2">
      <c r="B1492" s="10"/>
      <c r="C1492" s="7"/>
      <c r="D1492" s="11"/>
      <c r="E1492" s="6"/>
      <c r="F1492" s="12" t="str">
        <f t="shared" si="46"/>
        <v/>
      </c>
      <c r="G1492" s="13" t="str">
        <f t="shared" si="47"/>
        <v/>
      </c>
      <c r="H1492" s="9"/>
      <c r="I1492" s="9"/>
      <c r="J1492" s="14" t="str">
        <f>IF(E1492="","",IFERROR(VLOOKUP(E1492,TabProd,5,FALSE),0)+SUMIFS($H$5:H1492,$E$5:E1492,E1492)-SUMIFS($I$5:I1492,$E$5:E1492,E1492))</f>
        <v/>
      </c>
      <c r="K1492" s="7"/>
      <c r="L1492" s="7"/>
      <c r="M1492" s="1" t="str">
        <f>IF(E1492="","",E1492&amp;"|"&amp;COUNTIF($E$5:E1492,E1492))</f>
        <v/>
      </c>
    </row>
    <row r="1493" spans="2:13" x14ac:dyDescent="0.2">
      <c r="B1493" s="10"/>
      <c r="C1493" s="7"/>
      <c r="D1493" s="11"/>
      <c r="E1493" s="6"/>
      <c r="F1493" s="12" t="str">
        <f t="shared" si="46"/>
        <v/>
      </c>
      <c r="G1493" s="13" t="str">
        <f t="shared" si="47"/>
        <v/>
      </c>
      <c r="H1493" s="9"/>
      <c r="I1493" s="9"/>
      <c r="J1493" s="14" t="str">
        <f>IF(E1493="","",IFERROR(VLOOKUP(E1493,TabProd,5,FALSE),0)+SUMIFS($H$5:H1493,$E$5:E1493,E1493)-SUMIFS($I$5:I1493,$E$5:E1493,E1493))</f>
        <v/>
      </c>
      <c r="K1493" s="7"/>
      <c r="L1493" s="7"/>
      <c r="M1493" s="1" t="str">
        <f>IF(E1493="","",E1493&amp;"|"&amp;COUNTIF($E$5:E1493,E1493))</f>
        <v/>
      </c>
    </row>
    <row r="1494" spans="2:13" x14ac:dyDescent="0.2">
      <c r="B1494" s="10"/>
      <c r="C1494" s="7"/>
      <c r="D1494" s="11"/>
      <c r="E1494" s="6"/>
      <c r="F1494" s="12" t="str">
        <f t="shared" si="46"/>
        <v/>
      </c>
      <c r="G1494" s="13" t="str">
        <f t="shared" si="47"/>
        <v/>
      </c>
      <c r="H1494" s="9"/>
      <c r="I1494" s="9"/>
      <c r="J1494" s="14" t="str">
        <f>IF(E1494="","",IFERROR(VLOOKUP(E1494,TabProd,5,FALSE),0)+SUMIFS($H$5:H1494,$E$5:E1494,E1494)-SUMIFS($I$5:I1494,$E$5:E1494,E1494))</f>
        <v/>
      </c>
      <c r="K1494" s="7"/>
      <c r="L1494" s="7"/>
      <c r="M1494" s="1" t="str">
        <f>IF(E1494="","",E1494&amp;"|"&amp;COUNTIF($E$5:E1494,E1494))</f>
        <v/>
      </c>
    </row>
    <row r="1495" spans="2:13" x14ac:dyDescent="0.2">
      <c r="B1495" s="10"/>
      <c r="C1495" s="7"/>
      <c r="D1495" s="11"/>
      <c r="E1495" s="6"/>
      <c r="F1495" s="12" t="str">
        <f t="shared" si="46"/>
        <v/>
      </c>
      <c r="G1495" s="13" t="str">
        <f t="shared" si="47"/>
        <v/>
      </c>
      <c r="H1495" s="9"/>
      <c r="I1495" s="9"/>
      <c r="J1495" s="14" t="str">
        <f>IF(E1495="","",IFERROR(VLOOKUP(E1495,TabProd,5,FALSE),0)+SUMIFS($H$5:H1495,$E$5:E1495,E1495)-SUMIFS($I$5:I1495,$E$5:E1495,E1495))</f>
        <v/>
      </c>
      <c r="K1495" s="7"/>
      <c r="L1495" s="7"/>
      <c r="M1495" s="1" t="str">
        <f>IF(E1495="","",E1495&amp;"|"&amp;COUNTIF($E$5:E1495,E1495))</f>
        <v/>
      </c>
    </row>
    <row r="1496" spans="2:13" x14ac:dyDescent="0.2">
      <c r="B1496" s="10"/>
      <c r="C1496" s="7"/>
      <c r="D1496" s="11"/>
      <c r="E1496" s="6"/>
      <c r="F1496" s="12" t="str">
        <f t="shared" si="46"/>
        <v/>
      </c>
      <c r="G1496" s="13" t="str">
        <f t="shared" si="47"/>
        <v/>
      </c>
      <c r="H1496" s="9"/>
      <c r="I1496" s="9"/>
      <c r="J1496" s="14" t="str">
        <f>IF(E1496="","",IFERROR(VLOOKUP(E1496,TabProd,5,FALSE),0)+SUMIFS($H$5:H1496,$E$5:E1496,E1496)-SUMIFS($I$5:I1496,$E$5:E1496,E1496))</f>
        <v/>
      </c>
      <c r="K1496" s="7"/>
      <c r="L1496" s="7"/>
      <c r="M1496" s="1" t="str">
        <f>IF(E1496="","",E1496&amp;"|"&amp;COUNTIF($E$5:E1496,E1496))</f>
        <v/>
      </c>
    </row>
    <row r="1497" spans="2:13" x14ac:dyDescent="0.2">
      <c r="B1497" s="10"/>
      <c r="C1497" s="7"/>
      <c r="D1497" s="11"/>
      <c r="E1497" s="6"/>
      <c r="F1497" s="12" t="str">
        <f t="shared" si="46"/>
        <v/>
      </c>
      <c r="G1497" s="13" t="str">
        <f t="shared" si="47"/>
        <v/>
      </c>
      <c r="H1497" s="9"/>
      <c r="I1497" s="9"/>
      <c r="J1497" s="14" t="str">
        <f>IF(E1497="","",IFERROR(VLOOKUP(E1497,TabProd,5,FALSE),0)+SUMIFS($H$5:H1497,$E$5:E1497,E1497)-SUMIFS($I$5:I1497,$E$5:E1497,E1497))</f>
        <v/>
      </c>
      <c r="K1497" s="7"/>
      <c r="L1497" s="7"/>
      <c r="M1497" s="1" t="str">
        <f>IF(E1497="","",E1497&amp;"|"&amp;COUNTIF($E$5:E1497,E1497))</f>
        <v/>
      </c>
    </row>
    <row r="1498" spans="2:13" x14ac:dyDescent="0.2">
      <c r="B1498" s="10"/>
      <c r="C1498" s="7"/>
      <c r="D1498" s="11"/>
      <c r="E1498" s="6"/>
      <c r="F1498" s="12" t="str">
        <f t="shared" si="46"/>
        <v/>
      </c>
      <c r="G1498" s="13" t="str">
        <f t="shared" si="47"/>
        <v/>
      </c>
      <c r="H1498" s="9"/>
      <c r="I1498" s="9"/>
      <c r="J1498" s="14" t="str">
        <f>IF(E1498="","",IFERROR(VLOOKUP(E1498,TabProd,5,FALSE),0)+SUMIFS($H$5:H1498,$E$5:E1498,E1498)-SUMIFS($I$5:I1498,$E$5:E1498,E1498))</f>
        <v/>
      </c>
      <c r="K1498" s="7"/>
      <c r="L1498" s="7"/>
      <c r="M1498" s="1" t="str">
        <f>IF(E1498="","",E1498&amp;"|"&amp;COUNTIF($E$5:E1498,E1498))</f>
        <v/>
      </c>
    </row>
    <row r="1499" spans="2:13" x14ac:dyDescent="0.2">
      <c r="B1499" s="10"/>
      <c r="C1499" s="7"/>
      <c r="D1499" s="11"/>
      <c r="E1499" s="6"/>
      <c r="F1499" s="12" t="str">
        <f t="shared" si="46"/>
        <v/>
      </c>
      <c r="G1499" s="13" t="str">
        <f t="shared" si="47"/>
        <v/>
      </c>
      <c r="H1499" s="9"/>
      <c r="I1499" s="9"/>
      <c r="J1499" s="14" t="str">
        <f>IF(E1499="","",IFERROR(VLOOKUP(E1499,TabProd,5,FALSE),0)+SUMIFS($H$5:H1499,$E$5:E1499,E1499)-SUMIFS($I$5:I1499,$E$5:E1499,E1499))</f>
        <v/>
      </c>
      <c r="K1499" s="7"/>
      <c r="L1499" s="7"/>
      <c r="M1499" s="1" t="str">
        <f>IF(E1499="","",E1499&amp;"|"&amp;COUNTIF($E$5:E1499,E1499))</f>
        <v/>
      </c>
    </row>
    <row r="1500" spans="2:13" x14ac:dyDescent="0.2">
      <c r="B1500" s="10"/>
      <c r="C1500" s="7"/>
      <c r="D1500" s="11"/>
      <c r="E1500" s="6"/>
      <c r="F1500" s="12" t="str">
        <f t="shared" si="46"/>
        <v/>
      </c>
      <c r="G1500" s="13" t="str">
        <f t="shared" si="47"/>
        <v/>
      </c>
      <c r="H1500" s="9"/>
      <c r="I1500" s="9"/>
      <c r="J1500" s="14" t="str">
        <f>IF(E1500="","",IFERROR(VLOOKUP(E1500,TabProd,5,FALSE),0)+SUMIFS($H$5:H1500,$E$5:E1500,E1500)-SUMIFS($I$5:I1500,$E$5:E1500,E1500))</f>
        <v/>
      </c>
      <c r="K1500" s="7"/>
      <c r="L1500" s="7"/>
      <c r="M1500" s="1" t="str">
        <f>IF(E1500="","",E1500&amp;"|"&amp;COUNTIF($E$5:E1500,E1500))</f>
        <v/>
      </c>
    </row>
    <row r="1501" spans="2:13" x14ac:dyDescent="0.2">
      <c r="B1501" s="10"/>
      <c r="C1501" s="7"/>
      <c r="D1501" s="11"/>
      <c r="E1501" s="6"/>
      <c r="F1501" s="12" t="str">
        <f t="shared" si="46"/>
        <v/>
      </c>
      <c r="G1501" s="13" t="str">
        <f t="shared" si="47"/>
        <v/>
      </c>
      <c r="H1501" s="9"/>
      <c r="I1501" s="9"/>
      <c r="J1501" s="14" t="str">
        <f>IF(E1501="","",IFERROR(VLOOKUP(E1501,TabProd,5,FALSE),0)+SUMIFS($H$5:H1501,$E$5:E1501,E1501)-SUMIFS($I$5:I1501,$E$5:E1501,E1501))</f>
        <v/>
      </c>
      <c r="K1501" s="7"/>
      <c r="L1501" s="7"/>
      <c r="M1501" s="1" t="str">
        <f>IF(E1501="","",E1501&amp;"|"&amp;COUNTIF($E$5:E1501,E1501))</f>
        <v/>
      </c>
    </row>
    <row r="1502" spans="2:13" x14ac:dyDescent="0.2">
      <c r="B1502" s="10"/>
      <c r="C1502" s="7"/>
      <c r="D1502" s="11"/>
      <c r="E1502" s="6"/>
      <c r="F1502" s="12" t="str">
        <f t="shared" si="46"/>
        <v/>
      </c>
      <c r="G1502" s="13" t="str">
        <f t="shared" si="47"/>
        <v/>
      </c>
      <c r="H1502" s="9"/>
      <c r="I1502" s="9"/>
      <c r="J1502" s="14" t="str">
        <f>IF(E1502="","",IFERROR(VLOOKUP(E1502,TabProd,5,FALSE),0)+SUMIFS($H$5:H1502,$E$5:E1502,E1502)-SUMIFS($I$5:I1502,$E$5:E1502,E1502))</f>
        <v/>
      </c>
      <c r="K1502" s="7"/>
      <c r="L1502" s="7"/>
      <c r="M1502" s="1" t="str">
        <f>IF(E1502="","",E1502&amp;"|"&amp;COUNTIF($E$5:E1502,E1502))</f>
        <v/>
      </c>
    </row>
    <row r="1503" spans="2:13" x14ac:dyDescent="0.2">
      <c r="B1503" s="10"/>
      <c r="C1503" s="7"/>
      <c r="D1503" s="11"/>
      <c r="E1503" s="6"/>
      <c r="F1503" s="12" t="str">
        <f t="shared" si="46"/>
        <v/>
      </c>
      <c r="G1503" s="13" t="str">
        <f t="shared" si="47"/>
        <v/>
      </c>
      <c r="H1503" s="9"/>
      <c r="I1503" s="9"/>
      <c r="J1503" s="14" t="str">
        <f>IF(E1503="","",IFERROR(VLOOKUP(E1503,TabProd,5,FALSE),0)+SUMIFS($H$5:H1503,$E$5:E1503,E1503)-SUMIFS($I$5:I1503,$E$5:E1503,E1503))</f>
        <v/>
      </c>
      <c r="K1503" s="7"/>
      <c r="L1503" s="7"/>
      <c r="M1503" s="1" t="str">
        <f>IF(E1503="","",E1503&amp;"|"&amp;COUNTIF($E$5:E1503,E1503))</f>
        <v/>
      </c>
    </row>
    <row r="1504" spans="2:13" x14ac:dyDescent="0.2">
      <c r="B1504" s="10"/>
      <c r="C1504" s="7"/>
      <c r="D1504" s="11"/>
      <c r="E1504" s="6"/>
      <c r="F1504" s="12" t="str">
        <f t="shared" si="46"/>
        <v/>
      </c>
      <c r="G1504" s="13" t="str">
        <f t="shared" si="47"/>
        <v/>
      </c>
      <c r="H1504" s="9"/>
      <c r="I1504" s="9"/>
      <c r="J1504" s="14" t="str">
        <f>IF(E1504="","",IFERROR(VLOOKUP(E1504,TabProd,5,FALSE),0)+SUMIFS($H$5:H1504,$E$5:E1504,E1504)-SUMIFS($I$5:I1504,$E$5:E1504,E1504))</f>
        <v/>
      </c>
      <c r="K1504" s="7"/>
      <c r="L1504" s="7"/>
      <c r="M1504" s="1" t="str">
        <f>IF(E1504="","",E1504&amp;"|"&amp;COUNTIF($E$5:E1504,E1504))</f>
        <v/>
      </c>
    </row>
    <row r="1505" spans="2:13" x14ac:dyDescent="0.2">
      <c r="B1505" s="10"/>
      <c r="C1505" s="7"/>
      <c r="D1505" s="11"/>
      <c r="E1505" s="6"/>
      <c r="F1505" s="12" t="str">
        <f t="shared" si="46"/>
        <v/>
      </c>
      <c r="G1505" s="13" t="str">
        <f t="shared" si="47"/>
        <v/>
      </c>
      <c r="H1505" s="9"/>
      <c r="I1505" s="9"/>
      <c r="J1505" s="14" t="str">
        <f>IF(E1505="","",IFERROR(VLOOKUP(E1505,TabProd,5,FALSE),0)+SUMIFS($H$5:H1505,$E$5:E1505,E1505)-SUMIFS($I$5:I1505,$E$5:E1505,E1505))</f>
        <v/>
      </c>
      <c r="K1505" s="7"/>
      <c r="L1505" s="7"/>
      <c r="M1505" s="1" t="str">
        <f>IF(E1505="","",E1505&amp;"|"&amp;COUNTIF($E$5:E1505,E1505))</f>
        <v/>
      </c>
    </row>
    <row r="1506" spans="2:13" x14ac:dyDescent="0.2">
      <c r="B1506" s="10"/>
      <c r="C1506" s="7"/>
      <c r="D1506" s="11"/>
      <c r="E1506" s="6"/>
      <c r="F1506" s="12" t="str">
        <f t="shared" si="46"/>
        <v/>
      </c>
      <c r="G1506" s="13" t="str">
        <f t="shared" si="47"/>
        <v/>
      </c>
      <c r="H1506" s="9"/>
      <c r="I1506" s="9"/>
      <c r="J1506" s="14" t="str">
        <f>IF(E1506="","",IFERROR(VLOOKUP(E1506,TabProd,5,FALSE),0)+SUMIFS($H$5:H1506,$E$5:E1506,E1506)-SUMIFS($I$5:I1506,$E$5:E1506,E1506))</f>
        <v/>
      </c>
      <c r="K1506" s="7"/>
      <c r="L1506" s="7"/>
      <c r="M1506" s="1" t="str">
        <f>IF(E1506="","",E1506&amp;"|"&amp;COUNTIF($E$5:E1506,E1506))</f>
        <v/>
      </c>
    </row>
    <row r="1507" spans="2:13" x14ac:dyDescent="0.2">
      <c r="B1507" s="10"/>
      <c r="C1507" s="7"/>
      <c r="D1507" s="11"/>
      <c r="E1507" s="6"/>
      <c r="F1507" s="12" t="str">
        <f t="shared" si="46"/>
        <v/>
      </c>
      <c r="G1507" s="13" t="str">
        <f t="shared" si="47"/>
        <v/>
      </c>
      <c r="H1507" s="9"/>
      <c r="I1507" s="9"/>
      <c r="J1507" s="14" t="str">
        <f>IF(E1507="","",IFERROR(VLOOKUP(E1507,TabProd,5,FALSE),0)+SUMIFS($H$5:H1507,$E$5:E1507,E1507)-SUMIFS($I$5:I1507,$E$5:E1507,E1507))</f>
        <v/>
      </c>
      <c r="K1507" s="7"/>
      <c r="L1507" s="7"/>
      <c r="M1507" s="1" t="str">
        <f>IF(E1507="","",E1507&amp;"|"&amp;COUNTIF($E$5:E1507,E1507))</f>
        <v/>
      </c>
    </row>
    <row r="1508" spans="2:13" x14ac:dyDescent="0.2">
      <c r="B1508" s="10"/>
      <c r="C1508" s="7"/>
      <c r="D1508" s="11"/>
      <c r="E1508" s="6"/>
      <c r="F1508" s="12" t="str">
        <f t="shared" si="46"/>
        <v/>
      </c>
      <c r="G1508" s="13" t="str">
        <f t="shared" si="47"/>
        <v/>
      </c>
      <c r="H1508" s="9"/>
      <c r="I1508" s="9"/>
      <c r="J1508" s="14" t="str">
        <f>IF(E1508="","",IFERROR(VLOOKUP(E1508,TabProd,5,FALSE),0)+SUMIFS($H$5:H1508,$E$5:E1508,E1508)-SUMIFS($I$5:I1508,$E$5:E1508,E1508))</f>
        <v/>
      </c>
      <c r="K1508" s="7"/>
      <c r="L1508" s="7"/>
      <c r="M1508" s="1" t="str">
        <f>IF(E1508="","",E1508&amp;"|"&amp;COUNTIF($E$5:E1508,E1508))</f>
        <v/>
      </c>
    </row>
    <row r="1509" spans="2:13" x14ac:dyDescent="0.2">
      <c r="B1509" s="10"/>
      <c r="C1509" s="7"/>
      <c r="D1509" s="11"/>
      <c r="E1509" s="6"/>
      <c r="F1509" s="12" t="str">
        <f t="shared" si="46"/>
        <v/>
      </c>
      <c r="G1509" s="13" t="str">
        <f t="shared" si="47"/>
        <v/>
      </c>
      <c r="H1509" s="9"/>
      <c r="I1509" s="9"/>
      <c r="J1509" s="14" t="str">
        <f>IF(E1509="","",IFERROR(VLOOKUP(E1509,TabProd,5,FALSE),0)+SUMIFS($H$5:H1509,$E$5:E1509,E1509)-SUMIFS($I$5:I1509,$E$5:E1509,E1509))</f>
        <v/>
      </c>
      <c r="K1509" s="7"/>
      <c r="L1509" s="7"/>
      <c r="M1509" s="1" t="str">
        <f>IF(E1509="","",E1509&amp;"|"&amp;COUNTIF($E$5:E1509,E1509))</f>
        <v/>
      </c>
    </row>
    <row r="1510" spans="2:13" x14ac:dyDescent="0.2">
      <c r="B1510" s="10"/>
      <c r="C1510" s="7"/>
      <c r="D1510" s="11"/>
      <c r="E1510" s="6"/>
      <c r="F1510" s="12" t="str">
        <f t="shared" si="46"/>
        <v/>
      </c>
      <c r="G1510" s="13" t="str">
        <f t="shared" si="47"/>
        <v/>
      </c>
      <c r="H1510" s="9"/>
      <c r="I1510" s="9"/>
      <c r="J1510" s="14" t="str">
        <f>IF(E1510="","",IFERROR(VLOOKUP(E1510,TabProd,5,FALSE),0)+SUMIFS($H$5:H1510,$E$5:E1510,E1510)-SUMIFS($I$5:I1510,$E$5:E1510,E1510))</f>
        <v/>
      </c>
      <c r="K1510" s="7"/>
      <c r="L1510" s="7"/>
      <c r="M1510" s="1" t="str">
        <f>IF(E1510="","",E1510&amp;"|"&amp;COUNTIF($E$5:E1510,E1510))</f>
        <v/>
      </c>
    </row>
    <row r="1511" spans="2:13" x14ac:dyDescent="0.2">
      <c r="B1511" s="10"/>
      <c r="C1511" s="7"/>
      <c r="D1511" s="11"/>
      <c r="E1511" s="6"/>
      <c r="F1511" s="12" t="str">
        <f t="shared" si="46"/>
        <v/>
      </c>
      <c r="G1511" s="13" t="str">
        <f t="shared" si="47"/>
        <v/>
      </c>
      <c r="H1511" s="9"/>
      <c r="I1511" s="9"/>
      <c r="J1511" s="14" t="str">
        <f>IF(E1511="","",IFERROR(VLOOKUP(E1511,TabProd,5,FALSE),0)+SUMIFS($H$5:H1511,$E$5:E1511,E1511)-SUMIFS($I$5:I1511,$E$5:E1511,E1511))</f>
        <v/>
      </c>
      <c r="K1511" s="7"/>
      <c r="L1511" s="7"/>
      <c r="M1511" s="1" t="str">
        <f>IF(E1511="","",E1511&amp;"|"&amp;COUNTIF($E$5:E1511,E1511))</f>
        <v/>
      </c>
    </row>
    <row r="1512" spans="2:13" x14ac:dyDescent="0.2">
      <c r="B1512" s="10"/>
      <c r="C1512" s="7"/>
      <c r="D1512" s="11"/>
      <c r="E1512" s="6"/>
      <c r="F1512" s="12" t="str">
        <f t="shared" si="46"/>
        <v/>
      </c>
      <c r="G1512" s="13" t="str">
        <f t="shared" si="47"/>
        <v/>
      </c>
      <c r="H1512" s="9"/>
      <c r="I1512" s="9"/>
      <c r="J1512" s="14" t="str">
        <f>IF(E1512="","",IFERROR(VLOOKUP(E1512,TabProd,5,FALSE),0)+SUMIFS($H$5:H1512,$E$5:E1512,E1512)-SUMIFS($I$5:I1512,$E$5:E1512,E1512))</f>
        <v/>
      </c>
      <c r="K1512" s="7"/>
      <c r="L1512" s="7"/>
      <c r="M1512" s="1" t="str">
        <f>IF(E1512="","",E1512&amp;"|"&amp;COUNTIF($E$5:E1512,E1512))</f>
        <v/>
      </c>
    </row>
    <row r="1513" spans="2:13" x14ac:dyDescent="0.2">
      <c r="B1513" s="10"/>
      <c r="C1513" s="7"/>
      <c r="D1513" s="11"/>
      <c r="E1513" s="6"/>
      <c r="F1513" s="12" t="str">
        <f t="shared" si="46"/>
        <v/>
      </c>
      <c r="G1513" s="13" t="str">
        <f t="shared" si="47"/>
        <v/>
      </c>
      <c r="H1513" s="9"/>
      <c r="I1513" s="9"/>
      <c r="J1513" s="14" t="str">
        <f>IF(E1513="","",IFERROR(VLOOKUP(E1513,TabProd,5,FALSE),0)+SUMIFS($H$5:H1513,$E$5:E1513,E1513)-SUMIFS($I$5:I1513,$E$5:E1513,E1513))</f>
        <v/>
      </c>
      <c r="K1513" s="7"/>
      <c r="L1513" s="7"/>
      <c r="M1513" s="1" t="str">
        <f>IF(E1513="","",E1513&amp;"|"&amp;COUNTIF($E$5:E1513,E1513))</f>
        <v/>
      </c>
    </row>
    <row r="1514" spans="2:13" x14ac:dyDescent="0.2">
      <c r="B1514" s="10"/>
      <c r="C1514" s="7"/>
      <c r="D1514" s="11"/>
      <c r="E1514" s="6"/>
      <c r="F1514" s="12" t="str">
        <f t="shared" si="46"/>
        <v/>
      </c>
      <c r="G1514" s="13" t="str">
        <f t="shared" si="47"/>
        <v/>
      </c>
      <c r="H1514" s="9"/>
      <c r="I1514" s="9"/>
      <c r="J1514" s="14" t="str">
        <f>IF(E1514="","",IFERROR(VLOOKUP(E1514,TabProd,5,FALSE),0)+SUMIFS($H$5:H1514,$E$5:E1514,E1514)-SUMIFS($I$5:I1514,$E$5:E1514,E1514))</f>
        <v/>
      </c>
      <c r="K1514" s="7"/>
      <c r="L1514" s="7"/>
      <c r="M1514" s="1" t="str">
        <f>IF(E1514="","",E1514&amp;"|"&amp;COUNTIF($E$5:E1514,E1514))</f>
        <v/>
      </c>
    </row>
    <row r="1515" spans="2:13" x14ac:dyDescent="0.2">
      <c r="B1515" s="10"/>
      <c r="C1515" s="7"/>
      <c r="D1515" s="11"/>
      <c r="E1515" s="6"/>
      <c r="F1515" s="12" t="str">
        <f t="shared" si="46"/>
        <v/>
      </c>
      <c r="G1515" s="13" t="str">
        <f t="shared" si="47"/>
        <v/>
      </c>
      <c r="H1515" s="9"/>
      <c r="I1515" s="9"/>
      <c r="J1515" s="14" t="str">
        <f>IF(E1515="","",IFERROR(VLOOKUP(E1515,TabProd,5,FALSE),0)+SUMIFS($H$5:H1515,$E$5:E1515,E1515)-SUMIFS($I$5:I1515,$E$5:E1515,E1515))</f>
        <v/>
      </c>
      <c r="K1515" s="7"/>
      <c r="L1515" s="7"/>
      <c r="M1515" s="1" t="str">
        <f>IF(E1515="","",E1515&amp;"|"&amp;COUNTIF($E$5:E1515,E1515))</f>
        <v/>
      </c>
    </row>
    <row r="1516" spans="2:13" x14ac:dyDescent="0.2">
      <c r="B1516" s="10"/>
      <c r="C1516" s="7"/>
      <c r="D1516" s="11"/>
      <c r="E1516" s="6"/>
      <c r="F1516" s="12" t="str">
        <f t="shared" si="46"/>
        <v/>
      </c>
      <c r="G1516" s="13" t="str">
        <f t="shared" si="47"/>
        <v/>
      </c>
      <c r="H1516" s="9"/>
      <c r="I1516" s="9"/>
      <c r="J1516" s="14" t="str">
        <f>IF(E1516="","",IFERROR(VLOOKUP(E1516,TabProd,5,FALSE),0)+SUMIFS($H$5:H1516,$E$5:E1516,E1516)-SUMIFS($I$5:I1516,$E$5:E1516,E1516))</f>
        <v/>
      </c>
      <c r="K1516" s="7"/>
      <c r="L1516" s="7"/>
      <c r="M1516" s="1" t="str">
        <f>IF(E1516="","",E1516&amp;"|"&amp;COUNTIF($E$5:E1516,E1516))</f>
        <v/>
      </c>
    </row>
    <row r="1517" spans="2:13" x14ac:dyDescent="0.2">
      <c r="B1517" s="10"/>
      <c r="C1517" s="7"/>
      <c r="D1517" s="11"/>
      <c r="E1517" s="6"/>
      <c r="F1517" s="12" t="str">
        <f t="shared" si="46"/>
        <v/>
      </c>
      <c r="G1517" s="13" t="str">
        <f t="shared" si="47"/>
        <v/>
      </c>
      <c r="H1517" s="9"/>
      <c r="I1517" s="9"/>
      <c r="J1517" s="14" t="str">
        <f>IF(E1517="","",IFERROR(VLOOKUP(E1517,TabProd,5,FALSE),0)+SUMIFS($H$5:H1517,$E$5:E1517,E1517)-SUMIFS($I$5:I1517,$E$5:E1517,E1517))</f>
        <v/>
      </c>
      <c r="K1517" s="7"/>
      <c r="L1517" s="7"/>
      <c r="M1517" s="1" t="str">
        <f>IF(E1517="","",E1517&amp;"|"&amp;COUNTIF($E$5:E1517,E1517))</f>
        <v/>
      </c>
    </row>
    <row r="1518" spans="2:13" x14ac:dyDescent="0.2">
      <c r="B1518" s="10"/>
      <c r="C1518" s="7"/>
      <c r="D1518" s="11"/>
      <c r="E1518" s="6"/>
      <c r="F1518" s="12" t="str">
        <f t="shared" si="46"/>
        <v/>
      </c>
      <c r="G1518" s="13" t="str">
        <f t="shared" si="47"/>
        <v/>
      </c>
      <c r="H1518" s="9"/>
      <c r="I1518" s="9"/>
      <c r="J1518" s="14" t="str">
        <f>IF(E1518="","",IFERROR(VLOOKUP(E1518,TabProd,5,FALSE),0)+SUMIFS($H$5:H1518,$E$5:E1518,E1518)-SUMIFS($I$5:I1518,$E$5:E1518,E1518))</f>
        <v/>
      </c>
      <c r="K1518" s="7"/>
      <c r="L1518" s="7"/>
      <c r="M1518" s="1" t="str">
        <f>IF(E1518="","",E1518&amp;"|"&amp;COUNTIF($E$5:E1518,E1518))</f>
        <v/>
      </c>
    </row>
    <row r="1519" spans="2:13" x14ac:dyDescent="0.2">
      <c r="B1519" s="10"/>
      <c r="C1519" s="7"/>
      <c r="D1519" s="11"/>
      <c r="E1519" s="6"/>
      <c r="F1519" s="12" t="str">
        <f t="shared" si="46"/>
        <v/>
      </c>
      <c r="G1519" s="13" t="str">
        <f t="shared" si="47"/>
        <v/>
      </c>
      <c r="H1519" s="9"/>
      <c r="I1519" s="9"/>
      <c r="J1519" s="14" t="str">
        <f>IF(E1519="","",IFERROR(VLOOKUP(E1519,TabProd,5,FALSE),0)+SUMIFS($H$5:H1519,$E$5:E1519,E1519)-SUMIFS($I$5:I1519,$E$5:E1519,E1519))</f>
        <v/>
      </c>
      <c r="K1519" s="7"/>
      <c r="L1519" s="7"/>
      <c r="M1519" s="1" t="str">
        <f>IF(E1519="","",E1519&amp;"|"&amp;COUNTIF($E$5:E1519,E1519))</f>
        <v/>
      </c>
    </row>
    <row r="1520" spans="2:13" x14ac:dyDescent="0.2">
      <c r="B1520" s="10"/>
      <c r="C1520" s="7"/>
      <c r="D1520" s="11"/>
      <c r="E1520" s="6"/>
      <c r="F1520" s="12" t="str">
        <f t="shared" si="46"/>
        <v/>
      </c>
      <c r="G1520" s="13" t="str">
        <f t="shared" si="47"/>
        <v/>
      </c>
      <c r="H1520" s="9"/>
      <c r="I1520" s="9"/>
      <c r="J1520" s="14" t="str">
        <f>IF(E1520="","",IFERROR(VLOOKUP(E1520,TabProd,5,FALSE),0)+SUMIFS($H$5:H1520,$E$5:E1520,E1520)-SUMIFS($I$5:I1520,$E$5:E1520,E1520))</f>
        <v/>
      </c>
      <c r="K1520" s="7"/>
      <c r="L1520" s="7"/>
      <c r="M1520" s="1" t="str">
        <f>IF(E1520="","",E1520&amp;"|"&amp;COUNTIF($E$5:E1520,E1520))</f>
        <v/>
      </c>
    </row>
    <row r="1521" spans="2:13" x14ac:dyDescent="0.2">
      <c r="B1521" s="10"/>
      <c r="C1521" s="7"/>
      <c r="D1521" s="11"/>
      <c r="E1521" s="6"/>
      <c r="F1521" s="12" t="str">
        <f t="shared" si="46"/>
        <v/>
      </c>
      <c r="G1521" s="13" t="str">
        <f t="shared" si="47"/>
        <v/>
      </c>
      <c r="H1521" s="9"/>
      <c r="I1521" s="9"/>
      <c r="J1521" s="14" t="str">
        <f>IF(E1521="","",IFERROR(VLOOKUP(E1521,TabProd,5,FALSE),0)+SUMIFS($H$5:H1521,$E$5:E1521,E1521)-SUMIFS($I$5:I1521,$E$5:E1521,E1521))</f>
        <v/>
      </c>
      <c r="K1521" s="7"/>
      <c r="L1521" s="7"/>
      <c r="M1521" s="1" t="str">
        <f>IF(E1521="","",E1521&amp;"|"&amp;COUNTIF($E$5:E1521,E1521))</f>
        <v/>
      </c>
    </row>
    <row r="1522" spans="2:13" x14ac:dyDescent="0.2">
      <c r="B1522" s="10"/>
      <c r="C1522" s="7"/>
      <c r="D1522" s="11"/>
      <c r="E1522" s="6"/>
      <c r="F1522" s="12" t="str">
        <f t="shared" si="46"/>
        <v/>
      </c>
      <c r="G1522" s="13" t="str">
        <f t="shared" si="47"/>
        <v/>
      </c>
      <c r="H1522" s="9"/>
      <c r="I1522" s="9"/>
      <c r="J1522" s="14" t="str">
        <f>IF(E1522="","",IFERROR(VLOOKUP(E1522,TabProd,5,FALSE),0)+SUMIFS($H$5:H1522,$E$5:E1522,E1522)-SUMIFS($I$5:I1522,$E$5:E1522,E1522))</f>
        <v/>
      </c>
      <c r="K1522" s="7"/>
      <c r="L1522" s="7"/>
      <c r="M1522" s="1" t="str">
        <f>IF(E1522="","",E1522&amp;"|"&amp;COUNTIF($E$5:E1522,E1522))</f>
        <v/>
      </c>
    </row>
    <row r="1523" spans="2:13" x14ac:dyDescent="0.2">
      <c r="B1523" s="10"/>
      <c r="C1523" s="7"/>
      <c r="D1523" s="11"/>
      <c r="E1523" s="6"/>
      <c r="F1523" s="12" t="str">
        <f t="shared" si="46"/>
        <v/>
      </c>
      <c r="G1523" s="13" t="str">
        <f t="shared" si="47"/>
        <v/>
      </c>
      <c r="H1523" s="9"/>
      <c r="I1523" s="9"/>
      <c r="J1523" s="14" t="str">
        <f>IF(E1523="","",IFERROR(VLOOKUP(E1523,TabProd,5,FALSE),0)+SUMIFS($H$5:H1523,$E$5:E1523,E1523)-SUMIFS($I$5:I1523,$E$5:E1523,E1523))</f>
        <v/>
      </c>
      <c r="K1523" s="7"/>
      <c r="L1523" s="7"/>
      <c r="M1523" s="1" t="str">
        <f>IF(E1523="","",E1523&amp;"|"&amp;COUNTIF($E$5:E1523,E1523))</f>
        <v/>
      </c>
    </row>
    <row r="1524" spans="2:13" x14ac:dyDescent="0.2">
      <c r="B1524" s="10"/>
      <c r="C1524" s="7"/>
      <c r="D1524" s="11"/>
      <c r="E1524" s="6"/>
      <c r="F1524" s="12" t="str">
        <f t="shared" si="46"/>
        <v/>
      </c>
      <c r="G1524" s="13" t="str">
        <f t="shared" si="47"/>
        <v/>
      </c>
      <c r="H1524" s="9"/>
      <c r="I1524" s="9"/>
      <c r="J1524" s="14" t="str">
        <f>IF(E1524="","",IFERROR(VLOOKUP(E1524,TabProd,5,FALSE),0)+SUMIFS($H$5:H1524,$E$5:E1524,E1524)-SUMIFS($I$5:I1524,$E$5:E1524,E1524))</f>
        <v/>
      </c>
      <c r="K1524" s="7"/>
      <c r="L1524" s="7"/>
      <c r="M1524" s="1" t="str">
        <f>IF(E1524="","",E1524&amp;"|"&amp;COUNTIF($E$5:E1524,E1524))</f>
        <v/>
      </c>
    </row>
    <row r="1525" spans="2:13" x14ac:dyDescent="0.2">
      <c r="B1525" s="10"/>
      <c r="C1525" s="7"/>
      <c r="D1525" s="11"/>
      <c r="E1525" s="6"/>
      <c r="F1525" s="12" t="str">
        <f t="shared" si="46"/>
        <v/>
      </c>
      <c r="G1525" s="13" t="str">
        <f t="shared" si="47"/>
        <v/>
      </c>
      <c r="H1525" s="9"/>
      <c r="I1525" s="9"/>
      <c r="J1525" s="14" t="str">
        <f>IF(E1525="","",IFERROR(VLOOKUP(E1525,TabProd,5,FALSE),0)+SUMIFS($H$5:H1525,$E$5:E1525,E1525)-SUMIFS($I$5:I1525,$E$5:E1525,E1525))</f>
        <v/>
      </c>
      <c r="K1525" s="7"/>
      <c r="L1525" s="7"/>
      <c r="M1525" s="1" t="str">
        <f>IF(E1525="","",E1525&amp;"|"&amp;COUNTIF($E$5:E1525,E1525))</f>
        <v/>
      </c>
    </row>
    <row r="1526" spans="2:13" x14ac:dyDescent="0.2">
      <c r="B1526" s="10"/>
      <c r="C1526" s="7"/>
      <c r="D1526" s="11"/>
      <c r="E1526" s="6"/>
      <c r="F1526" s="12" t="str">
        <f t="shared" si="46"/>
        <v/>
      </c>
      <c r="G1526" s="13" t="str">
        <f t="shared" si="47"/>
        <v/>
      </c>
      <c r="H1526" s="9"/>
      <c r="I1526" s="9"/>
      <c r="J1526" s="14" t="str">
        <f>IF(E1526="","",IFERROR(VLOOKUP(E1526,TabProd,5,FALSE),0)+SUMIFS($H$5:H1526,$E$5:E1526,E1526)-SUMIFS($I$5:I1526,$E$5:E1526,E1526))</f>
        <v/>
      </c>
      <c r="K1526" s="7"/>
      <c r="L1526" s="7"/>
      <c r="M1526" s="1" t="str">
        <f>IF(E1526="","",E1526&amp;"|"&amp;COUNTIF($E$5:E1526,E1526))</f>
        <v/>
      </c>
    </row>
    <row r="1527" spans="2:13" x14ac:dyDescent="0.2">
      <c r="B1527" s="10"/>
      <c r="C1527" s="7"/>
      <c r="D1527" s="11"/>
      <c r="E1527" s="6"/>
      <c r="F1527" s="12" t="str">
        <f t="shared" si="46"/>
        <v/>
      </c>
      <c r="G1527" s="13" t="str">
        <f t="shared" si="47"/>
        <v/>
      </c>
      <c r="H1527" s="9"/>
      <c r="I1527" s="9"/>
      <c r="J1527" s="14" t="str">
        <f>IF(E1527="","",IFERROR(VLOOKUP(E1527,TabProd,5,FALSE),0)+SUMIFS($H$5:H1527,$E$5:E1527,E1527)-SUMIFS($I$5:I1527,$E$5:E1527,E1527))</f>
        <v/>
      </c>
      <c r="K1527" s="7"/>
      <c r="L1527" s="7"/>
      <c r="M1527" s="1" t="str">
        <f>IF(E1527="","",E1527&amp;"|"&amp;COUNTIF($E$5:E1527,E1527))</f>
        <v/>
      </c>
    </row>
    <row r="1528" spans="2:13" x14ac:dyDescent="0.2">
      <c r="B1528" s="10"/>
      <c r="C1528" s="7"/>
      <c r="D1528" s="11"/>
      <c r="E1528" s="6"/>
      <c r="F1528" s="12" t="str">
        <f t="shared" si="46"/>
        <v/>
      </c>
      <c r="G1528" s="13" t="str">
        <f t="shared" si="47"/>
        <v/>
      </c>
      <c r="H1528" s="9"/>
      <c r="I1528" s="9"/>
      <c r="J1528" s="14" t="str">
        <f>IF(E1528="","",IFERROR(VLOOKUP(E1528,TabProd,5,FALSE),0)+SUMIFS($H$5:H1528,$E$5:E1528,E1528)-SUMIFS($I$5:I1528,$E$5:E1528,E1528))</f>
        <v/>
      </c>
      <c r="K1528" s="7"/>
      <c r="L1528" s="7"/>
      <c r="M1528" s="1" t="str">
        <f>IF(E1528="","",E1528&amp;"|"&amp;COUNTIF($E$5:E1528,E1528))</f>
        <v/>
      </c>
    </row>
    <row r="1529" spans="2:13" x14ac:dyDescent="0.2">
      <c r="B1529" s="10"/>
      <c r="C1529" s="7"/>
      <c r="D1529" s="11"/>
      <c r="E1529" s="6"/>
      <c r="F1529" s="12" t="str">
        <f t="shared" si="46"/>
        <v/>
      </c>
      <c r="G1529" s="13" t="str">
        <f t="shared" si="47"/>
        <v/>
      </c>
      <c r="H1529" s="9"/>
      <c r="I1529" s="9"/>
      <c r="J1529" s="14" t="str">
        <f>IF(E1529="","",IFERROR(VLOOKUP(E1529,TabProd,5,FALSE),0)+SUMIFS($H$5:H1529,$E$5:E1529,E1529)-SUMIFS($I$5:I1529,$E$5:E1529,E1529))</f>
        <v/>
      </c>
      <c r="K1529" s="7"/>
      <c r="L1529" s="7"/>
      <c r="M1529" s="1" t="str">
        <f>IF(E1529="","",E1529&amp;"|"&amp;COUNTIF($E$5:E1529,E1529))</f>
        <v/>
      </c>
    </row>
    <row r="1530" spans="2:13" x14ac:dyDescent="0.2">
      <c r="B1530" s="10"/>
      <c r="C1530" s="7"/>
      <c r="D1530" s="11"/>
      <c r="E1530" s="6"/>
      <c r="F1530" s="12" t="str">
        <f t="shared" si="46"/>
        <v/>
      </c>
      <c r="G1530" s="13" t="str">
        <f t="shared" si="47"/>
        <v/>
      </c>
      <c r="H1530" s="9"/>
      <c r="I1530" s="9"/>
      <c r="J1530" s="14" t="str">
        <f>IF(E1530="","",IFERROR(VLOOKUP(E1530,TabProd,5,FALSE),0)+SUMIFS($H$5:H1530,$E$5:E1530,E1530)-SUMIFS($I$5:I1530,$E$5:E1530,E1530))</f>
        <v/>
      </c>
      <c r="K1530" s="7"/>
      <c r="L1530" s="7"/>
      <c r="M1530" s="1" t="str">
        <f>IF(E1530="","",E1530&amp;"|"&amp;COUNTIF($E$5:E1530,E1530))</f>
        <v/>
      </c>
    </row>
    <row r="1531" spans="2:13" x14ac:dyDescent="0.2">
      <c r="B1531" s="10"/>
      <c r="C1531" s="7"/>
      <c r="D1531" s="11"/>
      <c r="E1531" s="6"/>
      <c r="F1531" s="12" t="str">
        <f t="shared" si="46"/>
        <v/>
      </c>
      <c r="G1531" s="13" t="str">
        <f t="shared" si="47"/>
        <v/>
      </c>
      <c r="H1531" s="9"/>
      <c r="I1531" s="9"/>
      <c r="J1531" s="14" t="str">
        <f>IF(E1531="","",IFERROR(VLOOKUP(E1531,TabProd,5,FALSE),0)+SUMIFS($H$5:H1531,$E$5:E1531,E1531)-SUMIFS($I$5:I1531,$E$5:E1531,E1531))</f>
        <v/>
      </c>
      <c r="K1531" s="7"/>
      <c r="L1531" s="7"/>
      <c r="M1531" s="1" t="str">
        <f>IF(E1531="","",E1531&amp;"|"&amp;COUNTIF($E$5:E1531,E1531))</f>
        <v/>
      </c>
    </row>
    <row r="1532" spans="2:13" x14ac:dyDescent="0.2">
      <c r="B1532" s="10"/>
      <c r="C1532" s="7"/>
      <c r="D1532" s="11"/>
      <c r="E1532" s="6"/>
      <c r="F1532" s="12" t="str">
        <f t="shared" si="46"/>
        <v/>
      </c>
      <c r="G1532" s="13" t="str">
        <f t="shared" si="47"/>
        <v/>
      </c>
      <c r="H1532" s="9"/>
      <c r="I1532" s="9"/>
      <c r="J1532" s="14" t="str">
        <f>IF(E1532="","",IFERROR(VLOOKUP(E1532,TabProd,5,FALSE),0)+SUMIFS($H$5:H1532,$E$5:E1532,E1532)-SUMIFS($I$5:I1532,$E$5:E1532,E1532))</f>
        <v/>
      </c>
      <c r="K1532" s="7"/>
      <c r="L1532" s="7"/>
      <c r="M1532" s="1" t="str">
        <f>IF(E1532="","",E1532&amp;"|"&amp;COUNTIF($E$5:E1532,E1532))</f>
        <v/>
      </c>
    </row>
    <row r="1533" spans="2:13" x14ac:dyDescent="0.2">
      <c r="B1533" s="10"/>
      <c r="C1533" s="7"/>
      <c r="D1533" s="11"/>
      <c r="E1533" s="6"/>
      <c r="F1533" s="12" t="str">
        <f t="shared" si="46"/>
        <v/>
      </c>
      <c r="G1533" s="13" t="str">
        <f t="shared" si="47"/>
        <v/>
      </c>
      <c r="H1533" s="9"/>
      <c r="I1533" s="9"/>
      <c r="J1533" s="14" t="str">
        <f>IF(E1533="","",IFERROR(VLOOKUP(E1533,TabProd,5,FALSE),0)+SUMIFS($H$5:H1533,$E$5:E1533,E1533)-SUMIFS($I$5:I1533,$E$5:E1533,E1533))</f>
        <v/>
      </c>
      <c r="K1533" s="7"/>
      <c r="L1533" s="7"/>
      <c r="M1533" s="1" t="str">
        <f>IF(E1533="","",E1533&amp;"|"&amp;COUNTIF($E$5:E1533,E1533))</f>
        <v/>
      </c>
    </row>
    <row r="1534" spans="2:13" x14ac:dyDescent="0.2">
      <c r="B1534" s="10"/>
      <c r="C1534" s="7"/>
      <c r="D1534" s="11"/>
      <c r="E1534" s="6"/>
      <c r="F1534" s="12" t="str">
        <f t="shared" si="46"/>
        <v/>
      </c>
      <c r="G1534" s="13" t="str">
        <f t="shared" si="47"/>
        <v/>
      </c>
      <c r="H1534" s="9"/>
      <c r="I1534" s="9"/>
      <c r="J1534" s="14" t="str">
        <f>IF(E1534="","",IFERROR(VLOOKUP(E1534,TabProd,5,FALSE),0)+SUMIFS($H$5:H1534,$E$5:E1534,E1534)-SUMIFS($I$5:I1534,$E$5:E1534,E1534))</f>
        <v/>
      </c>
      <c r="K1534" s="7"/>
      <c r="L1534" s="7"/>
      <c r="M1534" s="1" t="str">
        <f>IF(E1534="","",E1534&amp;"|"&amp;COUNTIF($E$5:E1534,E1534))</f>
        <v/>
      </c>
    </row>
    <row r="1535" spans="2:13" x14ac:dyDescent="0.2">
      <c r="B1535" s="10"/>
      <c r="C1535" s="7"/>
      <c r="D1535" s="11"/>
      <c r="E1535" s="6"/>
      <c r="F1535" s="12" t="str">
        <f t="shared" si="46"/>
        <v/>
      </c>
      <c r="G1535" s="13" t="str">
        <f t="shared" si="47"/>
        <v/>
      </c>
      <c r="H1535" s="9"/>
      <c r="I1535" s="9"/>
      <c r="J1535" s="14" t="str">
        <f>IF(E1535="","",IFERROR(VLOOKUP(E1535,TabProd,5,FALSE),0)+SUMIFS($H$5:H1535,$E$5:E1535,E1535)-SUMIFS($I$5:I1535,$E$5:E1535,E1535))</f>
        <v/>
      </c>
      <c r="K1535" s="7"/>
      <c r="L1535" s="7"/>
      <c r="M1535" s="1" t="str">
        <f>IF(E1535="","",E1535&amp;"|"&amp;COUNTIF($E$5:E1535,E1535))</f>
        <v/>
      </c>
    </row>
    <row r="1536" spans="2:13" x14ac:dyDescent="0.2">
      <c r="B1536" s="10"/>
      <c r="C1536" s="7"/>
      <c r="D1536" s="11"/>
      <c r="E1536" s="6"/>
      <c r="F1536" s="12" t="str">
        <f t="shared" si="46"/>
        <v/>
      </c>
      <c r="G1536" s="13" t="str">
        <f t="shared" si="47"/>
        <v/>
      </c>
      <c r="H1536" s="9"/>
      <c r="I1536" s="9"/>
      <c r="J1536" s="14" t="str">
        <f>IF(E1536="","",IFERROR(VLOOKUP(E1536,TabProd,5,FALSE),0)+SUMIFS($H$5:H1536,$E$5:E1536,E1536)-SUMIFS($I$5:I1536,$E$5:E1536,E1536))</f>
        <v/>
      </c>
      <c r="K1536" s="7"/>
      <c r="L1536" s="7"/>
      <c r="M1536" s="1" t="str">
        <f>IF(E1536="","",E1536&amp;"|"&amp;COUNTIF($E$5:E1536,E1536))</f>
        <v/>
      </c>
    </row>
    <row r="1537" spans="2:13" x14ac:dyDescent="0.2">
      <c r="B1537" s="10"/>
      <c r="C1537" s="7"/>
      <c r="D1537" s="11"/>
      <c r="E1537" s="6"/>
      <c r="F1537" s="12" t="str">
        <f t="shared" si="46"/>
        <v/>
      </c>
      <c r="G1537" s="13" t="str">
        <f t="shared" si="47"/>
        <v/>
      </c>
      <c r="H1537" s="9"/>
      <c r="I1537" s="9"/>
      <c r="J1537" s="14" t="str">
        <f>IF(E1537="","",IFERROR(VLOOKUP(E1537,TabProd,5,FALSE),0)+SUMIFS($H$5:H1537,$E$5:E1537,E1537)-SUMIFS($I$5:I1537,$E$5:E1537,E1537))</f>
        <v/>
      </c>
      <c r="K1537" s="7"/>
      <c r="L1537" s="7"/>
      <c r="M1537" s="1" t="str">
        <f>IF(E1537="","",E1537&amp;"|"&amp;COUNTIF($E$5:E1537,E1537))</f>
        <v/>
      </c>
    </row>
    <row r="1538" spans="2:13" x14ac:dyDescent="0.2">
      <c r="B1538" s="10"/>
      <c r="C1538" s="7"/>
      <c r="D1538" s="11"/>
      <c r="E1538" s="6"/>
      <c r="F1538" s="12" t="str">
        <f t="shared" si="46"/>
        <v/>
      </c>
      <c r="G1538" s="13" t="str">
        <f t="shared" si="47"/>
        <v/>
      </c>
      <c r="H1538" s="9"/>
      <c r="I1538" s="9"/>
      <c r="J1538" s="14" t="str">
        <f>IF(E1538="","",IFERROR(VLOOKUP(E1538,TabProd,5,FALSE),0)+SUMIFS($H$5:H1538,$E$5:E1538,E1538)-SUMIFS($I$5:I1538,$E$5:E1538,E1538))</f>
        <v/>
      </c>
      <c r="K1538" s="7"/>
      <c r="L1538" s="7"/>
      <c r="M1538" s="1" t="str">
        <f>IF(E1538="","",E1538&amp;"|"&amp;COUNTIF($E$5:E1538,E1538))</f>
        <v/>
      </c>
    </row>
    <row r="1539" spans="2:13" x14ac:dyDescent="0.2">
      <c r="B1539" s="10"/>
      <c r="C1539" s="7"/>
      <c r="D1539" s="11"/>
      <c r="E1539" s="6"/>
      <c r="F1539" s="12" t="str">
        <f t="shared" si="46"/>
        <v/>
      </c>
      <c r="G1539" s="13" t="str">
        <f t="shared" si="47"/>
        <v/>
      </c>
      <c r="H1539" s="9"/>
      <c r="I1539" s="9"/>
      <c r="J1539" s="14" t="str">
        <f>IF(E1539="","",IFERROR(VLOOKUP(E1539,TabProd,5,FALSE),0)+SUMIFS($H$5:H1539,$E$5:E1539,E1539)-SUMIFS($I$5:I1539,$E$5:E1539,E1539))</f>
        <v/>
      </c>
      <c r="K1539" s="7"/>
      <c r="L1539" s="7"/>
      <c r="M1539" s="1" t="str">
        <f>IF(E1539="","",E1539&amp;"|"&amp;COUNTIF($E$5:E1539,E1539))</f>
        <v/>
      </c>
    </row>
    <row r="1540" spans="2:13" x14ac:dyDescent="0.2">
      <c r="B1540" s="10"/>
      <c r="C1540" s="7"/>
      <c r="D1540" s="11"/>
      <c r="E1540" s="6"/>
      <c r="F1540" s="12" t="str">
        <f t="shared" si="46"/>
        <v/>
      </c>
      <c r="G1540" s="13" t="str">
        <f t="shared" si="47"/>
        <v/>
      </c>
      <c r="H1540" s="9"/>
      <c r="I1540" s="9"/>
      <c r="J1540" s="14" t="str">
        <f>IF(E1540="","",IFERROR(VLOOKUP(E1540,TabProd,5,FALSE),0)+SUMIFS($H$5:H1540,$E$5:E1540,E1540)-SUMIFS($I$5:I1540,$E$5:E1540,E1540))</f>
        <v/>
      </c>
      <c r="K1540" s="7"/>
      <c r="L1540" s="7"/>
      <c r="M1540" s="1" t="str">
        <f>IF(E1540="","",E1540&amp;"|"&amp;COUNTIF($E$5:E1540,E1540))</f>
        <v/>
      </c>
    </row>
    <row r="1541" spans="2:13" x14ac:dyDescent="0.2">
      <c r="B1541" s="10"/>
      <c r="C1541" s="7"/>
      <c r="D1541" s="11"/>
      <c r="E1541" s="6"/>
      <c r="F1541" s="12" t="str">
        <f t="shared" ref="F1541:F1604" si="48">IF(E1541="","",IFERROR(VLOOKUP(E1541,TabProd,2,FALSE),"Cod inexistent"))</f>
        <v/>
      </c>
      <c r="G1541" s="13" t="str">
        <f t="shared" ref="G1541:G1604" si="49">IF(E1541="","",IFERROR(VLOOKUP(E1541,TabProd,3,FALSE),""))</f>
        <v/>
      </c>
      <c r="H1541" s="9"/>
      <c r="I1541" s="9"/>
      <c r="J1541" s="14" t="str">
        <f>IF(E1541="","",IFERROR(VLOOKUP(E1541,TabProd,5,FALSE),0)+SUMIFS($H$5:H1541,$E$5:E1541,E1541)-SUMIFS($I$5:I1541,$E$5:E1541,E1541))</f>
        <v/>
      </c>
      <c r="K1541" s="7"/>
      <c r="L1541" s="7"/>
      <c r="M1541" s="1" t="str">
        <f>IF(E1541="","",E1541&amp;"|"&amp;COUNTIF($E$5:E1541,E1541))</f>
        <v/>
      </c>
    </row>
    <row r="1542" spans="2:13" x14ac:dyDescent="0.2">
      <c r="B1542" s="10"/>
      <c r="C1542" s="7"/>
      <c r="D1542" s="11"/>
      <c r="E1542" s="6"/>
      <c r="F1542" s="12" t="str">
        <f t="shared" si="48"/>
        <v/>
      </c>
      <c r="G1542" s="13" t="str">
        <f t="shared" si="49"/>
        <v/>
      </c>
      <c r="H1542" s="9"/>
      <c r="I1542" s="9"/>
      <c r="J1542" s="14" t="str">
        <f>IF(E1542="","",IFERROR(VLOOKUP(E1542,TabProd,5,FALSE),0)+SUMIFS($H$5:H1542,$E$5:E1542,E1542)-SUMIFS($I$5:I1542,$E$5:E1542,E1542))</f>
        <v/>
      </c>
      <c r="K1542" s="7"/>
      <c r="L1542" s="7"/>
      <c r="M1542" s="1" t="str">
        <f>IF(E1542="","",E1542&amp;"|"&amp;COUNTIF($E$5:E1542,E1542))</f>
        <v/>
      </c>
    </row>
    <row r="1543" spans="2:13" x14ac:dyDescent="0.2">
      <c r="B1543" s="10"/>
      <c r="C1543" s="7"/>
      <c r="D1543" s="11"/>
      <c r="E1543" s="6"/>
      <c r="F1543" s="12" t="str">
        <f t="shared" si="48"/>
        <v/>
      </c>
      <c r="G1543" s="13" t="str">
        <f t="shared" si="49"/>
        <v/>
      </c>
      <c r="H1543" s="9"/>
      <c r="I1543" s="9"/>
      <c r="J1543" s="14" t="str">
        <f>IF(E1543="","",IFERROR(VLOOKUP(E1543,TabProd,5,FALSE),0)+SUMIFS($H$5:H1543,$E$5:E1543,E1543)-SUMIFS($I$5:I1543,$E$5:E1543,E1543))</f>
        <v/>
      </c>
      <c r="K1543" s="7"/>
      <c r="L1543" s="7"/>
      <c r="M1543" s="1" t="str">
        <f>IF(E1543="","",E1543&amp;"|"&amp;COUNTIF($E$5:E1543,E1543))</f>
        <v/>
      </c>
    </row>
    <row r="1544" spans="2:13" x14ac:dyDescent="0.2">
      <c r="B1544" s="10"/>
      <c r="C1544" s="7"/>
      <c r="D1544" s="11"/>
      <c r="E1544" s="6"/>
      <c r="F1544" s="12" t="str">
        <f t="shared" si="48"/>
        <v/>
      </c>
      <c r="G1544" s="13" t="str">
        <f t="shared" si="49"/>
        <v/>
      </c>
      <c r="H1544" s="9"/>
      <c r="I1544" s="9"/>
      <c r="J1544" s="14" t="str">
        <f>IF(E1544="","",IFERROR(VLOOKUP(E1544,TabProd,5,FALSE),0)+SUMIFS($H$5:H1544,$E$5:E1544,E1544)-SUMIFS($I$5:I1544,$E$5:E1544,E1544))</f>
        <v/>
      </c>
      <c r="K1544" s="7"/>
      <c r="L1544" s="7"/>
      <c r="M1544" s="1" t="str">
        <f>IF(E1544="","",E1544&amp;"|"&amp;COUNTIF($E$5:E1544,E1544))</f>
        <v/>
      </c>
    </row>
    <row r="1545" spans="2:13" x14ac:dyDescent="0.2">
      <c r="B1545" s="10"/>
      <c r="C1545" s="7"/>
      <c r="D1545" s="11"/>
      <c r="E1545" s="6"/>
      <c r="F1545" s="12" t="str">
        <f t="shared" si="48"/>
        <v/>
      </c>
      <c r="G1545" s="13" t="str">
        <f t="shared" si="49"/>
        <v/>
      </c>
      <c r="H1545" s="9"/>
      <c r="I1545" s="9"/>
      <c r="J1545" s="14" t="str">
        <f>IF(E1545="","",IFERROR(VLOOKUP(E1545,TabProd,5,FALSE),0)+SUMIFS($H$5:H1545,$E$5:E1545,E1545)-SUMIFS($I$5:I1545,$E$5:E1545,E1545))</f>
        <v/>
      </c>
      <c r="K1545" s="7"/>
      <c r="L1545" s="7"/>
      <c r="M1545" s="1" t="str">
        <f>IF(E1545="","",E1545&amp;"|"&amp;COUNTIF($E$5:E1545,E1545))</f>
        <v/>
      </c>
    </row>
    <row r="1546" spans="2:13" x14ac:dyDescent="0.2">
      <c r="B1546" s="10"/>
      <c r="C1546" s="7"/>
      <c r="D1546" s="11"/>
      <c r="E1546" s="6"/>
      <c r="F1546" s="12" t="str">
        <f t="shared" si="48"/>
        <v/>
      </c>
      <c r="G1546" s="13" t="str">
        <f t="shared" si="49"/>
        <v/>
      </c>
      <c r="H1546" s="9"/>
      <c r="I1546" s="9"/>
      <c r="J1546" s="14" t="str">
        <f>IF(E1546="","",IFERROR(VLOOKUP(E1546,TabProd,5,FALSE),0)+SUMIFS($H$5:H1546,$E$5:E1546,E1546)-SUMIFS($I$5:I1546,$E$5:E1546,E1546))</f>
        <v/>
      </c>
      <c r="K1546" s="7"/>
      <c r="L1546" s="7"/>
      <c r="M1546" s="1" t="str">
        <f>IF(E1546="","",E1546&amp;"|"&amp;COUNTIF($E$5:E1546,E1546))</f>
        <v/>
      </c>
    </row>
    <row r="1547" spans="2:13" x14ac:dyDescent="0.2">
      <c r="B1547" s="10"/>
      <c r="C1547" s="7"/>
      <c r="D1547" s="11"/>
      <c r="E1547" s="6"/>
      <c r="F1547" s="12" t="str">
        <f t="shared" si="48"/>
        <v/>
      </c>
      <c r="G1547" s="13" t="str">
        <f t="shared" si="49"/>
        <v/>
      </c>
      <c r="H1547" s="9"/>
      <c r="I1547" s="9"/>
      <c r="J1547" s="14" t="str">
        <f>IF(E1547="","",IFERROR(VLOOKUP(E1547,TabProd,5,FALSE),0)+SUMIFS($H$5:H1547,$E$5:E1547,E1547)-SUMIFS($I$5:I1547,$E$5:E1547,E1547))</f>
        <v/>
      </c>
      <c r="K1547" s="7"/>
      <c r="L1547" s="7"/>
      <c r="M1547" s="1" t="str">
        <f>IF(E1547="","",E1547&amp;"|"&amp;COUNTIF($E$5:E1547,E1547))</f>
        <v/>
      </c>
    </row>
    <row r="1548" spans="2:13" x14ac:dyDescent="0.2">
      <c r="B1548" s="10"/>
      <c r="C1548" s="7"/>
      <c r="D1548" s="11"/>
      <c r="E1548" s="6"/>
      <c r="F1548" s="12" t="str">
        <f t="shared" si="48"/>
        <v/>
      </c>
      <c r="G1548" s="13" t="str">
        <f t="shared" si="49"/>
        <v/>
      </c>
      <c r="H1548" s="9"/>
      <c r="I1548" s="9"/>
      <c r="J1548" s="14" t="str">
        <f>IF(E1548="","",IFERROR(VLOOKUP(E1548,TabProd,5,FALSE),0)+SUMIFS($H$5:H1548,$E$5:E1548,E1548)-SUMIFS($I$5:I1548,$E$5:E1548,E1548))</f>
        <v/>
      </c>
      <c r="K1548" s="7"/>
      <c r="L1548" s="7"/>
      <c r="M1548" s="1" t="str">
        <f>IF(E1548="","",E1548&amp;"|"&amp;COUNTIF($E$5:E1548,E1548))</f>
        <v/>
      </c>
    </row>
    <row r="1549" spans="2:13" x14ac:dyDescent="0.2">
      <c r="B1549" s="10"/>
      <c r="C1549" s="7"/>
      <c r="D1549" s="11"/>
      <c r="E1549" s="6"/>
      <c r="F1549" s="12" t="str">
        <f t="shared" si="48"/>
        <v/>
      </c>
      <c r="G1549" s="13" t="str">
        <f t="shared" si="49"/>
        <v/>
      </c>
      <c r="H1549" s="9"/>
      <c r="I1549" s="9"/>
      <c r="J1549" s="14" t="str">
        <f>IF(E1549="","",IFERROR(VLOOKUP(E1549,TabProd,5,FALSE),0)+SUMIFS($H$5:H1549,$E$5:E1549,E1549)-SUMIFS($I$5:I1549,$E$5:E1549,E1549))</f>
        <v/>
      </c>
      <c r="K1549" s="7"/>
      <c r="L1549" s="7"/>
      <c r="M1549" s="1" t="str">
        <f>IF(E1549="","",E1549&amp;"|"&amp;COUNTIF($E$5:E1549,E1549))</f>
        <v/>
      </c>
    </row>
    <row r="1550" spans="2:13" x14ac:dyDescent="0.2">
      <c r="B1550" s="10"/>
      <c r="C1550" s="7"/>
      <c r="D1550" s="11"/>
      <c r="E1550" s="6"/>
      <c r="F1550" s="12" t="str">
        <f t="shared" si="48"/>
        <v/>
      </c>
      <c r="G1550" s="13" t="str">
        <f t="shared" si="49"/>
        <v/>
      </c>
      <c r="H1550" s="9"/>
      <c r="I1550" s="9"/>
      <c r="J1550" s="14" t="str">
        <f>IF(E1550="","",IFERROR(VLOOKUP(E1550,TabProd,5,FALSE),0)+SUMIFS($H$5:H1550,$E$5:E1550,E1550)-SUMIFS($I$5:I1550,$E$5:E1550,E1550))</f>
        <v/>
      </c>
      <c r="K1550" s="7"/>
      <c r="L1550" s="7"/>
      <c r="M1550" s="1" t="str">
        <f>IF(E1550="","",E1550&amp;"|"&amp;COUNTIF($E$5:E1550,E1550))</f>
        <v/>
      </c>
    </row>
    <row r="1551" spans="2:13" x14ac:dyDescent="0.2">
      <c r="B1551" s="10"/>
      <c r="C1551" s="7"/>
      <c r="D1551" s="11"/>
      <c r="E1551" s="6"/>
      <c r="F1551" s="12" t="str">
        <f t="shared" si="48"/>
        <v/>
      </c>
      <c r="G1551" s="13" t="str">
        <f t="shared" si="49"/>
        <v/>
      </c>
      <c r="H1551" s="9"/>
      <c r="I1551" s="9"/>
      <c r="J1551" s="14" t="str">
        <f>IF(E1551="","",IFERROR(VLOOKUP(E1551,TabProd,5,FALSE),0)+SUMIFS($H$5:H1551,$E$5:E1551,E1551)-SUMIFS($I$5:I1551,$E$5:E1551,E1551))</f>
        <v/>
      </c>
      <c r="K1551" s="7"/>
      <c r="L1551" s="7"/>
      <c r="M1551" s="1" t="str">
        <f>IF(E1551="","",E1551&amp;"|"&amp;COUNTIF($E$5:E1551,E1551))</f>
        <v/>
      </c>
    </row>
    <row r="1552" spans="2:13" x14ac:dyDescent="0.2">
      <c r="B1552" s="10"/>
      <c r="C1552" s="7"/>
      <c r="D1552" s="11"/>
      <c r="E1552" s="6"/>
      <c r="F1552" s="12" t="str">
        <f t="shared" si="48"/>
        <v/>
      </c>
      <c r="G1552" s="13" t="str">
        <f t="shared" si="49"/>
        <v/>
      </c>
      <c r="H1552" s="9"/>
      <c r="I1552" s="9"/>
      <c r="J1552" s="14" t="str">
        <f>IF(E1552="","",IFERROR(VLOOKUP(E1552,TabProd,5,FALSE),0)+SUMIFS($H$5:H1552,$E$5:E1552,E1552)-SUMIFS($I$5:I1552,$E$5:E1552,E1552))</f>
        <v/>
      </c>
      <c r="K1552" s="7"/>
      <c r="L1552" s="7"/>
      <c r="M1552" s="1" t="str">
        <f>IF(E1552="","",E1552&amp;"|"&amp;COUNTIF($E$5:E1552,E1552))</f>
        <v/>
      </c>
    </row>
    <row r="1553" spans="2:13" x14ac:dyDescent="0.2">
      <c r="B1553" s="10"/>
      <c r="C1553" s="7"/>
      <c r="D1553" s="11"/>
      <c r="E1553" s="6"/>
      <c r="F1553" s="12" t="str">
        <f t="shared" si="48"/>
        <v/>
      </c>
      <c r="G1553" s="13" t="str">
        <f t="shared" si="49"/>
        <v/>
      </c>
      <c r="H1553" s="9"/>
      <c r="I1553" s="9"/>
      <c r="J1553" s="14" t="str">
        <f>IF(E1553="","",IFERROR(VLOOKUP(E1553,TabProd,5,FALSE),0)+SUMIFS($H$5:H1553,$E$5:E1553,E1553)-SUMIFS($I$5:I1553,$E$5:E1553,E1553))</f>
        <v/>
      </c>
      <c r="K1553" s="7"/>
      <c r="L1553" s="7"/>
      <c r="M1553" s="1" t="str">
        <f>IF(E1553="","",E1553&amp;"|"&amp;COUNTIF($E$5:E1553,E1553))</f>
        <v/>
      </c>
    </row>
    <row r="1554" spans="2:13" x14ac:dyDescent="0.2">
      <c r="B1554" s="10"/>
      <c r="C1554" s="7"/>
      <c r="D1554" s="11"/>
      <c r="E1554" s="6"/>
      <c r="F1554" s="12" t="str">
        <f t="shared" si="48"/>
        <v/>
      </c>
      <c r="G1554" s="13" t="str">
        <f t="shared" si="49"/>
        <v/>
      </c>
      <c r="H1554" s="9"/>
      <c r="I1554" s="9"/>
      <c r="J1554" s="14" t="str">
        <f>IF(E1554="","",IFERROR(VLOOKUP(E1554,TabProd,5,FALSE),0)+SUMIFS($H$5:H1554,$E$5:E1554,E1554)-SUMIFS($I$5:I1554,$E$5:E1554,E1554))</f>
        <v/>
      </c>
      <c r="K1554" s="7"/>
      <c r="L1554" s="7"/>
      <c r="M1554" s="1" t="str">
        <f>IF(E1554="","",E1554&amp;"|"&amp;COUNTIF($E$5:E1554,E1554))</f>
        <v/>
      </c>
    </row>
    <row r="1555" spans="2:13" x14ac:dyDescent="0.2">
      <c r="B1555" s="10"/>
      <c r="C1555" s="7"/>
      <c r="D1555" s="11"/>
      <c r="E1555" s="6"/>
      <c r="F1555" s="12" t="str">
        <f t="shared" si="48"/>
        <v/>
      </c>
      <c r="G1555" s="13" t="str">
        <f t="shared" si="49"/>
        <v/>
      </c>
      <c r="H1555" s="9"/>
      <c r="I1555" s="9"/>
      <c r="J1555" s="14" t="str">
        <f>IF(E1555="","",IFERROR(VLOOKUP(E1555,TabProd,5,FALSE),0)+SUMIFS($H$5:H1555,$E$5:E1555,E1555)-SUMIFS($I$5:I1555,$E$5:E1555,E1555))</f>
        <v/>
      </c>
      <c r="K1555" s="7"/>
      <c r="L1555" s="7"/>
      <c r="M1555" s="1" t="str">
        <f>IF(E1555="","",E1555&amp;"|"&amp;COUNTIF($E$5:E1555,E1555))</f>
        <v/>
      </c>
    </row>
    <row r="1556" spans="2:13" x14ac:dyDescent="0.2">
      <c r="B1556" s="10"/>
      <c r="C1556" s="7"/>
      <c r="D1556" s="11"/>
      <c r="E1556" s="6"/>
      <c r="F1556" s="12" t="str">
        <f t="shared" si="48"/>
        <v/>
      </c>
      <c r="G1556" s="13" t="str">
        <f t="shared" si="49"/>
        <v/>
      </c>
      <c r="H1556" s="9"/>
      <c r="I1556" s="9"/>
      <c r="J1556" s="14" t="str">
        <f>IF(E1556="","",IFERROR(VLOOKUP(E1556,TabProd,5,FALSE),0)+SUMIFS($H$5:H1556,$E$5:E1556,E1556)-SUMIFS($I$5:I1556,$E$5:E1556,E1556))</f>
        <v/>
      </c>
      <c r="K1556" s="7"/>
      <c r="L1556" s="7"/>
      <c r="M1556" s="1" t="str">
        <f>IF(E1556="","",E1556&amp;"|"&amp;COUNTIF($E$5:E1556,E1556))</f>
        <v/>
      </c>
    </row>
    <row r="1557" spans="2:13" x14ac:dyDescent="0.2">
      <c r="B1557" s="10"/>
      <c r="C1557" s="7"/>
      <c r="D1557" s="11"/>
      <c r="E1557" s="6"/>
      <c r="F1557" s="12" t="str">
        <f t="shared" si="48"/>
        <v/>
      </c>
      <c r="G1557" s="13" t="str">
        <f t="shared" si="49"/>
        <v/>
      </c>
      <c r="H1557" s="9"/>
      <c r="I1557" s="9"/>
      <c r="J1557" s="14" t="str">
        <f>IF(E1557="","",IFERROR(VLOOKUP(E1557,TabProd,5,FALSE),0)+SUMIFS($H$5:H1557,$E$5:E1557,E1557)-SUMIFS($I$5:I1557,$E$5:E1557,E1557))</f>
        <v/>
      </c>
      <c r="K1557" s="7"/>
      <c r="L1557" s="7"/>
      <c r="M1557" s="1" t="str">
        <f>IF(E1557="","",E1557&amp;"|"&amp;COUNTIF($E$5:E1557,E1557))</f>
        <v/>
      </c>
    </row>
    <row r="1558" spans="2:13" x14ac:dyDescent="0.2">
      <c r="B1558" s="10"/>
      <c r="C1558" s="7"/>
      <c r="D1558" s="11"/>
      <c r="E1558" s="6"/>
      <c r="F1558" s="12" t="str">
        <f t="shared" si="48"/>
        <v/>
      </c>
      <c r="G1558" s="13" t="str">
        <f t="shared" si="49"/>
        <v/>
      </c>
      <c r="H1558" s="9"/>
      <c r="I1558" s="9"/>
      <c r="J1558" s="14" t="str">
        <f>IF(E1558="","",IFERROR(VLOOKUP(E1558,TabProd,5,FALSE),0)+SUMIFS($H$5:H1558,$E$5:E1558,E1558)-SUMIFS($I$5:I1558,$E$5:E1558,E1558))</f>
        <v/>
      </c>
      <c r="K1558" s="7"/>
      <c r="L1558" s="7"/>
      <c r="M1558" s="1" t="str">
        <f>IF(E1558="","",E1558&amp;"|"&amp;COUNTIF($E$5:E1558,E1558))</f>
        <v/>
      </c>
    </row>
    <row r="1559" spans="2:13" x14ac:dyDescent="0.2">
      <c r="B1559" s="10"/>
      <c r="C1559" s="7"/>
      <c r="D1559" s="11"/>
      <c r="E1559" s="6"/>
      <c r="F1559" s="12" t="str">
        <f t="shared" si="48"/>
        <v/>
      </c>
      <c r="G1559" s="13" t="str">
        <f t="shared" si="49"/>
        <v/>
      </c>
      <c r="H1559" s="9"/>
      <c r="I1559" s="9"/>
      <c r="J1559" s="14" t="str">
        <f>IF(E1559="","",IFERROR(VLOOKUP(E1559,TabProd,5,FALSE),0)+SUMIFS($H$5:H1559,$E$5:E1559,E1559)-SUMIFS($I$5:I1559,$E$5:E1559,E1559))</f>
        <v/>
      </c>
      <c r="K1559" s="7"/>
      <c r="L1559" s="7"/>
      <c r="M1559" s="1" t="str">
        <f>IF(E1559="","",E1559&amp;"|"&amp;COUNTIF($E$5:E1559,E1559))</f>
        <v/>
      </c>
    </row>
    <row r="1560" spans="2:13" x14ac:dyDescent="0.2">
      <c r="B1560" s="10"/>
      <c r="C1560" s="7"/>
      <c r="D1560" s="11"/>
      <c r="E1560" s="6"/>
      <c r="F1560" s="12" t="str">
        <f t="shared" si="48"/>
        <v/>
      </c>
      <c r="G1560" s="13" t="str">
        <f t="shared" si="49"/>
        <v/>
      </c>
      <c r="H1560" s="9"/>
      <c r="I1560" s="9"/>
      <c r="J1560" s="14" t="str">
        <f>IF(E1560="","",IFERROR(VLOOKUP(E1560,TabProd,5,FALSE),0)+SUMIFS($H$5:H1560,$E$5:E1560,E1560)-SUMIFS($I$5:I1560,$E$5:E1560,E1560))</f>
        <v/>
      </c>
      <c r="K1560" s="7"/>
      <c r="L1560" s="7"/>
      <c r="M1560" s="1" t="str">
        <f>IF(E1560="","",E1560&amp;"|"&amp;COUNTIF($E$5:E1560,E1560))</f>
        <v/>
      </c>
    </row>
    <row r="1561" spans="2:13" x14ac:dyDescent="0.2">
      <c r="B1561" s="10"/>
      <c r="C1561" s="7"/>
      <c r="D1561" s="11"/>
      <c r="E1561" s="6"/>
      <c r="F1561" s="12" t="str">
        <f t="shared" si="48"/>
        <v/>
      </c>
      <c r="G1561" s="13" t="str">
        <f t="shared" si="49"/>
        <v/>
      </c>
      <c r="H1561" s="9"/>
      <c r="I1561" s="9"/>
      <c r="J1561" s="14" t="str">
        <f>IF(E1561="","",IFERROR(VLOOKUP(E1561,TabProd,5,FALSE),0)+SUMIFS($H$5:H1561,$E$5:E1561,E1561)-SUMIFS($I$5:I1561,$E$5:E1561,E1561))</f>
        <v/>
      </c>
      <c r="K1561" s="7"/>
      <c r="L1561" s="7"/>
      <c r="M1561" s="1" t="str">
        <f>IF(E1561="","",E1561&amp;"|"&amp;COUNTIF($E$5:E1561,E1561))</f>
        <v/>
      </c>
    </row>
    <row r="1562" spans="2:13" x14ac:dyDescent="0.2">
      <c r="B1562" s="10"/>
      <c r="C1562" s="7"/>
      <c r="D1562" s="11"/>
      <c r="E1562" s="6"/>
      <c r="F1562" s="12" t="str">
        <f t="shared" si="48"/>
        <v/>
      </c>
      <c r="G1562" s="13" t="str">
        <f t="shared" si="49"/>
        <v/>
      </c>
      <c r="H1562" s="9"/>
      <c r="I1562" s="9"/>
      <c r="J1562" s="14" t="str">
        <f>IF(E1562="","",IFERROR(VLOOKUP(E1562,TabProd,5,FALSE),0)+SUMIFS($H$5:H1562,$E$5:E1562,E1562)-SUMIFS($I$5:I1562,$E$5:E1562,E1562))</f>
        <v/>
      </c>
      <c r="K1562" s="7"/>
      <c r="L1562" s="7"/>
      <c r="M1562" s="1" t="str">
        <f>IF(E1562="","",E1562&amp;"|"&amp;COUNTIF($E$5:E1562,E1562))</f>
        <v/>
      </c>
    </row>
    <row r="1563" spans="2:13" x14ac:dyDescent="0.2">
      <c r="B1563" s="10"/>
      <c r="C1563" s="7"/>
      <c r="D1563" s="11"/>
      <c r="E1563" s="6"/>
      <c r="F1563" s="12" t="str">
        <f t="shared" si="48"/>
        <v/>
      </c>
      <c r="G1563" s="13" t="str">
        <f t="shared" si="49"/>
        <v/>
      </c>
      <c r="H1563" s="9"/>
      <c r="I1563" s="9"/>
      <c r="J1563" s="14" t="str">
        <f>IF(E1563="","",IFERROR(VLOOKUP(E1563,TabProd,5,FALSE),0)+SUMIFS($H$5:H1563,$E$5:E1563,E1563)-SUMIFS($I$5:I1563,$E$5:E1563,E1563))</f>
        <v/>
      </c>
      <c r="K1563" s="7"/>
      <c r="L1563" s="7"/>
      <c r="M1563" s="1" t="str">
        <f>IF(E1563="","",E1563&amp;"|"&amp;COUNTIF($E$5:E1563,E1563))</f>
        <v/>
      </c>
    </row>
    <row r="1564" spans="2:13" x14ac:dyDescent="0.2">
      <c r="B1564" s="10"/>
      <c r="C1564" s="7"/>
      <c r="D1564" s="11"/>
      <c r="E1564" s="6"/>
      <c r="F1564" s="12" t="str">
        <f t="shared" si="48"/>
        <v/>
      </c>
      <c r="G1564" s="13" t="str">
        <f t="shared" si="49"/>
        <v/>
      </c>
      <c r="H1564" s="9"/>
      <c r="I1564" s="9"/>
      <c r="J1564" s="14" t="str">
        <f>IF(E1564="","",IFERROR(VLOOKUP(E1564,TabProd,5,FALSE),0)+SUMIFS($H$5:H1564,$E$5:E1564,E1564)-SUMIFS($I$5:I1564,$E$5:E1564,E1564))</f>
        <v/>
      </c>
      <c r="K1564" s="7"/>
      <c r="L1564" s="7"/>
      <c r="M1564" s="1" t="str">
        <f>IF(E1564="","",E1564&amp;"|"&amp;COUNTIF($E$5:E1564,E1564))</f>
        <v/>
      </c>
    </row>
    <row r="1565" spans="2:13" x14ac:dyDescent="0.2">
      <c r="B1565" s="10"/>
      <c r="C1565" s="7"/>
      <c r="D1565" s="11"/>
      <c r="E1565" s="6"/>
      <c r="F1565" s="12" t="str">
        <f t="shared" si="48"/>
        <v/>
      </c>
      <c r="G1565" s="13" t="str">
        <f t="shared" si="49"/>
        <v/>
      </c>
      <c r="H1565" s="9"/>
      <c r="I1565" s="9"/>
      <c r="J1565" s="14" t="str">
        <f>IF(E1565="","",IFERROR(VLOOKUP(E1565,TabProd,5,FALSE),0)+SUMIFS($H$5:H1565,$E$5:E1565,E1565)-SUMIFS($I$5:I1565,$E$5:E1565,E1565))</f>
        <v/>
      </c>
      <c r="K1565" s="7"/>
      <c r="L1565" s="7"/>
      <c r="M1565" s="1" t="str">
        <f>IF(E1565="","",E1565&amp;"|"&amp;COUNTIF($E$5:E1565,E1565))</f>
        <v/>
      </c>
    </row>
    <row r="1566" spans="2:13" x14ac:dyDescent="0.2">
      <c r="B1566" s="10"/>
      <c r="C1566" s="7"/>
      <c r="D1566" s="11"/>
      <c r="E1566" s="6"/>
      <c r="F1566" s="12" t="str">
        <f t="shared" si="48"/>
        <v/>
      </c>
      <c r="G1566" s="13" t="str">
        <f t="shared" si="49"/>
        <v/>
      </c>
      <c r="H1566" s="9"/>
      <c r="I1566" s="9"/>
      <c r="J1566" s="14" t="str">
        <f>IF(E1566="","",IFERROR(VLOOKUP(E1566,TabProd,5,FALSE),0)+SUMIFS($H$5:H1566,$E$5:E1566,E1566)-SUMIFS($I$5:I1566,$E$5:E1566,E1566))</f>
        <v/>
      </c>
      <c r="K1566" s="7"/>
      <c r="L1566" s="7"/>
      <c r="M1566" s="1" t="str">
        <f>IF(E1566="","",E1566&amp;"|"&amp;COUNTIF($E$5:E1566,E1566))</f>
        <v/>
      </c>
    </row>
    <row r="1567" spans="2:13" x14ac:dyDescent="0.2">
      <c r="B1567" s="10"/>
      <c r="C1567" s="7"/>
      <c r="D1567" s="11"/>
      <c r="E1567" s="6"/>
      <c r="F1567" s="12" t="str">
        <f t="shared" si="48"/>
        <v/>
      </c>
      <c r="G1567" s="13" t="str">
        <f t="shared" si="49"/>
        <v/>
      </c>
      <c r="H1567" s="9"/>
      <c r="I1567" s="9"/>
      <c r="J1567" s="14" t="str">
        <f>IF(E1567="","",IFERROR(VLOOKUP(E1567,TabProd,5,FALSE),0)+SUMIFS($H$5:H1567,$E$5:E1567,E1567)-SUMIFS($I$5:I1567,$E$5:E1567,E1567))</f>
        <v/>
      </c>
      <c r="K1567" s="7"/>
      <c r="L1567" s="7"/>
      <c r="M1567" s="1" t="str">
        <f>IF(E1567="","",E1567&amp;"|"&amp;COUNTIF($E$5:E1567,E1567))</f>
        <v/>
      </c>
    </row>
    <row r="1568" spans="2:13" x14ac:dyDescent="0.2">
      <c r="B1568" s="10"/>
      <c r="C1568" s="7"/>
      <c r="D1568" s="11"/>
      <c r="E1568" s="6"/>
      <c r="F1568" s="12" t="str">
        <f t="shared" si="48"/>
        <v/>
      </c>
      <c r="G1568" s="13" t="str">
        <f t="shared" si="49"/>
        <v/>
      </c>
      <c r="H1568" s="9"/>
      <c r="I1568" s="9"/>
      <c r="J1568" s="14" t="str">
        <f>IF(E1568="","",IFERROR(VLOOKUP(E1568,TabProd,5,FALSE),0)+SUMIFS($H$5:H1568,$E$5:E1568,E1568)-SUMIFS($I$5:I1568,$E$5:E1568,E1568))</f>
        <v/>
      </c>
      <c r="K1568" s="7"/>
      <c r="L1568" s="7"/>
      <c r="M1568" s="1" t="str">
        <f>IF(E1568="","",E1568&amp;"|"&amp;COUNTIF($E$5:E1568,E1568))</f>
        <v/>
      </c>
    </row>
    <row r="1569" spans="2:13" x14ac:dyDescent="0.2">
      <c r="B1569" s="10"/>
      <c r="C1569" s="7"/>
      <c r="D1569" s="11"/>
      <c r="E1569" s="6"/>
      <c r="F1569" s="12" t="str">
        <f t="shared" si="48"/>
        <v/>
      </c>
      <c r="G1569" s="13" t="str">
        <f t="shared" si="49"/>
        <v/>
      </c>
      <c r="H1569" s="9"/>
      <c r="I1569" s="9"/>
      <c r="J1569" s="14" t="str">
        <f>IF(E1569="","",IFERROR(VLOOKUP(E1569,TabProd,5,FALSE),0)+SUMIFS($H$5:H1569,$E$5:E1569,E1569)-SUMIFS($I$5:I1569,$E$5:E1569,E1569))</f>
        <v/>
      </c>
      <c r="K1569" s="7"/>
      <c r="L1569" s="7"/>
      <c r="M1569" s="1" t="str">
        <f>IF(E1569="","",E1569&amp;"|"&amp;COUNTIF($E$5:E1569,E1569))</f>
        <v/>
      </c>
    </row>
    <row r="1570" spans="2:13" x14ac:dyDescent="0.2">
      <c r="B1570" s="10"/>
      <c r="C1570" s="7"/>
      <c r="D1570" s="11"/>
      <c r="E1570" s="6"/>
      <c r="F1570" s="12" t="str">
        <f t="shared" si="48"/>
        <v/>
      </c>
      <c r="G1570" s="13" t="str">
        <f t="shared" si="49"/>
        <v/>
      </c>
      <c r="H1570" s="9"/>
      <c r="I1570" s="9"/>
      <c r="J1570" s="14" t="str">
        <f>IF(E1570="","",IFERROR(VLOOKUP(E1570,TabProd,5,FALSE),0)+SUMIFS($H$5:H1570,$E$5:E1570,E1570)-SUMIFS($I$5:I1570,$E$5:E1570,E1570))</f>
        <v/>
      </c>
      <c r="K1570" s="7"/>
      <c r="L1570" s="7"/>
      <c r="M1570" s="1" t="str">
        <f>IF(E1570="","",E1570&amp;"|"&amp;COUNTIF($E$5:E1570,E1570))</f>
        <v/>
      </c>
    </row>
    <row r="1571" spans="2:13" x14ac:dyDescent="0.2">
      <c r="B1571" s="10"/>
      <c r="C1571" s="7"/>
      <c r="D1571" s="11"/>
      <c r="E1571" s="6"/>
      <c r="F1571" s="12" t="str">
        <f t="shared" si="48"/>
        <v/>
      </c>
      <c r="G1571" s="13" t="str">
        <f t="shared" si="49"/>
        <v/>
      </c>
      <c r="H1571" s="9"/>
      <c r="I1571" s="9"/>
      <c r="J1571" s="14" t="str">
        <f>IF(E1571="","",IFERROR(VLOOKUP(E1571,TabProd,5,FALSE),0)+SUMIFS($H$5:H1571,$E$5:E1571,E1571)-SUMIFS($I$5:I1571,$E$5:E1571,E1571))</f>
        <v/>
      </c>
      <c r="K1571" s="7"/>
      <c r="L1571" s="7"/>
      <c r="M1571" s="1" t="str">
        <f>IF(E1571="","",E1571&amp;"|"&amp;COUNTIF($E$5:E1571,E1571))</f>
        <v/>
      </c>
    </row>
    <row r="1572" spans="2:13" x14ac:dyDescent="0.2">
      <c r="B1572" s="10"/>
      <c r="C1572" s="7"/>
      <c r="D1572" s="11"/>
      <c r="E1572" s="6"/>
      <c r="F1572" s="12" t="str">
        <f t="shared" si="48"/>
        <v/>
      </c>
      <c r="G1572" s="13" t="str">
        <f t="shared" si="49"/>
        <v/>
      </c>
      <c r="H1572" s="9"/>
      <c r="I1572" s="9"/>
      <c r="J1572" s="14" t="str">
        <f>IF(E1572="","",IFERROR(VLOOKUP(E1572,TabProd,5,FALSE),0)+SUMIFS($H$5:H1572,$E$5:E1572,E1572)-SUMIFS($I$5:I1572,$E$5:E1572,E1572))</f>
        <v/>
      </c>
      <c r="K1572" s="7"/>
      <c r="L1572" s="7"/>
      <c r="M1572" s="1" t="str">
        <f>IF(E1572="","",E1572&amp;"|"&amp;COUNTIF($E$5:E1572,E1572))</f>
        <v/>
      </c>
    </row>
    <row r="1573" spans="2:13" x14ac:dyDescent="0.2">
      <c r="B1573" s="10"/>
      <c r="C1573" s="7"/>
      <c r="D1573" s="11"/>
      <c r="E1573" s="6"/>
      <c r="F1573" s="12" t="str">
        <f t="shared" si="48"/>
        <v/>
      </c>
      <c r="G1573" s="13" t="str">
        <f t="shared" si="49"/>
        <v/>
      </c>
      <c r="H1573" s="9"/>
      <c r="I1573" s="9"/>
      <c r="J1573" s="14" t="str">
        <f>IF(E1573="","",IFERROR(VLOOKUP(E1573,TabProd,5,FALSE),0)+SUMIFS($H$5:H1573,$E$5:E1573,E1573)-SUMIFS($I$5:I1573,$E$5:E1573,E1573))</f>
        <v/>
      </c>
      <c r="K1573" s="7"/>
      <c r="L1573" s="7"/>
      <c r="M1573" s="1" t="str">
        <f>IF(E1573="","",E1573&amp;"|"&amp;COUNTIF($E$5:E1573,E1573))</f>
        <v/>
      </c>
    </row>
    <row r="1574" spans="2:13" x14ac:dyDescent="0.2">
      <c r="B1574" s="10"/>
      <c r="C1574" s="7"/>
      <c r="D1574" s="11"/>
      <c r="E1574" s="6"/>
      <c r="F1574" s="12" t="str">
        <f t="shared" si="48"/>
        <v/>
      </c>
      <c r="G1574" s="13" t="str">
        <f t="shared" si="49"/>
        <v/>
      </c>
      <c r="H1574" s="9"/>
      <c r="I1574" s="9"/>
      <c r="J1574" s="14" t="str">
        <f>IF(E1574="","",IFERROR(VLOOKUP(E1574,TabProd,5,FALSE),0)+SUMIFS($H$5:H1574,$E$5:E1574,E1574)-SUMIFS($I$5:I1574,$E$5:E1574,E1574))</f>
        <v/>
      </c>
      <c r="K1574" s="7"/>
      <c r="L1574" s="7"/>
      <c r="M1574" s="1" t="str">
        <f>IF(E1574="","",E1574&amp;"|"&amp;COUNTIF($E$5:E1574,E1574))</f>
        <v/>
      </c>
    </row>
    <row r="1575" spans="2:13" x14ac:dyDescent="0.2">
      <c r="B1575" s="10"/>
      <c r="C1575" s="7"/>
      <c r="D1575" s="11"/>
      <c r="E1575" s="6"/>
      <c r="F1575" s="12" t="str">
        <f t="shared" si="48"/>
        <v/>
      </c>
      <c r="G1575" s="13" t="str">
        <f t="shared" si="49"/>
        <v/>
      </c>
      <c r="H1575" s="9"/>
      <c r="I1575" s="9"/>
      <c r="J1575" s="14" t="str">
        <f>IF(E1575="","",IFERROR(VLOOKUP(E1575,TabProd,5,FALSE),0)+SUMIFS($H$5:H1575,$E$5:E1575,E1575)-SUMIFS($I$5:I1575,$E$5:E1575,E1575))</f>
        <v/>
      </c>
      <c r="K1575" s="7"/>
      <c r="L1575" s="7"/>
      <c r="M1575" s="1" t="str">
        <f>IF(E1575="","",E1575&amp;"|"&amp;COUNTIF($E$5:E1575,E1575))</f>
        <v/>
      </c>
    </row>
    <row r="1576" spans="2:13" x14ac:dyDescent="0.2">
      <c r="B1576" s="10"/>
      <c r="C1576" s="7"/>
      <c r="D1576" s="11"/>
      <c r="E1576" s="6"/>
      <c r="F1576" s="12" t="str">
        <f t="shared" si="48"/>
        <v/>
      </c>
      <c r="G1576" s="13" t="str">
        <f t="shared" si="49"/>
        <v/>
      </c>
      <c r="H1576" s="9"/>
      <c r="I1576" s="9"/>
      <c r="J1576" s="14" t="str">
        <f>IF(E1576="","",IFERROR(VLOOKUP(E1576,TabProd,5,FALSE),0)+SUMIFS($H$5:H1576,$E$5:E1576,E1576)-SUMIFS($I$5:I1576,$E$5:E1576,E1576))</f>
        <v/>
      </c>
      <c r="K1576" s="7"/>
      <c r="L1576" s="7"/>
      <c r="M1576" s="1" t="str">
        <f>IF(E1576="","",E1576&amp;"|"&amp;COUNTIF($E$5:E1576,E1576))</f>
        <v/>
      </c>
    </row>
    <row r="1577" spans="2:13" x14ac:dyDescent="0.2">
      <c r="B1577" s="10"/>
      <c r="C1577" s="7"/>
      <c r="D1577" s="11"/>
      <c r="E1577" s="6"/>
      <c r="F1577" s="12" t="str">
        <f t="shared" si="48"/>
        <v/>
      </c>
      <c r="G1577" s="13" t="str">
        <f t="shared" si="49"/>
        <v/>
      </c>
      <c r="H1577" s="9"/>
      <c r="I1577" s="9"/>
      <c r="J1577" s="14" t="str">
        <f>IF(E1577="","",IFERROR(VLOOKUP(E1577,TabProd,5,FALSE),0)+SUMIFS($H$5:H1577,$E$5:E1577,E1577)-SUMIFS($I$5:I1577,$E$5:E1577,E1577))</f>
        <v/>
      </c>
      <c r="K1577" s="7"/>
      <c r="L1577" s="7"/>
      <c r="M1577" s="1" t="str">
        <f>IF(E1577="","",E1577&amp;"|"&amp;COUNTIF($E$5:E1577,E1577))</f>
        <v/>
      </c>
    </row>
    <row r="1578" spans="2:13" x14ac:dyDescent="0.2">
      <c r="B1578" s="10"/>
      <c r="C1578" s="7"/>
      <c r="D1578" s="11"/>
      <c r="E1578" s="6"/>
      <c r="F1578" s="12" t="str">
        <f t="shared" si="48"/>
        <v/>
      </c>
      <c r="G1578" s="13" t="str">
        <f t="shared" si="49"/>
        <v/>
      </c>
      <c r="H1578" s="9"/>
      <c r="I1578" s="9"/>
      <c r="J1578" s="14" t="str">
        <f>IF(E1578="","",IFERROR(VLOOKUP(E1578,TabProd,5,FALSE),0)+SUMIFS($H$5:H1578,$E$5:E1578,E1578)-SUMIFS($I$5:I1578,$E$5:E1578,E1578))</f>
        <v/>
      </c>
      <c r="K1578" s="7"/>
      <c r="L1578" s="7"/>
      <c r="M1578" s="1" t="str">
        <f>IF(E1578="","",E1578&amp;"|"&amp;COUNTIF($E$5:E1578,E1578))</f>
        <v/>
      </c>
    </row>
    <row r="1579" spans="2:13" x14ac:dyDescent="0.2">
      <c r="B1579" s="10"/>
      <c r="C1579" s="7"/>
      <c r="D1579" s="11"/>
      <c r="E1579" s="6"/>
      <c r="F1579" s="12" t="str">
        <f t="shared" si="48"/>
        <v/>
      </c>
      <c r="G1579" s="13" t="str">
        <f t="shared" si="49"/>
        <v/>
      </c>
      <c r="H1579" s="9"/>
      <c r="I1579" s="9"/>
      <c r="J1579" s="14" t="str">
        <f>IF(E1579="","",IFERROR(VLOOKUP(E1579,TabProd,5,FALSE),0)+SUMIFS($H$5:H1579,$E$5:E1579,E1579)-SUMIFS($I$5:I1579,$E$5:E1579,E1579))</f>
        <v/>
      </c>
      <c r="K1579" s="7"/>
      <c r="L1579" s="7"/>
      <c r="M1579" s="1" t="str">
        <f>IF(E1579="","",E1579&amp;"|"&amp;COUNTIF($E$5:E1579,E1579))</f>
        <v/>
      </c>
    </row>
    <row r="1580" spans="2:13" x14ac:dyDescent="0.2">
      <c r="B1580" s="10"/>
      <c r="C1580" s="7"/>
      <c r="D1580" s="11"/>
      <c r="E1580" s="6"/>
      <c r="F1580" s="12" t="str">
        <f t="shared" si="48"/>
        <v/>
      </c>
      <c r="G1580" s="13" t="str">
        <f t="shared" si="49"/>
        <v/>
      </c>
      <c r="H1580" s="9"/>
      <c r="I1580" s="9"/>
      <c r="J1580" s="14" t="str">
        <f>IF(E1580="","",IFERROR(VLOOKUP(E1580,TabProd,5,FALSE),0)+SUMIFS($H$5:H1580,$E$5:E1580,E1580)-SUMIFS($I$5:I1580,$E$5:E1580,E1580))</f>
        <v/>
      </c>
      <c r="K1580" s="7"/>
      <c r="L1580" s="7"/>
      <c r="M1580" s="1" t="str">
        <f>IF(E1580="","",E1580&amp;"|"&amp;COUNTIF($E$5:E1580,E1580))</f>
        <v/>
      </c>
    </row>
    <row r="1581" spans="2:13" x14ac:dyDescent="0.2">
      <c r="B1581" s="10"/>
      <c r="C1581" s="7"/>
      <c r="D1581" s="11"/>
      <c r="E1581" s="6"/>
      <c r="F1581" s="12" t="str">
        <f t="shared" si="48"/>
        <v/>
      </c>
      <c r="G1581" s="13" t="str">
        <f t="shared" si="49"/>
        <v/>
      </c>
      <c r="H1581" s="9"/>
      <c r="I1581" s="9"/>
      <c r="J1581" s="14" t="str">
        <f>IF(E1581="","",IFERROR(VLOOKUP(E1581,TabProd,5,FALSE),0)+SUMIFS($H$5:H1581,$E$5:E1581,E1581)-SUMIFS($I$5:I1581,$E$5:E1581,E1581))</f>
        <v/>
      </c>
      <c r="K1581" s="7"/>
      <c r="L1581" s="7"/>
      <c r="M1581" s="1" t="str">
        <f>IF(E1581="","",E1581&amp;"|"&amp;COUNTIF($E$5:E1581,E1581))</f>
        <v/>
      </c>
    </row>
    <row r="1582" spans="2:13" x14ac:dyDescent="0.2">
      <c r="B1582" s="10"/>
      <c r="C1582" s="7"/>
      <c r="D1582" s="11"/>
      <c r="E1582" s="6"/>
      <c r="F1582" s="12" t="str">
        <f t="shared" si="48"/>
        <v/>
      </c>
      <c r="G1582" s="13" t="str">
        <f t="shared" si="49"/>
        <v/>
      </c>
      <c r="H1582" s="9"/>
      <c r="I1582" s="9"/>
      <c r="J1582" s="14" t="str">
        <f>IF(E1582="","",IFERROR(VLOOKUP(E1582,TabProd,5,FALSE),0)+SUMIFS($H$5:H1582,$E$5:E1582,E1582)-SUMIFS($I$5:I1582,$E$5:E1582,E1582))</f>
        <v/>
      </c>
      <c r="K1582" s="7"/>
      <c r="L1582" s="7"/>
      <c r="M1582" s="1" t="str">
        <f>IF(E1582="","",E1582&amp;"|"&amp;COUNTIF($E$5:E1582,E1582))</f>
        <v/>
      </c>
    </row>
    <row r="1583" spans="2:13" x14ac:dyDescent="0.2">
      <c r="B1583" s="10"/>
      <c r="C1583" s="7"/>
      <c r="D1583" s="11"/>
      <c r="E1583" s="6"/>
      <c r="F1583" s="12" t="str">
        <f t="shared" si="48"/>
        <v/>
      </c>
      <c r="G1583" s="13" t="str">
        <f t="shared" si="49"/>
        <v/>
      </c>
      <c r="H1583" s="9"/>
      <c r="I1583" s="9"/>
      <c r="J1583" s="14" t="str">
        <f>IF(E1583="","",IFERROR(VLOOKUP(E1583,TabProd,5,FALSE),0)+SUMIFS($H$5:H1583,$E$5:E1583,E1583)-SUMIFS($I$5:I1583,$E$5:E1583,E1583))</f>
        <v/>
      </c>
      <c r="K1583" s="7"/>
      <c r="L1583" s="7"/>
      <c r="M1583" s="1" t="str">
        <f>IF(E1583="","",E1583&amp;"|"&amp;COUNTIF($E$5:E1583,E1583))</f>
        <v/>
      </c>
    </row>
    <row r="1584" spans="2:13" x14ac:dyDescent="0.2">
      <c r="B1584" s="10"/>
      <c r="C1584" s="7"/>
      <c r="D1584" s="11"/>
      <c r="E1584" s="6"/>
      <c r="F1584" s="12" t="str">
        <f t="shared" si="48"/>
        <v/>
      </c>
      <c r="G1584" s="13" t="str">
        <f t="shared" si="49"/>
        <v/>
      </c>
      <c r="H1584" s="9"/>
      <c r="I1584" s="9"/>
      <c r="J1584" s="14" t="str">
        <f>IF(E1584="","",IFERROR(VLOOKUP(E1584,TabProd,5,FALSE),0)+SUMIFS($H$5:H1584,$E$5:E1584,E1584)-SUMIFS($I$5:I1584,$E$5:E1584,E1584))</f>
        <v/>
      </c>
      <c r="K1584" s="7"/>
      <c r="L1584" s="7"/>
      <c r="M1584" s="1" t="str">
        <f>IF(E1584="","",E1584&amp;"|"&amp;COUNTIF($E$5:E1584,E1584))</f>
        <v/>
      </c>
    </row>
    <row r="1585" spans="2:13" x14ac:dyDescent="0.2">
      <c r="B1585" s="10"/>
      <c r="C1585" s="7"/>
      <c r="D1585" s="11"/>
      <c r="E1585" s="6"/>
      <c r="F1585" s="12" t="str">
        <f t="shared" si="48"/>
        <v/>
      </c>
      <c r="G1585" s="13" t="str">
        <f t="shared" si="49"/>
        <v/>
      </c>
      <c r="H1585" s="9"/>
      <c r="I1585" s="9"/>
      <c r="J1585" s="14" t="str">
        <f>IF(E1585="","",IFERROR(VLOOKUP(E1585,TabProd,5,FALSE),0)+SUMIFS($H$5:H1585,$E$5:E1585,E1585)-SUMIFS($I$5:I1585,$E$5:E1585,E1585))</f>
        <v/>
      </c>
      <c r="K1585" s="7"/>
      <c r="L1585" s="7"/>
      <c r="M1585" s="1" t="str">
        <f>IF(E1585="","",E1585&amp;"|"&amp;COUNTIF($E$5:E1585,E1585))</f>
        <v/>
      </c>
    </row>
    <row r="1586" spans="2:13" x14ac:dyDescent="0.2">
      <c r="B1586" s="10"/>
      <c r="C1586" s="7"/>
      <c r="D1586" s="11"/>
      <c r="E1586" s="6"/>
      <c r="F1586" s="12" t="str">
        <f t="shared" si="48"/>
        <v/>
      </c>
      <c r="G1586" s="13" t="str">
        <f t="shared" si="49"/>
        <v/>
      </c>
      <c r="H1586" s="9"/>
      <c r="I1586" s="9"/>
      <c r="J1586" s="14" t="str">
        <f>IF(E1586="","",IFERROR(VLOOKUP(E1586,TabProd,5,FALSE),0)+SUMIFS($H$5:H1586,$E$5:E1586,E1586)-SUMIFS($I$5:I1586,$E$5:E1586,E1586))</f>
        <v/>
      </c>
      <c r="K1586" s="7"/>
      <c r="L1586" s="7"/>
      <c r="M1586" s="1" t="str">
        <f>IF(E1586="","",E1586&amp;"|"&amp;COUNTIF($E$5:E1586,E1586))</f>
        <v/>
      </c>
    </row>
    <row r="1587" spans="2:13" x14ac:dyDescent="0.2">
      <c r="B1587" s="10"/>
      <c r="C1587" s="7"/>
      <c r="D1587" s="11"/>
      <c r="E1587" s="6"/>
      <c r="F1587" s="12" t="str">
        <f t="shared" si="48"/>
        <v/>
      </c>
      <c r="G1587" s="13" t="str">
        <f t="shared" si="49"/>
        <v/>
      </c>
      <c r="H1587" s="9"/>
      <c r="I1587" s="9"/>
      <c r="J1587" s="14" t="str">
        <f>IF(E1587="","",IFERROR(VLOOKUP(E1587,TabProd,5,FALSE),0)+SUMIFS($H$5:H1587,$E$5:E1587,E1587)-SUMIFS($I$5:I1587,$E$5:E1587,E1587))</f>
        <v/>
      </c>
      <c r="K1587" s="7"/>
      <c r="L1587" s="7"/>
      <c r="M1587" s="1" t="str">
        <f>IF(E1587="","",E1587&amp;"|"&amp;COUNTIF($E$5:E1587,E1587))</f>
        <v/>
      </c>
    </row>
    <row r="1588" spans="2:13" x14ac:dyDescent="0.2">
      <c r="B1588" s="10"/>
      <c r="C1588" s="7"/>
      <c r="D1588" s="11"/>
      <c r="E1588" s="6"/>
      <c r="F1588" s="12" t="str">
        <f t="shared" si="48"/>
        <v/>
      </c>
      <c r="G1588" s="13" t="str">
        <f t="shared" si="49"/>
        <v/>
      </c>
      <c r="H1588" s="9"/>
      <c r="I1588" s="9"/>
      <c r="J1588" s="14" t="str">
        <f>IF(E1588="","",IFERROR(VLOOKUP(E1588,TabProd,5,FALSE),0)+SUMIFS($H$5:H1588,$E$5:E1588,E1588)-SUMIFS($I$5:I1588,$E$5:E1588,E1588))</f>
        <v/>
      </c>
      <c r="K1588" s="7"/>
      <c r="L1588" s="7"/>
      <c r="M1588" s="1" t="str">
        <f>IF(E1588="","",E1588&amp;"|"&amp;COUNTIF($E$5:E1588,E1588))</f>
        <v/>
      </c>
    </row>
    <row r="1589" spans="2:13" x14ac:dyDescent="0.2">
      <c r="B1589" s="10"/>
      <c r="C1589" s="7"/>
      <c r="D1589" s="11"/>
      <c r="E1589" s="6"/>
      <c r="F1589" s="12" t="str">
        <f t="shared" si="48"/>
        <v/>
      </c>
      <c r="G1589" s="13" t="str">
        <f t="shared" si="49"/>
        <v/>
      </c>
      <c r="H1589" s="9"/>
      <c r="I1589" s="9"/>
      <c r="J1589" s="14" t="str">
        <f>IF(E1589="","",IFERROR(VLOOKUP(E1589,TabProd,5,FALSE),0)+SUMIFS($H$5:H1589,$E$5:E1589,E1589)-SUMIFS($I$5:I1589,$E$5:E1589,E1589))</f>
        <v/>
      </c>
      <c r="K1589" s="7"/>
      <c r="L1589" s="7"/>
      <c r="M1589" s="1" t="str">
        <f>IF(E1589="","",E1589&amp;"|"&amp;COUNTIF($E$5:E1589,E1589))</f>
        <v/>
      </c>
    </row>
    <row r="1590" spans="2:13" x14ac:dyDescent="0.2">
      <c r="B1590" s="10"/>
      <c r="C1590" s="7"/>
      <c r="D1590" s="11"/>
      <c r="E1590" s="6"/>
      <c r="F1590" s="12" t="str">
        <f t="shared" si="48"/>
        <v/>
      </c>
      <c r="G1590" s="13" t="str">
        <f t="shared" si="49"/>
        <v/>
      </c>
      <c r="H1590" s="9"/>
      <c r="I1590" s="9"/>
      <c r="J1590" s="14" t="str">
        <f>IF(E1590="","",IFERROR(VLOOKUP(E1590,TabProd,5,FALSE),0)+SUMIFS($H$5:H1590,$E$5:E1590,E1590)-SUMIFS($I$5:I1590,$E$5:E1590,E1590))</f>
        <v/>
      </c>
      <c r="K1590" s="7"/>
      <c r="L1590" s="7"/>
      <c r="M1590" s="1" t="str">
        <f>IF(E1590="","",E1590&amp;"|"&amp;COUNTIF($E$5:E1590,E1590))</f>
        <v/>
      </c>
    </row>
    <row r="1591" spans="2:13" x14ac:dyDescent="0.2">
      <c r="B1591" s="10"/>
      <c r="C1591" s="7"/>
      <c r="D1591" s="11"/>
      <c r="E1591" s="6"/>
      <c r="F1591" s="12" t="str">
        <f t="shared" si="48"/>
        <v/>
      </c>
      <c r="G1591" s="13" t="str">
        <f t="shared" si="49"/>
        <v/>
      </c>
      <c r="H1591" s="9"/>
      <c r="I1591" s="9"/>
      <c r="J1591" s="14" t="str">
        <f>IF(E1591="","",IFERROR(VLOOKUP(E1591,TabProd,5,FALSE),0)+SUMIFS($H$5:H1591,$E$5:E1591,E1591)-SUMIFS($I$5:I1591,$E$5:E1591,E1591))</f>
        <v/>
      </c>
      <c r="K1591" s="7"/>
      <c r="L1591" s="7"/>
      <c r="M1591" s="1" t="str">
        <f>IF(E1591="","",E1591&amp;"|"&amp;COUNTIF($E$5:E1591,E1591))</f>
        <v/>
      </c>
    </row>
    <row r="1592" spans="2:13" x14ac:dyDescent="0.2">
      <c r="B1592" s="10"/>
      <c r="C1592" s="7"/>
      <c r="D1592" s="11"/>
      <c r="E1592" s="6"/>
      <c r="F1592" s="12" t="str">
        <f t="shared" si="48"/>
        <v/>
      </c>
      <c r="G1592" s="13" t="str">
        <f t="shared" si="49"/>
        <v/>
      </c>
      <c r="H1592" s="9"/>
      <c r="I1592" s="9"/>
      <c r="J1592" s="14" t="str">
        <f>IF(E1592="","",IFERROR(VLOOKUP(E1592,TabProd,5,FALSE),0)+SUMIFS($H$5:H1592,$E$5:E1592,E1592)-SUMIFS($I$5:I1592,$E$5:E1592,E1592))</f>
        <v/>
      </c>
      <c r="K1592" s="7"/>
      <c r="L1592" s="7"/>
      <c r="M1592" s="1" t="str">
        <f>IF(E1592="","",E1592&amp;"|"&amp;COUNTIF($E$5:E1592,E1592))</f>
        <v/>
      </c>
    </row>
    <row r="1593" spans="2:13" x14ac:dyDescent="0.2">
      <c r="B1593" s="10"/>
      <c r="C1593" s="7"/>
      <c r="D1593" s="11"/>
      <c r="E1593" s="6"/>
      <c r="F1593" s="12" t="str">
        <f t="shared" si="48"/>
        <v/>
      </c>
      <c r="G1593" s="13" t="str">
        <f t="shared" si="49"/>
        <v/>
      </c>
      <c r="H1593" s="9"/>
      <c r="I1593" s="9"/>
      <c r="J1593" s="14" t="str">
        <f>IF(E1593="","",IFERROR(VLOOKUP(E1593,TabProd,5,FALSE),0)+SUMIFS($H$5:H1593,$E$5:E1593,E1593)-SUMIFS($I$5:I1593,$E$5:E1593,E1593))</f>
        <v/>
      </c>
      <c r="K1593" s="7"/>
      <c r="L1593" s="7"/>
      <c r="M1593" s="1" t="str">
        <f>IF(E1593="","",E1593&amp;"|"&amp;COUNTIF($E$5:E1593,E1593))</f>
        <v/>
      </c>
    </row>
    <row r="1594" spans="2:13" x14ac:dyDescent="0.2">
      <c r="B1594" s="10"/>
      <c r="C1594" s="7"/>
      <c r="D1594" s="11"/>
      <c r="E1594" s="6"/>
      <c r="F1594" s="12" t="str">
        <f t="shared" si="48"/>
        <v/>
      </c>
      <c r="G1594" s="13" t="str">
        <f t="shared" si="49"/>
        <v/>
      </c>
      <c r="H1594" s="9"/>
      <c r="I1594" s="9"/>
      <c r="J1594" s="14" t="str">
        <f>IF(E1594="","",IFERROR(VLOOKUP(E1594,TabProd,5,FALSE),0)+SUMIFS($H$5:H1594,$E$5:E1594,E1594)-SUMIFS($I$5:I1594,$E$5:E1594,E1594))</f>
        <v/>
      </c>
      <c r="K1594" s="7"/>
      <c r="L1594" s="7"/>
      <c r="M1594" s="1" t="str">
        <f>IF(E1594="","",E1594&amp;"|"&amp;COUNTIF($E$5:E1594,E1594))</f>
        <v/>
      </c>
    </row>
    <row r="1595" spans="2:13" x14ac:dyDescent="0.2">
      <c r="B1595" s="10"/>
      <c r="C1595" s="7"/>
      <c r="D1595" s="11"/>
      <c r="E1595" s="6"/>
      <c r="F1595" s="12" t="str">
        <f t="shared" si="48"/>
        <v/>
      </c>
      <c r="G1595" s="13" t="str">
        <f t="shared" si="49"/>
        <v/>
      </c>
      <c r="H1595" s="9"/>
      <c r="I1595" s="9"/>
      <c r="J1595" s="14" t="str">
        <f>IF(E1595="","",IFERROR(VLOOKUP(E1595,TabProd,5,FALSE),0)+SUMIFS($H$5:H1595,$E$5:E1595,E1595)-SUMIFS($I$5:I1595,$E$5:E1595,E1595))</f>
        <v/>
      </c>
      <c r="K1595" s="7"/>
      <c r="L1595" s="7"/>
      <c r="M1595" s="1" t="str">
        <f>IF(E1595="","",E1595&amp;"|"&amp;COUNTIF($E$5:E1595,E1595))</f>
        <v/>
      </c>
    </row>
    <row r="1596" spans="2:13" x14ac:dyDescent="0.2">
      <c r="B1596" s="10"/>
      <c r="C1596" s="7"/>
      <c r="D1596" s="11"/>
      <c r="E1596" s="6"/>
      <c r="F1596" s="12" t="str">
        <f t="shared" si="48"/>
        <v/>
      </c>
      <c r="G1596" s="13" t="str">
        <f t="shared" si="49"/>
        <v/>
      </c>
      <c r="H1596" s="9"/>
      <c r="I1596" s="9"/>
      <c r="J1596" s="14" t="str">
        <f>IF(E1596="","",IFERROR(VLOOKUP(E1596,TabProd,5,FALSE),0)+SUMIFS($H$5:H1596,$E$5:E1596,E1596)-SUMIFS($I$5:I1596,$E$5:E1596,E1596))</f>
        <v/>
      </c>
      <c r="K1596" s="7"/>
      <c r="L1596" s="7"/>
      <c r="M1596" s="1" t="str">
        <f>IF(E1596="","",E1596&amp;"|"&amp;COUNTIF($E$5:E1596,E1596))</f>
        <v/>
      </c>
    </row>
    <row r="1597" spans="2:13" x14ac:dyDescent="0.2">
      <c r="B1597" s="10"/>
      <c r="C1597" s="7"/>
      <c r="D1597" s="11"/>
      <c r="E1597" s="6"/>
      <c r="F1597" s="12" t="str">
        <f t="shared" si="48"/>
        <v/>
      </c>
      <c r="G1597" s="13" t="str">
        <f t="shared" si="49"/>
        <v/>
      </c>
      <c r="H1597" s="9"/>
      <c r="I1597" s="9"/>
      <c r="J1597" s="14" t="str">
        <f>IF(E1597="","",IFERROR(VLOOKUP(E1597,TabProd,5,FALSE),0)+SUMIFS($H$5:H1597,$E$5:E1597,E1597)-SUMIFS($I$5:I1597,$E$5:E1597,E1597))</f>
        <v/>
      </c>
      <c r="K1597" s="7"/>
      <c r="L1597" s="7"/>
      <c r="M1597" s="1" t="str">
        <f>IF(E1597="","",E1597&amp;"|"&amp;COUNTIF($E$5:E1597,E1597))</f>
        <v/>
      </c>
    </row>
    <row r="1598" spans="2:13" x14ac:dyDescent="0.2">
      <c r="B1598" s="10"/>
      <c r="C1598" s="7"/>
      <c r="D1598" s="11"/>
      <c r="E1598" s="6"/>
      <c r="F1598" s="12" t="str">
        <f t="shared" si="48"/>
        <v/>
      </c>
      <c r="G1598" s="13" t="str">
        <f t="shared" si="49"/>
        <v/>
      </c>
      <c r="H1598" s="9"/>
      <c r="I1598" s="9"/>
      <c r="J1598" s="14" t="str">
        <f>IF(E1598="","",IFERROR(VLOOKUP(E1598,TabProd,5,FALSE),0)+SUMIFS($H$5:H1598,$E$5:E1598,E1598)-SUMIFS($I$5:I1598,$E$5:E1598,E1598))</f>
        <v/>
      </c>
      <c r="K1598" s="7"/>
      <c r="L1598" s="7"/>
      <c r="M1598" s="1" t="str">
        <f>IF(E1598="","",E1598&amp;"|"&amp;COUNTIF($E$5:E1598,E1598))</f>
        <v/>
      </c>
    </row>
    <row r="1599" spans="2:13" x14ac:dyDescent="0.2">
      <c r="B1599" s="10"/>
      <c r="C1599" s="7"/>
      <c r="D1599" s="11"/>
      <c r="E1599" s="6"/>
      <c r="F1599" s="12" t="str">
        <f t="shared" si="48"/>
        <v/>
      </c>
      <c r="G1599" s="13" t="str">
        <f t="shared" si="49"/>
        <v/>
      </c>
      <c r="H1599" s="9"/>
      <c r="I1599" s="9"/>
      <c r="J1599" s="14" t="str">
        <f>IF(E1599="","",IFERROR(VLOOKUP(E1599,TabProd,5,FALSE),0)+SUMIFS($H$5:H1599,$E$5:E1599,E1599)-SUMIFS($I$5:I1599,$E$5:E1599,E1599))</f>
        <v/>
      </c>
      <c r="K1599" s="7"/>
      <c r="L1599" s="7"/>
      <c r="M1599" s="1" t="str">
        <f>IF(E1599="","",E1599&amp;"|"&amp;COUNTIF($E$5:E1599,E1599))</f>
        <v/>
      </c>
    </row>
    <row r="1600" spans="2:13" x14ac:dyDescent="0.2">
      <c r="B1600" s="10"/>
      <c r="C1600" s="7"/>
      <c r="D1600" s="11"/>
      <c r="E1600" s="6"/>
      <c r="F1600" s="12" t="str">
        <f t="shared" si="48"/>
        <v/>
      </c>
      <c r="G1600" s="13" t="str">
        <f t="shared" si="49"/>
        <v/>
      </c>
      <c r="H1600" s="9"/>
      <c r="I1600" s="9"/>
      <c r="J1600" s="14" t="str">
        <f>IF(E1600="","",IFERROR(VLOOKUP(E1600,TabProd,5,FALSE),0)+SUMIFS($H$5:H1600,$E$5:E1600,E1600)-SUMIFS($I$5:I1600,$E$5:E1600,E1600))</f>
        <v/>
      </c>
      <c r="K1600" s="7"/>
      <c r="L1600" s="7"/>
      <c r="M1600" s="1" t="str">
        <f>IF(E1600="","",E1600&amp;"|"&amp;COUNTIF($E$5:E1600,E1600))</f>
        <v/>
      </c>
    </row>
    <row r="1601" spans="2:13" x14ac:dyDescent="0.2">
      <c r="B1601" s="10"/>
      <c r="C1601" s="7"/>
      <c r="D1601" s="11"/>
      <c r="E1601" s="6"/>
      <c r="F1601" s="12" t="str">
        <f t="shared" si="48"/>
        <v/>
      </c>
      <c r="G1601" s="13" t="str">
        <f t="shared" si="49"/>
        <v/>
      </c>
      <c r="H1601" s="9"/>
      <c r="I1601" s="9"/>
      <c r="J1601" s="14" t="str">
        <f>IF(E1601="","",IFERROR(VLOOKUP(E1601,TabProd,5,FALSE),0)+SUMIFS($H$5:H1601,$E$5:E1601,E1601)-SUMIFS($I$5:I1601,$E$5:E1601,E1601))</f>
        <v/>
      </c>
      <c r="K1601" s="7"/>
      <c r="L1601" s="7"/>
      <c r="M1601" s="1" t="str">
        <f>IF(E1601="","",E1601&amp;"|"&amp;COUNTIF($E$5:E1601,E1601))</f>
        <v/>
      </c>
    </row>
    <row r="1602" spans="2:13" x14ac:dyDescent="0.2">
      <c r="B1602" s="10"/>
      <c r="C1602" s="7"/>
      <c r="D1602" s="11"/>
      <c r="E1602" s="6"/>
      <c r="F1602" s="12" t="str">
        <f t="shared" si="48"/>
        <v/>
      </c>
      <c r="G1602" s="13" t="str">
        <f t="shared" si="49"/>
        <v/>
      </c>
      <c r="H1602" s="9"/>
      <c r="I1602" s="9"/>
      <c r="J1602" s="14" t="str">
        <f>IF(E1602="","",IFERROR(VLOOKUP(E1602,TabProd,5,FALSE),0)+SUMIFS($H$5:H1602,$E$5:E1602,E1602)-SUMIFS($I$5:I1602,$E$5:E1602,E1602))</f>
        <v/>
      </c>
      <c r="K1602" s="7"/>
      <c r="L1602" s="7"/>
      <c r="M1602" s="1" t="str">
        <f>IF(E1602="","",E1602&amp;"|"&amp;COUNTIF($E$5:E1602,E1602))</f>
        <v/>
      </c>
    </row>
    <row r="1603" spans="2:13" x14ac:dyDescent="0.2">
      <c r="B1603" s="10"/>
      <c r="C1603" s="7"/>
      <c r="D1603" s="11"/>
      <c r="E1603" s="6"/>
      <c r="F1603" s="12" t="str">
        <f t="shared" si="48"/>
        <v/>
      </c>
      <c r="G1603" s="13" t="str">
        <f t="shared" si="49"/>
        <v/>
      </c>
      <c r="H1603" s="9"/>
      <c r="I1603" s="9"/>
      <c r="J1603" s="14" t="str">
        <f>IF(E1603="","",IFERROR(VLOOKUP(E1603,TabProd,5,FALSE),0)+SUMIFS($H$5:H1603,$E$5:E1603,E1603)-SUMIFS($I$5:I1603,$E$5:E1603,E1603))</f>
        <v/>
      </c>
      <c r="K1603" s="7"/>
      <c r="L1603" s="7"/>
      <c r="M1603" s="1" t="str">
        <f>IF(E1603="","",E1603&amp;"|"&amp;COUNTIF($E$5:E1603,E1603))</f>
        <v/>
      </c>
    </row>
    <row r="1604" spans="2:13" x14ac:dyDescent="0.2">
      <c r="B1604" s="10"/>
      <c r="C1604" s="7"/>
      <c r="D1604" s="11"/>
      <c r="E1604" s="6"/>
      <c r="F1604" s="12" t="str">
        <f t="shared" si="48"/>
        <v/>
      </c>
      <c r="G1604" s="13" t="str">
        <f t="shared" si="49"/>
        <v/>
      </c>
      <c r="H1604" s="9"/>
      <c r="I1604" s="9"/>
      <c r="J1604" s="14" t="str">
        <f>IF(E1604="","",IFERROR(VLOOKUP(E1604,TabProd,5,FALSE),0)+SUMIFS($H$5:H1604,$E$5:E1604,E1604)-SUMIFS($I$5:I1604,$E$5:E1604,E1604))</f>
        <v/>
      </c>
      <c r="K1604" s="7"/>
      <c r="L1604" s="7"/>
      <c r="M1604" s="1" t="str">
        <f>IF(E1604="","",E1604&amp;"|"&amp;COUNTIF($E$5:E1604,E1604))</f>
        <v/>
      </c>
    </row>
    <row r="1605" spans="2:13" x14ac:dyDescent="0.2">
      <c r="B1605" s="10"/>
      <c r="C1605" s="7"/>
      <c r="D1605" s="11"/>
      <c r="E1605" s="6"/>
      <c r="F1605" s="12" t="str">
        <f t="shared" ref="F1605:F1668" si="50">IF(E1605="","",IFERROR(VLOOKUP(E1605,TabProd,2,FALSE),"Cod inexistent"))</f>
        <v/>
      </c>
      <c r="G1605" s="13" t="str">
        <f t="shared" ref="G1605:G1668" si="51">IF(E1605="","",IFERROR(VLOOKUP(E1605,TabProd,3,FALSE),""))</f>
        <v/>
      </c>
      <c r="H1605" s="9"/>
      <c r="I1605" s="9"/>
      <c r="J1605" s="14" t="str">
        <f>IF(E1605="","",IFERROR(VLOOKUP(E1605,TabProd,5,FALSE),0)+SUMIFS($H$5:H1605,$E$5:E1605,E1605)-SUMIFS($I$5:I1605,$E$5:E1605,E1605))</f>
        <v/>
      </c>
      <c r="K1605" s="7"/>
      <c r="L1605" s="7"/>
      <c r="M1605" s="1" t="str">
        <f>IF(E1605="","",E1605&amp;"|"&amp;COUNTIF($E$5:E1605,E1605))</f>
        <v/>
      </c>
    </row>
    <row r="1606" spans="2:13" x14ac:dyDescent="0.2">
      <c r="B1606" s="10"/>
      <c r="C1606" s="7"/>
      <c r="D1606" s="11"/>
      <c r="E1606" s="6"/>
      <c r="F1606" s="12" t="str">
        <f t="shared" si="50"/>
        <v/>
      </c>
      <c r="G1606" s="13" t="str">
        <f t="shared" si="51"/>
        <v/>
      </c>
      <c r="H1606" s="9"/>
      <c r="I1606" s="9"/>
      <c r="J1606" s="14" t="str">
        <f>IF(E1606="","",IFERROR(VLOOKUP(E1606,TabProd,5,FALSE),0)+SUMIFS($H$5:H1606,$E$5:E1606,E1606)-SUMIFS($I$5:I1606,$E$5:E1606,E1606))</f>
        <v/>
      </c>
      <c r="K1606" s="7"/>
      <c r="L1606" s="7"/>
      <c r="M1606" s="1" t="str">
        <f>IF(E1606="","",E1606&amp;"|"&amp;COUNTIF($E$5:E1606,E1606))</f>
        <v/>
      </c>
    </row>
    <row r="1607" spans="2:13" x14ac:dyDescent="0.2">
      <c r="B1607" s="10"/>
      <c r="C1607" s="7"/>
      <c r="D1607" s="11"/>
      <c r="E1607" s="6"/>
      <c r="F1607" s="12" t="str">
        <f t="shared" si="50"/>
        <v/>
      </c>
      <c r="G1607" s="13" t="str">
        <f t="shared" si="51"/>
        <v/>
      </c>
      <c r="H1607" s="9"/>
      <c r="I1607" s="9"/>
      <c r="J1607" s="14" t="str">
        <f>IF(E1607="","",IFERROR(VLOOKUP(E1607,TabProd,5,FALSE),0)+SUMIFS($H$5:H1607,$E$5:E1607,E1607)-SUMIFS($I$5:I1607,$E$5:E1607,E1607))</f>
        <v/>
      </c>
      <c r="K1607" s="7"/>
      <c r="L1607" s="7"/>
      <c r="M1607" s="1" t="str">
        <f>IF(E1607="","",E1607&amp;"|"&amp;COUNTIF($E$5:E1607,E1607))</f>
        <v/>
      </c>
    </row>
    <row r="1608" spans="2:13" x14ac:dyDescent="0.2">
      <c r="B1608" s="10"/>
      <c r="C1608" s="7"/>
      <c r="D1608" s="11"/>
      <c r="E1608" s="6"/>
      <c r="F1608" s="12" t="str">
        <f t="shared" si="50"/>
        <v/>
      </c>
      <c r="G1608" s="13" t="str">
        <f t="shared" si="51"/>
        <v/>
      </c>
      <c r="H1608" s="9"/>
      <c r="I1608" s="9"/>
      <c r="J1608" s="14" t="str">
        <f>IF(E1608="","",IFERROR(VLOOKUP(E1608,TabProd,5,FALSE),0)+SUMIFS($H$5:H1608,$E$5:E1608,E1608)-SUMIFS($I$5:I1608,$E$5:E1608,E1608))</f>
        <v/>
      </c>
      <c r="K1608" s="7"/>
      <c r="L1608" s="7"/>
      <c r="M1608" s="1" t="str">
        <f>IF(E1608="","",E1608&amp;"|"&amp;COUNTIF($E$5:E1608,E1608))</f>
        <v/>
      </c>
    </row>
    <row r="1609" spans="2:13" x14ac:dyDescent="0.2">
      <c r="B1609" s="10"/>
      <c r="C1609" s="7"/>
      <c r="D1609" s="11"/>
      <c r="E1609" s="6"/>
      <c r="F1609" s="12" t="str">
        <f t="shared" si="50"/>
        <v/>
      </c>
      <c r="G1609" s="13" t="str">
        <f t="shared" si="51"/>
        <v/>
      </c>
      <c r="H1609" s="9"/>
      <c r="I1609" s="9"/>
      <c r="J1609" s="14" t="str">
        <f>IF(E1609="","",IFERROR(VLOOKUP(E1609,TabProd,5,FALSE),0)+SUMIFS($H$5:H1609,$E$5:E1609,E1609)-SUMIFS($I$5:I1609,$E$5:E1609,E1609))</f>
        <v/>
      </c>
      <c r="K1609" s="7"/>
      <c r="L1609" s="7"/>
      <c r="M1609" s="1" t="str">
        <f>IF(E1609="","",E1609&amp;"|"&amp;COUNTIF($E$5:E1609,E1609))</f>
        <v/>
      </c>
    </row>
    <row r="1610" spans="2:13" x14ac:dyDescent="0.2">
      <c r="B1610" s="10"/>
      <c r="C1610" s="7"/>
      <c r="D1610" s="11"/>
      <c r="E1610" s="6"/>
      <c r="F1610" s="12" t="str">
        <f t="shared" si="50"/>
        <v/>
      </c>
      <c r="G1610" s="13" t="str">
        <f t="shared" si="51"/>
        <v/>
      </c>
      <c r="H1610" s="9"/>
      <c r="I1610" s="9"/>
      <c r="J1610" s="14" t="str">
        <f>IF(E1610="","",IFERROR(VLOOKUP(E1610,TabProd,5,FALSE),0)+SUMIFS($H$5:H1610,$E$5:E1610,E1610)-SUMIFS($I$5:I1610,$E$5:E1610,E1610))</f>
        <v/>
      </c>
      <c r="K1610" s="7"/>
      <c r="L1610" s="7"/>
      <c r="M1610" s="1" t="str">
        <f>IF(E1610="","",E1610&amp;"|"&amp;COUNTIF($E$5:E1610,E1610))</f>
        <v/>
      </c>
    </row>
    <row r="1611" spans="2:13" x14ac:dyDescent="0.2">
      <c r="B1611" s="10"/>
      <c r="C1611" s="7"/>
      <c r="D1611" s="11"/>
      <c r="E1611" s="6"/>
      <c r="F1611" s="12" t="str">
        <f t="shared" si="50"/>
        <v/>
      </c>
      <c r="G1611" s="13" t="str">
        <f t="shared" si="51"/>
        <v/>
      </c>
      <c r="H1611" s="9"/>
      <c r="I1611" s="9"/>
      <c r="J1611" s="14" t="str">
        <f>IF(E1611="","",IFERROR(VLOOKUP(E1611,TabProd,5,FALSE),0)+SUMIFS($H$5:H1611,$E$5:E1611,E1611)-SUMIFS($I$5:I1611,$E$5:E1611,E1611))</f>
        <v/>
      </c>
      <c r="K1611" s="7"/>
      <c r="L1611" s="7"/>
      <c r="M1611" s="1" t="str">
        <f>IF(E1611="","",E1611&amp;"|"&amp;COUNTIF($E$5:E1611,E1611))</f>
        <v/>
      </c>
    </row>
    <row r="1612" spans="2:13" x14ac:dyDescent="0.2">
      <c r="B1612" s="10"/>
      <c r="C1612" s="7"/>
      <c r="D1612" s="11"/>
      <c r="E1612" s="6"/>
      <c r="F1612" s="12" t="str">
        <f t="shared" si="50"/>
        <v/>
      </c>
      <c r="G1612" s="13" t="str">
        <f t="shared" si="51"/>
        <v/>
      </c>
      <c r="H1612" s="9"/>
      <c r="I1612" s="9"/>
      <c r="J1612" s="14" t="str">
        <f>IF(E1612="","",IFERROR(VLOOKUP(E1612,TabProd,5,FALSE),0)+SUMIFS($H$5:H1612,$E$5:E1612,E1612)-SUMIFS($I$5:I1612,$E$5:E1612,E1612))</f>
        <v/>
      </c>
      <c r="K1612" s="7"/>
      <c r="L1612" s="7"/>
      <c r="M1612" s="1" t="str">
        <f>IF(E1612="","",E1612&amp;"|"&amp;COUNTIF($E$5:E1612,E1612))</f>
        <v/>
      </c>
    </row>
    <row r="1613" spans="2:13" x14ac:dyDescent="0.2">
      <c r="B1613" s="10"/>
      <c r="C1613" s="7"/>
      <c r="D1613" s="11"/>
      <c r="E1613" s="6"/>
      <c r="F1613" s="12" t="str">
        <f t="shared" si="50"/>
        <v/>
      </c>
      <c r="G1613" s="13" t="str">
        <f t="shared" si="51"/>
        <v/>
      </c>
      <c r="H1613" s="9"/>
      <c r="I1613" s="9"/>
      <c r="J1613" s="14" t="str">
        <f>IF(E1613="","",IFERROR(VLOOKUP(E1613,TabProd,5,FALSE),0)+SUMIFS($H$5:H1613,$E$5:E1613,E1613)-SUMIFS($I$5:I1613,$E$5:E1613,E1613))</f>
        <v/>
      </c>
      <c r="K1613" s="7"/>
      <c r="L1613" s="7"/>
      <c r="M1613" s="1" t="str">
        <f>IF(E1613="","",E1613&amp;"|"&amp;COUNTIF($E$5:E1613,E1613))</f>
        <v/>
      </c>
    </row>
    <row r="1614" spans="2:13" x14ac:dyDescent="0.2">
      <c r="B1614" s="10"/>
      <c r="C1614" s="7"/>
      <c r="D1614" s="11"/>
      <c r="E1614" s="6"/>
      <c r="F1614" s="12" t="str">
        <f t="shared" si="50"/>
        <v/>
      </c>
      <c r="G1614" s="13" t="str">
        <f t="shared" si="51"/>
        <v/>
      </c>
      <c r="H1614" s="9"/>
      <c r="I1614" s="9"/>
      <c r="J1614" s="14" t="str">
        <f>IF(E1614="","",IFERROR(VLOOKUP(E1614,TabProd,5,FALSE),0)+SUMIFS($H$5:H1614,$E$5:E1614,E1614)-SUMIFS($I$5:I1614,$E$5:E1614,E1614))</f>
        <v/>
      </c>
      <c r="K1614" s="7"/>
      <c r="L1614" s="7"/>
      <c r="M1614" s="1" t="str">
        <f>IF(E1614="","",E1614&amp;"|"&amp;COUNTIF($E$5:E1614,E1614))</f>
        <v/>
      </c>
    </row>
    <row r="1615" spans="2:13" x14ac:dyDescent="0.2">
      <c r="B1615" s="10"/>
      <c r="C1615" s="7"/>
      <c r="D1615" s="11"/>
      <c r="E1615" s="6"/>
      <c r="F1615" s="12" t="str">
        <f t="shared" si="50"/>
        <v/>
      </c>
      <c r="G1615" s="13" t="str">
        <f t="shared" si="51"/>
        <v/>
      </c>
      <c r="H1615" s="9"/>
      <c r="I1615" s="9"/>
      <c r="J1615" s="14" t="str">
        <f>IF(E1615="","",IFERROR(VLOOKUP(E1615,TabProd,5,FALSE),0)+SUMIFS($H$5:H1615,$E$5:E1615,E1615)-SUMIFS($I$5:I1615,$E$5:E1615,E1615))</f>
        <v/>
      </c>
      <c r="K1615" s="7"/>
      <c r="L1615" s="7"/>
      <c r="M1615" s="1" t="str">
        <f>IF(E1615="","",E1615&amp;"|"&amp;COUNTIF($E$5:E1615,E1615))</f>
        <v/>
      </c>
    </row>
    <row r="1616" spans="2:13" x14ac:dyDescent="0.2">
      <c r="B1616" s="10"/>
      <c r="C1616" s="7"/>
      <c r="D1616" s="11"/>
      <c r="E1616" s="6"/>
      <c r="F1616" s="12" t="str">
        <f t="shared" si="50"/>
        <v/>
      </c>
      <c r="G1616" s="13" t="str">
        <f t="shared" si="51"/>
        <v/>
      </c>
      <c r="H1616" s="9"/>
      <c r="I1616" s="9"/>
      <c r="J1616" s="14" t="str">
        <f>IF(E1616="","",IFERROR(VLOOKUP(E1616,TabProd,5,FALSE),0)+SUMIFS($H$5:H1616,$E$5:E1616,E1616)-SUMIFS($I$5:I1616,$E$5:E1616,E1616))</f>
        <v/>
      </c>
      <c r="K1616" s="7"/>
      <c r="L1616" s="7"/>
      <c r="M1616" s="1" t="str">
        <f>IF(E1616="","",E1616&amp;"|"&amp;COUNTIF($E$5:E1616,E1616))</f>
        <v/>
      </c>
    </row>
    <row r="1617" spans="2:13" x14ac:dyDescent="0.2">
      <c r="B1617" s="10"/>
      <c r="C1617" s="7"/>
      <c r="D1617" s="11"/>
      <c r="E1617" s="6"/>
      <c r="F1617" s="12" t="str">
        <f t="shared" si="50"/>
        <v/>
      </c>
      <c r="G1617" s="13" t="str">
        <f t="shared" si="51"/>
        <v/>
      </c>
      <c r="H1617" s="9"/>
      <c r="I1617" s="9"/>
      <c r="J1617" s="14" t="str">
        <f>IF(E1617="","",IFERROR(VLOOKUP(E1617,TabProd,5,FALSE),0)+SUMIFS($H$5:H1617,$E$5:E1617,E1617)-SUMIFS($I$5:I1617,$E$5:E1617,E1617))</f>
        <v/>
      </c>
      <c r="K1617" s="7"/>
      <c r="L1617" s="7"/>
      <c r="M1617" s="1" t="str">
        <f>IF(E1617="","",E1617&amp;"|"&amp;COUNTIF($E$5:E1617,E1617))</f>
        <v/>
      </c>
    </row>
    <row r="1618" spans="2:13" x14ac:dyDescent="0.2">
      <c r="B1618" s="10"/>
      <c r="C1618" s="7"/>
      <c r="D1618" s="11"/>
      <c r="E1618" s="6"/>
      <c r="F1618" s="12" t="str">
        <f t="shared" si="50"/>
        <v/>
      </c>
      <c r="G1618" s="13" t="str">
        <f t="shared" si="51"/>
        <v/>
      </c>
      <c r="H1618" s="9"/>
      <c r="I1618" s="9"/>
      <c r="J1618" s="14" t="str">
        <f>IF(E1618="","",IFERROR(VLOOKUP(E1618,TabProd,5,FALSE),0)+SUMIFS($H$5:H1618,$E$5:E1618,E1618)-SUMIFS($I$5:I1618,$E$5:E1618,E1618))</f>
        <v/>
      </c>
      <c r="K1618" s="7"/>
      <c r="L1618" s="7"/>
      <c r="M1618" s="1" t="str">
        <f>IF(E1618="","",E1618&amp;"|"&amp;COUNTIF($E$5:E1618,E1618))</f>
        <v/>
      </c>
    </row>
    <row r="1619" spans="2:13" x14ac:dyDescent="0.2">
      <c r="B1619" s="10"/>
      <c r="C1619" s="7"/>
      <c r="D1619" s="11"/>
      <c r="E1619" s="6"/>
      <c r="F1619" s="12" t="str">
        <f t="shared" si="50"/>
        <v/>
      </c>
      <c r="G1619" s="13" t="str">
        <f t="shared" si="51"/>
        <v/>
      </c>
      <c r="H1619" s="9"/>
      <c r="I1619" s="9"/>
      <c r="J1619" s="14" t="str">
        <f>IF(E1619="","",IFERROR(VLOOKUP(E1619,TabProd,5,FALSE),0)+SUMIFS($H$5:H1619,$E$5:E1619,E1619)-SUMIFS($I$5:I1619,$E$5:E1619,E1619))</f>
        <v/>
      </c>
      <c r="K1619" s="7"/>
      <c r="L1619" s="7"/>
      <c r="M1619" s="1" t="str">
        <f>IF(E1619="","",E1619&amp;"|"&amp;COUNTIF($E$5:E1619,E1619))</f>
        <v/>
      </c>
    </row>
    <row r="1620" spans="2:13" x14ac:dyDescent="0.2">
      <c r="B1620" s="10"/>
      <c r="C1620" s="7"/>
      <c r="D1620" s="11"/>
      <c r="E1620" s="6"/>
      <c r="F1620" s="12" t="str">
        <f t="shared" si="50"/>
        <v/>
      </c>
      <c r="G1620" s="13" t="str">
        <f t="shared" si="51"/>
        <v/>
      </c>
      <c r="H1620" s="9"/>
      <c r="I1620" s="9"/>
      <c r="J1620" s="14" t="str">
        <f>IF(E1620="","",IFERROR(VLOOKUP(E1620,TabProd,5,FALSE),0)+SUMIFS($H$5:H1620,$E$5:E1620,E1620)-SUMIFS($I$5:I1620,$E$5:E1620,E1620))</f>
        <v/>
      </c>
      <c r="K1620" s="7"/>
      <c r="L1620" s="7"/>
      <c r="M1620" s="1" t="str">
        <f>IF(E1620="","",E1620&amp;"|"&amp;COUNTIF($E$5:E1620,E1620))</f>
        <v/>
      </c>
    </row>
    <row r="1621" spans="2:13" x14ac:dyDescent="0.2">
      <c r="B1621" s="10"/>
      <c r="C1621" s="7"/>
      <c r="D1621" s="11"/>
      <c r="E1621" s="6"/>
      <c r="F1621" s="12" t="str">
        <f t="shared" si="50"/>
        <v/>
      </c>
      <c r="G1621" s="13" t="str">
        <f t="shared" si="51"/>
        <v/>
      </c>
      <c r="H1621" s="9"/>
      <c r="I1621" s="9"/>
      <c r="J1621" s="14" t="str">
        <f>IF(E1621="","",IFERROR(VLOOKUP(E1621,TabProd,5,FALSE),0)+SUMIFS($H$5:H1621,$E$5:E1621,E1621)-SUMIFS($I$5:I1621,$E$5:E1621,E1621))</f>
        <v/>
      </c>
      <c r="K1621" s="7"/>
      <c r="L1621" s="7"/>
      <c r="M1621" s="1" t="str">
        <f>IF(E1621="","",E1621&amp;"|"&amp;COUNTIF($E$5:E1621,E1621))</f>
        <v/>
      </c>
    </row>
    <row r="1622" spans="2:13" x14ac:dyDescent="0.2">
      <c r="B1622" s="10"/>
      <c r="C1622" s="7"/>
      <c r="D1622" s="11"/>
      <c r="E1622" s="6"/>
      <c r="F1622" s="12" t="str">
        <f t="shared" si="50"/>
        <v/>
      </c>
      <c r="G1622" s="13" t="str">
        <f t="shared" si="51"/>
        <v/>
      </c>
      <c r="H1622" s="9"/>
      <c r="I1622" s="9"/>
      <c r="J1622" s="14" t="str">
        <f>IF(E1622="","",IFERROR(VLOOKUP(E1622,TabProd,5,FALSE),0)+SUMIFS($H$5:H1622,$E$5:E1622,E1622)-SUMIFS($I$5:I1622,$E$5:E1622,E1622))</f>
        <v/>
      </c>
      <c r="K1622" s="7"/>
      <c r="L1622" s="7"/>
      <c r="M1622" s="1" t="str">
        <f>IF(E1622="","",E1622&amp;"|"&amp;COUNTIF($E$5:E1622,E1622))</f>
        <v/>
      </c>
    </row>
    <row r="1623" spans="2:13" x14ac:dyDescent="0.2">
      <c r="B1623" s="10"/>
      <c r="C1623" s="7"/>
      <c r="D1623" s="11"/>
      <c r="E1623" s="6"/>
      <c r="F1623" s="12" t="str">
        <f t="shared" si="50"/>
        <v/>
      </c>
      <c r="G1623" s="13" t="str">
        <f t="shared" si="51"/>
        <v/>
      </c>
      <c r="H1623" s="9"/>
      <c r="I1623" s="9"/>
      <c r="J1623" s="14" t="str">
        <f>IF(E1623="","",IFERROR(VLOOKUP(E1623,TabProd,5,FALSE),0)+SUMIFS($H$5:H1623,$E$5:E1623,E1623)-SUMIFS($I$5:I1623,$E$5:E1623,E1623))</f>
        <v/>
      </c>
      <c r="K1623" s="7"/>
      <c r="L1623" s="7"/>
      <c r="M1623" s="1" t="str">
        <f>IF(E1623="","",E1623&amp;"|"&amp;COUNTIF($E$5:E1623,E1623))</f>
        <v/>
      </c>
    </row>
    <row r="1624" spans="2:13" x14ac:dyDescent="0.2">
      <c r="B1624" s="10"/>
      <c r="C1624" s="7"/>
      <c r="D1624" s="11"/>
      <c r="E1624" s="6"/>
      <c r="F1624" s="12" t="str">
        <f t="shared" si="50"/>
        <v/>
      </c>
      <c r="G1624" s="13" t="str">
        <f t="shared" si="51"/>
        <v/>
      </c>
      <c r="H1624" s="9"/>
      <c r="I1624" s="9"/>
      <c r="J1624" s="14" t="str">
        <f>IF(E1624="","",IFERROR(VLOOKUP(E1624,TabProd,5,FALSE),0)+SUMIFS($H$5:H1624,$E$5:E1624,E1624)-SUMIFS($I$5:I1624,$E$5:E1624,E1624))</f>
        <v/>
      </c>
      <c r="K1624" s="7"/>
      <c r="L1624" s="7"/>
      <c r="M1624" s="1" t="str">
        <f>IF(E1624="","",E1624&amp;"|"&amp;COUNTIF($E$5:E1624,E1624))</f>
        <v/>
      </c>
    </row>
    <row r="1625" spans="2:13" x14ac:dyDescent="0.2">
      <c r="B1625" s="10"/>
      <c r="C1625" s="7"/>
      <c r="D1625" s="11"/>
      <c r="E1625" s="6"/>
      <c r="F1625" s="12" t="str">
        <f t="shared" si="50"/>
        <v/>
      </c>
      <c r="G1625" s="13" t="str">
        <f t="shared" si="51"/>
        <v/>
      </c>
      <c r="H1625" s="9"/>
      <c r="I1625" s="9"/>
      <c r="J1625" s="14" t="str">
        <f>IF(E1625="","",IFERROR(VLOOKUP(E1625,TabProd,5,FALSE),0)+SUMIFS($H$5:H1625,$E$5:E1625,E1625)-SUMIFS($I$5:I1625,$E$5:E1625,E1625))</f>
        <v/>
      </c>
      <c r="K1625" s="7"/>
      <c r="L1625" s="7"/>
      <c r="M1625" s="1" t="str">
        <f>IF(E1625="","",E1625&amp;"|"&amp;COUNTIF($E$5:E1625,E1625))</f>
        <v/>
      </c>
    </row>
    <row r="1626" spans="2:13" x14ac:dyDescent="0.2">
      <c r="B1626" s="10"/>
      <c r="C1626" s="7"/>
      <c r="D1626" s="11"/>
      <c r="E1626" s="6"/>
      <c r="F1626" s="12" t="str">
        <f t="shared" si="50"/>
        <v/>
      </c>
      <c r="G1626" s="13" t="str">
        <f t="shared" si="51"/>
        <v/>
      </c>
      <c r="H1626" s="9"/>
      <c r="I1626" s="9"/>
      <c r="J1626" s="14" t="str">
        <f>IF(E1626="","",IFERROR(VLOOKUP(E1626,TabProd,5,FALSE),0)+SUMIFS($H$5:H1626,$E$5:E1626,E1626)-SUMIFS($I$5:I1626,$E$5:E1626,E1626))</f>
        <v/>
      </c>
      <c r="K1626" s="7"/>
      <c r="L1626" s="7"/>
      <c r="M1626" s="1" t="str">
        <f>IF(E1626="","",E1626&amp;"|"&amp;COUNTIF($E$5:E1626,E1626))</f>
        <v/>
      </c>
    </row>
    <row r="1627" spans="2:13" x14ac:dyDescent="0.2">
      <c r="B1627" s="10"/>
      <c r="C1627" s="7"/>
      <c r="D1627" s="11"/>
      <c r="E1627" s="6"/>
      <c r="F1627" s="12" t="str">
        <f t="shared" si="50"/>
        <v/>
      </c>
      <c r="G1627" s="13" t="str">
        <f t="shared" si="51"/>
        <v/>
      </c>
      <c r="H1627" s="9"/>
      <c r="I1627" s="9"/>
      <c r="J1627" s="14" t="str">
        <f>IF(E1627="","",IFERROR(VLOOKUP(E1627,TabProd,5,FALSE),0)+SUMIFS($H$5:H1627,$E$5:E1627,E1627)-SUMIFS($I$5:I1627,$E$5:E1627,E1627))</f>
        <v/>
      </c>
      <c r="K1627" s="7"/>
      <c r="L1627" s="7"/>
      <c r="M1627" s="1" t="str">
        <f>IF(E1627="","",E1627&amp;"|"&amp;COUNTIF($E$5:E1627,E1627))</f>
        <v/>
      </c>
    </row>
    <row r="1628" spans="2:13" x14ac:dyDescent="0.2">
      <c r="B1628" s="10"/>
      <c r="C1628" s="7"/>
      <c r="D1628" s="11"/>
      <c r="E1628" s="6"/>
      <c r="F1628" s="12" t="str">
        <f t="shared" si="50"/>
        <v/>
      </c>
      <c r="G1628" s="13" t="str">
        <f t="shared" si="51"/>
        <v/>
      </c>
      <c r="H1628" s="9"/>
      <c r="I1628" s="9"/>
      <c r="J1628" s="14" t="str">
        <f>IF(E1628="","",IFERROR(VLOOKUP(E1628,TabProd,5,FALSE),0)+SUMIFS($H$5:H1628,$E$5:E1628,E1628)-SUMIFS($I$5:I1628,$E$5:E1628,E1628))</f>
        <v/>
      </c>
      <c r="K1628" s="7"/>
      <c r="L1628" s="7"/>
      <c r="M1628" s="1" t="str">
        <f>IF(E1628="","",E1628&amp;"|"&amp;COUNTIF($E$5:E1628,E1628))</f>
        <v/>
      </c>
    </row>
    <row r="1629" spans="2:13" x14ac:dyDescent="0.2">
      <c r="B1629" s="10"/>
      <c r="C1629" s="7"/>
      <c r="D1629" s="11"/>
      <c r="E1629" s="6"/>
      <c r="F1629" s="12" t="str">
        <f t="shared" si="50"/>
        <v/>
      </c>
      <c r="G1629" s="13" t="str">
        <f t="shared" si="51"/>
        <v/>
      </c>
      <c r="H1629" s="9"/>
      <c r="I1629" s="9"/>
      <c r="J1629" s="14" t="str">
        <f>IF(E1629="","",IFERROR(VLOOKUP(E1629,TabProd,5,FALSE),0)+SUMIFS($H$5:H1629,$E$5:E1629,E1629)-SUMIFS($I$5:I1629,$E$5:E1629,E1629))</f>
        <v/>
      </c>
      <c r="K1629" s="7"/>
      <c r="L1629" s="7"/>
      <c r="M1629" s="1" t="str">
        <f>IF(E1629="","",E1629&amp;"|"&amp;COUNTIF($E$5:E1629,E1629))</f>
        <v/>
      </c>
    </row>
    <row r="1630" spans="2:13" x14ac:dyDescent="0.2">
      <c r="B1630" s="10"/>
      <c r="C1630" s="7"/>
      <c r="D1630" s="11"/>
      <c r="E1630" s="6"/>
      <c r="F1630" s="12" t="str">
        <f t="shared" si="50"/>
        <v/>
      </c>
      <c r="G1630" s="13" t="str">
        <f t="shared" si="51"/>
        <v/>
      </c>
      <c r="H1630" s="9"/>
      <c r="I1630" s="9"/>
      <c r="J1630" s="14" t="str">
        <f>IF(E1630="","",IFERROR(VLOOKUP(E1630,TabProd,5,FALSE),0)+SUMIFS($H$5:H1630,$E$5:E1630,E1630)-SUMIFS($I$5:I1630,$E$5:E1630,E1630))</f>
        <v/>
      </c>
      <c r="K1630" s="7"/>
      <c r="L1630" s="7"/>
      <c r="M1630" s="1" t="str">
        <f>IF(E1630="","",E1630&amp;"|"&amp;COUNTIF($E$5:E1630,E1630))</f>
        <v/>
      </c>
    </row>
    <row r="1631" spans="2:13" x14ac:dyDescent="0.2">
      <c r="B1631" s="10"/>
      <c r="C1631" s="7"/>
      <c r="D1631" s="11"/>
      <c r="E1631" s="6"/>
      <c r="F1631" s="12" t="str">
        <f t="shared" si="50"/>
        <v/>
      </c>
      <c r="G1631" s="13" t="str">
        <f t="shared" si="51"/>
        <v/>
      </c>
      <c r="H1631" s="9"/>
      <c r="I1631" s="9"/>
      <c r="J1631" s="14" t="str">
        <f>IF(E1631="","",IFERROR(VLOOKUP(E1631,TabProd,5,FALSE),0)+SUMIFS($H$5:H1631,$E$5:E1631,E1631)-SUMIFS($I$5:I1631,$E$5:E1631,E1631))</f>
        <v/>
      </c>
      <c r="K1631" s="7"/>
      <c r="L1631" s="7"/>
      <c r="M1631" s="1" t="str">
        <f>IF(E1631="","",E1631&amp;"|"&amp;COUNTIF($E$5:E1631,E1631))</f>
        <v/>
      </c>
    </row>
    <row r="1632" spans="2:13" x14ac:dyDescent="0.2">
      <c r="B1632" s="10"/>
      <c r="C1632" s="7"/>
      <c r="D1632" s="11"/>
      <c r="E1632" s="6"/>
      <c r="F1632" s="12" t="str">
        <f t="shared" si="50"/>
        <v/>
      </c>
      <c r="G1632" s="13" t="str">
        <f t="shared" si="51"/>
        <v/>
      </c>
      <c r="H1632" s="9"/>
      <c r="I1632" s="9"/>
      <c r="J1632" s="14" t="str">
        <f>IF(E1632="","",IFERROR(VLOOKUP(E1632,TabProd,5,FALSE),0)+SUMIFS($H$5:H1632,$E$5:E1632,E1632)-SUMIFS($I$5:I1632,$E$5:E1632,E1632))</f>
        <v/>
      </c>
      <c r="K1632" s="7"/>
      <c r="L1632" s="7"/>
      <c r="M1632" s="1" t="str">
        <f>IF(E1632="","",E1632&amp;"|"&amp;COUNTIF($E$5:E1632,E1632))</f>
        <v/>
      </c>
    </row>
    <row r="1633" spans="2:13" x14ac:dyDescent="0.2">
      <c r="B1633" s="10"/>
      <c r="C1633" s="7"/>
      <c r="D1633" s="11"/>
      <c r="E1633" s="6"/>
      <c r="F1633" s="12" t="str">
        <f t="shared" si="50"/>
        <v/>
      </c>
      <c r="G1633" s="13" t="str">
        <f t="shared" si="51"/>
        <v/>
      </c>
      <c r="H1633" s="9"/>
      <c r="I1633" s="9"/>
      <c r="J1633" s="14" t="str">
        <f>IF(E1633="","",IFERROR(VLOOKUP(E1633,TabProd,5,FALSE),0)+SUMIFS($H$5:H1633,$E$5:E1633,E1633)-SUMIFS($I$5:I1633,$E$5:E1633,E1633))</f>
        <v/>
      </c>
      <c r="K1633" s="7"/>
      <c r="L1633" s="7"/>
      <c r="M1633" s="1" t="str">
        <f>IF(E1633="","",E1633&amp;"|"&amp;COUNTIF($E$5:E1633,E1633))</f>
        <v/>
      </c>
    </row>
    <row r="1634" spans="2:13" x14ac:dyDescent="0.2">
      <c r="B1634" s="10"/>
      <c r="C1634" s="7"/>
      <c r="D1634" s="11"/>
      <c r="E1634" s="6"/>
      <c r="F1634" s="12" t="str">
        <f t="shared" si="50"/>
        <v/>
      </c>
      <c r="G1634" s="13" t="str">
        <f t="shared" si="51"/>
        <v/>
      </c>
      <c r="H1634" s="9"/>
      <c r="I1634" s="9"/>
      <c r="J1634" s="14" t="str">
        <f>IF(E1634="","",IFERROR(VLOOKUP(E1634,TabProd,5,FALSE),0)+SUMIFS($H$5:H1634,$E$5:E1634,E1634)-SUMIFS($I$5:I1634,$E$5:E1634,E1634))</f>
        <v/>
      </c>
      <c r="K1634" s="7"/>
      <c r="L1634" s="7"/>
      <c r="M1634" s="1" t="str">
        <f>IF(E1634="","",E1634&amp;"|"&amp;COUNTIF($E$5:E1634,E1634))</f>
        <v/>
      </c>
    </row>
    <row r="1635" spans="2:13" x14ac:dyDescent="0.2">
      <c r="B1635" s="10"/>
      <c r="C1635" s="7"/>
      <c r="D1635" s="11"/>
      <c r="E1635" s="6"/>
      <c r="F1635" s="12" t="str">
        <f t="shared" si="50"/>
        <v/>
      </c>
      <c r="G1635" s="13" t="str">
        <f t="shared" si="51"/>
        <v/>
      </c>
      <c r="H1635" s="9"/>
      <c r="I1635" s="9"/>
      <c r="J1635" s="14" t="str">
        <f>IF(E1635="","",IFERROR(VLOOKUP(E1635,TabProd,5,FALSE),0)+SUMIFS($H$5:H1635,$E$5:E1635,E1635)-SUMIFS($I$5:I1635,$E$5:E1635,E1635))</f>
        <v/>
      </c>
      <c r="K1635" s="7"/>
      <c r="L1635" s="7"/>
      <c r="M1635" s="1" t="str">
        <f>IF(E1635="","",E1635&amp;"|"&amp;COUNTIF($E$5:E1635,E1635))</f>
        <v/>
      </c>
    </row>
    <row r="1636" spans="2:13" x14ac:dyDescent="0.2">
      <c r="B1636" s="10"/>
      <c r="C1636" s="7"/>
      <c r="D1636" s="11"/>
      <c r="E1636" s="6"/>
      <c r="F1636" s="12" t="str">
        <f t="shared" si="50"/>
        <v/>
      </c>
      <c r="G1636" s="13" t="str">
        <f t="shared" si="51"/>
        <v/>
      </c>
      <c r="H1636" s="9"/>
      <c r="I1636" s="9"/>
      <c r="J1636" s="14" t="str">
        <f>IF(E1636="","",IFERROR(VLOOKUP(E1636,TabProd,5,FALSE),0)+SUMIFS($H$5:H1636,$E$5:E1636,E1636)-SUMIFS($I$5:I1636,$E$5:E1636,E1636))</f>
        <v/>
      </c>
      <c r="K1636" s="7"/>
      <c r="L1636" s="7"/>
      <c r="M1636" s="1" t="str">
        <f>IF(E1636="","",E1636&amp;"|"&amp;COUNTIF($E$5:E1636,E1636))</f>
        <v/>
      </c>
    </row>
    <row r="1637" spans="2:13" x14ac:dyDescent="0.2">
      <c r="B1637" s="10"/>
      <c r="C1637" s="7"/>
      <c r="D1637" s="11"/>
      <c r="E1637" s="6"/>
      <c r="F1637" s="12" t="str">
        <f t="shared" si="50"/>
        <v/>
      </c>
      <c r="G1637" s="13" t="str">
        <f t="shared" si="51"/>
        <v/>
      </c>
      <c r="H1637" s="9"/>
      <c r="I1637" s="9"/>
      <c r="J1637" s="14" t="str">
        <f>IF(E1637="","",IFERROR(VLOOKUP(E1637,TabProd,5,FALSE),0)+SUMIFS($H$5:H1637,$E$5:E1637,E1637)-SUMIFS($I$5:I1637,$E$5:E1637,E1637))</f>
        <v/>
      </c>
      <c r="K1637" s="7"/>
      <c r="L1637" s="7"/>
      <c r="M1637" s="1" t="str">
        <f>IF(E1637="","",E1637&amp;"|"&amp;COUNTIF($E$5:E1637,E1637))</f>
        <v/>
      </c>
    </row>
    <row r="1638" spans="2:13" x14ac:dyDescent="0.2">
      <c r="B1638" s="10"/>
      <c r="C1638" s="7"/>
      <c r="D1638" s="11"/>
      <c r="E1638" s="6"/>
      <c r="F1638" s="12" t="str">
        <f t="shared" si="50"/>
        <v/>
      </c>
      <c r="G1638" s="13" t="str">
        <f t="shared" si="51"/>
        <v/>
      </c>
      <c r="H1638" s="9"/>
      <c r="I1638" s="9"/>
      <c r="J1638" s="14" t="str">
        <f>IF(E1638="","",IFERROR(VLOOKUP(E1638,TabProd,5,FALSE),0)+SUMIFS($H$5:H1638,$E$5:E1638,E1638)-SUMIFS($I$5:I1638,$E$5:E1638,E1638))</f>
        <v/>
      </c>
      <c r="K1638" s="7"/>
      <c r="L1638" s="7"/>
      <c r="M1638" s="1" t="str">
        <f>IF(E1638="","",E1638&amp;"|"&amp;COUNTIF($E$5:E1638,E1638))</f>
        <v/>
      </c>
    </row>
    <row r="1639" spans="2:13" x14ac:dyDescent="0.2">
      <c r="B1639" s="10"/>
      <c r="C1639" s="7"/>
      <c r="D1639" s="11"/>
      <c r="E1639" s="6"/>
      <c r="F1639" s="12" t="str">
        <f t="shared" si="50"/>
        <v/>
      </c>
      <c r="G1639" s="13" t="str">
        <f t="shared" si="51"/>
        <v/>
      </c>
      <c r="H1639" s="9"/>
      <c r="I1639" s="9"/>
      <c r="J1639" s="14" t="str">
        <f>IF(E1639="","",IFERROR(VLOOKUP(E1639,TabProd,5,FALSE),0)+SUMIFS($H$5:H1639,$E$5:E1639,E1639)-SUMIFS($I$5:I1639,$E$5:E1639,E1639))</f>
        <v/>
      </c>
      <c r="K1639" s="7"/>
      <c r="L1639" s="7"/>
      <c r="M1639" s="1" t="str">
        <f>IF(E1639="","",E1639&amp;"|"&amp;COUNTIF($E$5:E1639,E1639))</f>
        <v/>
      </c>
    </row>
    <row r="1640" spans="2:13" x14ac:dyDescent="0.2">
      <c r="B1640" s="10"/>
      <c r="C1640" s="7"/>
      <c r="D1640" s="11"/>
      <c r="E1640" s="6"/>
      <c r="F1640" s="12" t="str">
        <f t="shared" si="50"/>
        <v/>
      </c>
      <c r="G1640" s="13" t="str">
        <f t="shared" si="51"/>
        <v/>
      </c>
      <c r="H1640" s="9"/>
      <c r="I1640" s="9"/>
      <c r="J1640" s="14" t="str">
        <f>IF(E1640="","",IFERROR(VLOOKUP(E1640,TabProd,5,FALSE),0)+SUMIFS($H$5:H1640,$E$5:E1640,E1640)-SUMIFS($I$5:I1640,$E$5:E1640,E1640))</f>
        <v/>
      </c>
      <c r="K1640" s="7"/>
      <c r="L1640" s="7"/>
      <c r="M1640" s="1" t="str">
        <f>IF(E1640="","",E1640&amp;"|"&amp;COUNTIF($E$5:E1640,E1640))</f>
        <v/>
      </c>
    </row>
    <row r="1641" spans="2:13" x14ac:dyDescent="0.2">
      <c r="B1641" s="10"/>
      <c r="C1641" s="7"/>
      <c r="D1641" s="11"/>
      <c r="E1641" s="6"/>
      <c r="F1641" s="12" t="str">
        <f t="shared" si="50"/>
        <v/>
      </c>
      <c r="G1641" s="13" t="str">
        <f t="shared" si="51"/>
        <v/>
      </c>
      <c r="H1641" s="9"/>
      <c r="I1641" s="9"/>
      <c r="J1641" s="14" t="str">
        <f>IF(E1641="","",IFERROR(VLOOKUP(E1641,TabProd,5,FALSE),0)+SUMIFS($H$5:H1641,$E$5:E1641,E1641)-SUMIFS($I$5:I1641,$E$5:E1641,E1641))</f>
        <v/>
      </c>
      <c r="K1641" s="7"/>
      <c r="L1641" s="7"/>
      <c r="M1641" s="1" t="str">
        <f>IF(E1641="","",E1641&amp;"|"&amp;COUNTIF($E$5:E1641,E1641))</f>
        <v/>
      </c>
    </row>
    <row r="1642" spans="2:13" x14ac:dyDescent="0.2">
      <c r="B1642" s="10"/>
      <c r="C1642" s="7"/>
      <c r="D1642" s="11"/>
      <c r="E1642" s="6"/>
      <c r="F1642" s="12" t="str">
        <f t="shared" si="50"/>
        <v/>
      </c>
      <c r="G1642" s="13" t="str">
        <f t="shared" si="51"/>
        <v/>
      </c>
      <c r="H1642" s="9"/>
      <c r="I1642" s="9"/>
      <c r="J1642" s="14" t="str">
        <f>IF(E1642="","",IFERROR(VLOOKUP(E1642,TabProd,5,FALSE),0)+SUMIFS($H$5:H1642,$E$5:E1642,E1642)-SUMIFS($I$5:I1642,$E$5:E1642,E1642))</f>
        <v/>
      </c>
      <c r="K1642" s="7"/>
      <c r="L1642" s="7"/>
      <c r="M1642" s="1" t="str">
        <f>IF(E1642="","",E1642&amp;"|"&amp;COUNTIF($E$5:E1642,E1642))</f>
        <v/>
      </c>
    </row>
    <row r="1643" spans="2:13" x14ac:dyDescent="0.2">
      <c r="B1643" s="10"/>
      <c r="C1643" s="7"/>
      <c r="D1643" s="11"/>
      <c r="E1643" s="6"/>
      <c r="F1643" s="12" t="str">
        <f t="shared" si="50"/>
        <v/>
      </c>
      <c r="G1643" s="13" t="str">
        <f t="shared" si="51"/>
        <v/>
      </c>
      <c r="H1643" s="9"/>
      <c r="I1643" s="9"/>
      <c r="J1643" s="14" t="str">
        <f>IF(E1643="","",IFERROR(VLOOKUP(E1643,TabProd,5,FALSE),0)+SUMIFS($H$5:H1643,$E$5:E1643,E1643)-SUMIFS($I$5:I1643,$E$5:E1643,E1643))</f>
        <v/>
      </c>
      <c r="K1643" s="7"/>
      <c r="L1643" s="7"/>
      <c r="M1643" s="1" t="str">
        <f>IF(E1643="","",E1643&amp;"|"&amp;COUNTIF($E$5:E1643,E1643))</f>
        <v/>
      </c>
    </row>
    <row r="1644" spans="2:13" x14ac:dyDescent="0.2">
      <c r="B1644" s="10"/>
      <c r="C1644" s="7"/>
      <c r="D1644" s="11"/>
      <c r="E1644" s="6"/>
      <c r="F1644" s="12" t="str">
        <f t="shared" si="50"/>
        <v/>
      </c>
      <c r="G1644" s="13" t="str">
        <f t="shared" si="51"/>
        <v/>
      </c>
      <c r="H1644" s="9"/>
      <c r="I1644" s="9"/>
      <c r="J1644" s="14" t="str">
        <f>IF(E1644="","",IFERROR(VLOOKUP(E1644,TabProd,5,FALSE),0)+SUMIFS($H$5:H1644,$E$5:E1644,E1644)-SUMIFS($I$5:I1644,$E$5:E1644,E1644))</f>
        <v/>
      </c>
      <c r="K1644" s="7"/>
      <c r="L1644" s="7"/>
      <c r="M1644" s="1" t="str">
        <f>IF(E1644="","",E1644&amp;"|"&amp;COUNTIF($E$5:E1644,E1644))</f>
        <v/>
      </c>
    </row>
    <row r="1645" spans="2:13" x14ac:dyDescent="0.2">
      <c r="B1645" s="10"/>
      <c r="C1645" s="7"/>
      <c r="D1645" s="11"/>
      <c r="E1645" s="6"/>
      <c r="F1645" s="12" t="str">
        <f t="shared" si="50"/>
        <v/>
      </c>
      <c r="G1645" s="13" t="str">
        <f t="shared" si="51"/>
        <v/>
      </c>
      <c r="H1645" s="9"/>
      <c r="I1645" s="9"/>
      <c r="J1645" s="14" t="str">
        <f>IF(E1645="","",IFERROR(VLOOKUP(E1645,TabProd,5,FALSE),0)+SUMIFS($H$5:H1645,$E$5:E1645,E1645)-SUMIFS($I$5:I1645,$E$5:E1645,E1645))</f>
        <v/>
      </c>
      <c r="K1645" s="7"/>
      <c r="L1645" s="7"/>
      <c r="M1645" s="1" t="str">
        <f>IF(E1645="","",E1645&amp;"|"&amp;COUNTIF($E$5:E1645,E1645))</f>
        <v/>
      </c>
    </row>
    <row r="1646" spans="2:13" x14ac:dyDescent="0.2">
      <c r="B1646" s="10"/>
      <c r="C1646" s="7"/>
      <c r="D1646" s="11"/>
      <c r="E1646" s="6"/>
      <c r="F1646" s="12" t="str">
        <f t="shared" si="50"/>
        <v/>
      </c>
      <c r="G1646" s="13" t="str">
        <f t="shared" si="51"/>
        <v/>
      </c>
      <c r="H1646" s="9"/>
      <c r="I1646" s="9"/>
      <c r="J1646" s="14" t="str">
        <f>IF(E1646="","",IFERROR(VLOOKUP(E1646,TabProd,5,FALSE),0)+SUMIFS($H$5:H1646,$E$5:E1646,E1646)-SUMIFS($I$5:I1646,$E$5:E1646,E1646))</f>
        <v/>
      </c>
      <c r="K1646" s="7"/>
      <c r="L1646" s="7"/>
      <c r="M1646" s="1" t="str">
        <f>IF(E1646="","",E1646&amp;"|"&amp;COUNTIF($E$5:E1646,E1646))</f>
        <v/>
      </c>
    </row>
    <row r="1647" spans="2:13" x14ac:dyDescent="0.2">
      <c r="B1647" s="10"/>
      <c r="C1647" s="7"/>
      <c r="D1647" s="11"/>
      <c r="E1647" s="6"/>
      <c r="F1647" s="12" t="str">
        <f t="shared" si="50"/>
        <v/>
      </c>
      <c r="G1647" s="13" t="str">
        <f t="shared" si="51"/>
        <v/>
      </c>
      <c r="H1647" s="9"/>
      <c r="I1647" s="9"/>
      <c r="J1647" s="14" t="str">
        <f>IF(E1647="","",IFERROR(VLOOKUP(E1647,TabProd,5,FALSE),0)+SUMIFS($H$5:H1647,$E$5:E1647,E1647)-SUMIFS($I$5:I1647,$E$5:E1647,E1647))</f>
        <v/>
      </c>
      <c r="K1647" s="7"/>
      <c r="L1647" s="7"/>
      <c r="M1647" s="1" t="str">
        <f>IF(E1647="","",E1647&amp;"|"&amp;COUNTIF($E$5:E1647,E1647))</f>
        <v/>
      </c>
    </row>
    <row r="1648" spans="2:13" x14ac:dyDescent="0.2">
      <c r="B1648" s="10"/>
      <c r="C1648" s="7"/>
      <c r="D1648" s="11"/>
      <c r="E1648" s="6"/>
      <c r="F1648" s="12" t="str">
        <f t="shared" si="50"/>
        <v/>
      </c>
      <c r="G1648" s="13" t="str">
        <f t="shared" si="51"/>
        <v/>
      </c>
      <c r="H1648" s="9"/>
      <c r="I1648" s="9"/>
      <c r="J1648" s="14" t="str">
        <f>IF(E1648="","",IFERROR(VLOOKUP(E1648,TabProd,5,FALSE),0)+SUMIFS($H$5:H1648,$E$5:E1648,E1648)-SUMIFS($I$5:I1648,$E$5:E1648,E1648))</f>
        <v/>
      </c>
      <c r="K1648" s="7"/>
      <c r="L1648" s="7"/>
      <c r="M1648" s="1" t="str">
        <f>IF(E1648="","",E1648&amp;"|"&amp;COUNTIF($E$5:E1648,E1648))</f>
        <v/>
      </c>
    </row>
    <row r="1649" spans="2:13" x14ac:dyDescent="0.2">
      <c r="B1649" s="10"/>
      <c r="C1649" s="7"/>
      <c r="D1649" s="11"/>
      <c r="E1649" s="6"/>
      <c r="F1649" s="12" t="str">
        <f t="shared" si="50"/>
        <v/>
      </c>
      <c r="G1649" s="13" t="str">
        <f t="shared" si="51"/>
        <v/>
      </c>
      <c r="H1649" s="9"/>
      <c r="I1649" s="9"/>
      <c r="J1649" s="14" t="str">
        <f>IF(E1649="","",IFERROR(VLOOKUP(E1649,TabProd,5,FALSE),0)+SUMIFS($H$5:H1649,$E$5:E1649,E1649)-SUMIFS($I$5:I1649,$E$5:E1649,E1649))</f>
        <v/>
      </c>
      <c r="K1649" s="7"/>
      <c r="L1649" s="7"/>
      <c r="M1649" s="1" t="str">
        <f>IF(E1649="","",E1649&amp;"|"&amp;COUNTIF($E$5:E1649,E1649))</f>
        <v/>
      </c>
    </row>
    <row r="1650" spans="2:13" x14ac:dyDescent="0.2">
      <c r="B1650" s="10"/>
      <c r="C1650" s="7"/>
      <c r="D1650" s="11"/>
      <c r="E1650" s="6"/>
      <c r="F1650" s="12" t="str">
        <f t="shared" si="50"/>
        <v/>
      </c>
      <c r="G1650" s="13" t="str">
        <f t="shared" si="51"/>
        <v/>
      </c>
      <c r="H1650" s="9"/>
      <c r="I1650" s="9"/>
      <c r="J1650" s="14" t="str">
        <f>IF(E1650="","",IFERROR(VLOOKUP(E1650,TabProd,5,FALSE),0)+SUMIFS($H$5:H1650,$E$5:E1650,E1650)-SUMIFS($I$5:I1650,$E$5:E1650,E1650))</f>
        <v/>
      </c>
      <c r="K1650" s="7"/>
      <c r="L1650" s="7"/>
      <c r="M1650" s="1" t="str">
        <f>IF(E1650="","",E1650&amp;"|"&amp;COUNTIF($E$5:E1650,E1650))</f>
        <v/>
      </c>
    </row>
    <row r="1651" spans="2:13" x14ac:dyDescent="0.2">
      <c r="B1651" s="10"/>
      <c r="C1651" s="7"/>
      <c r="D1651" s="11"/>
      <c r="E1651" s="6"/>
      <c r="F1651" s="12" t="str">
        <f t="shared" si="50"/>
        <v/>
      </c>
      <c r="G1651" s="13" t="str">
        <f t="shared" si="51"/>
        <v/>
      </c>
      <c r="H1651" s="9"/>
      <c r="I1651" s="9"/>
      <c r="J1651" s="14" t="str">
        <f>IF(E1651="","",IFERROR(VLOOKUP(E1651,TabProd,5,FALSE),0)+SUMIFS($H$5:H1651,$E$5:E1651,E1651)-SUMIFS($I$5:I1651,$E$5:E1651,E1651))</f>
        <v/>
      </c>
      <c r="K1651" s="7"/>
      <c r="L1651" s="7"/>
      <c r="M1651" s="1" t="str">
        <f>IF(E1651="","",E1651&amp;"|"&amp;COUNTIF($E$5:E1651,E1651))</f>
        <v/>
      </c>
    </row>
    <row r="1652" spans="2:13" x14ac:dyDescent="0.2">
      <c r="B1652" s="10"/>
      <c r="C1652" s="7"/>
      <c r="D1652" s="11"/>
      <c r="E1652" s="6"/>
      <c r="F1652" s="12" t="str">
        <f t="shared" si="50"/>
        <v/>
      </c>
      <c r="G1652" s="13" t="str">
        <f t="shared" si="51"/>
        <v/>
      </c>
      <c r="H1652" s="9"/>
      <c r="I1652" s="9"/>
      <c r="J1652" s="14" t="str">
        <f>IF(E1652="","",IFERROR(VLOOKUP(E1652,TabProd,5,FALSE),0)+SUMIFS($H$5:H1652,$E$5:E1652,E1652)-SUMIFS($I$5:I1652,$E$5:E1652,E1652))</f>
        <v/>
      </c>
      <c r="K1652" s="7"/>
      <c r="L1652" s="7"/>
      <c r="M1652" s="1" t="str">
        <f>IF(E1652="","",E1652&amp;"|"&amp;COUNTIF($E$5:E1652,E1652))</f>
        <v/>
      </c>
    </row>
    <row r="1653" spans="2:13" x14ac:dyDescent="0.2">
      <c r="B1653" s="10"/>
      <c r="C1653" s="7"/>
      <c r="D1653" s="11"/>
      <c r="E1653" s="6"/>
      <c r="F1653" s="12" t="str">
        <f t="shared" si="50"/>
        <v/>
      </c>
      <c r="G1653" s="13" t="str">
        <f t="shared" si="51"/>
        <v/>
      </c>
      <c r="H1653" s="9"/>
      <c r="I1653" s="9"/>
      <c r="J1653" s="14" t="str">
        <f>IF(E1653="","",IFERROR(VLOOKUP(E1653,TabProd,5,FALSE),0)+SUMIFS($H$5:H1653,$E$5:E1653,E1653)-SUMIFS($I$5:I1653,$E$5:E1653,E1653))</f>
        <v/>
      </c>
      <c r="K1653" s="7"/>
      <c r="L1653" s="7"/>
      <c r="M1653" s="1" t="str">
        <f>IF(E1653="","",E1653&amp;"|"&amp;COUNTIF($E$5:E1653,E1653))</f>
        <v/>
      </c>
    </row>
    <row r="1654" spans="2:13" x14ac:dyDescent="0.2">
      <c r="B1654" s="10"/>
      <c r="C1654" s="7"/>
      <c r="D1654" s="11"/>
      <c r="E1654" s="6"/>
      <c r="F1654" s="12" t="str">
        <f t="shared" si="50"/>
        <v/>
      </c>
      <c r="G1654" s="13" t="str">
        <f t="shared" si="51"/>
        <v/>
      </c>
      <c r="H1654" s="9"/>
      <c r="I1654" s="9"/>
      <c r="J1654" s="14" t="str">
        <f>IF(E1654="","",IFERROR(VLOOKUP(E1654,TabProd,5,FALSE),0)+SUMIFS($H$5:H1654,$E$5:E1654,E1654)-SUMIFS($I$5:I1654,$E$5:E1654,E1654))</f>
        <v/>
      </c>
      <c r="K1654" s="7"/>
      <c r="L1654" s="7"/>
      <c r="M1654" s="1" t="str">
        <f>IF(E1654="","",E1654&amp;"|"&amp;COUNTIF($E$5:E1654,E1654))</f>
        <v/>
      </c>
    </row>
    <row r="1655" spans="2:13" x14ac:dyDescent="0.2">
      <c r="B1655" s="10"/>
      <c r="C1655" s="7"/>
      <c r="D1655" s="11"/>
      <c r="E1655" s="6"/>
      <c r="F1655" s="12" t="str">
        <f t="shared" si="50"/>
        <v/>
      </c>
      <c r="G1655" s="13" t="str">
        <f t="shared" si="51"/>
        <v/>
      </c>
      <c r="H1655" s="9"/>
      <c r="I1655" s="9"/>
      <c r="J1655" s="14" t="str">
        <f>IF(E1655="","",IFERROR(VLOOKUP(E1655,TabProd,5,FALSE),0)+SUMIFS($H$5:H1655,$E$5:E1655,E1655)-SUMIFS($I$5:I1655,$E$5:E1655,E1655))</f>
        <v/>
      </c>
      <c r="K1655" s="7"/>
      <c r="L1655" s="7"/>
      <c r="M1655" s="1" t="str">
        <f>IF(E1655="","",E1655&amp;"|"&amp;COUNTIF($E$5:E1655,E1655))</f>
        <v/>
      </c>
    </row>
    <row r="1656" spans="2:13" x14ac:dyDescent="0.2">
      <c r="B1656" s="10"/>
      <c r="C1656" s="7"/>
      <c r="D1656" s="11"/>
      <c r="E1656" s="6"/>
      <c r="F1656" s="12" t="str">
        <f t="shared" si="50"/>
        <v/>
      </c>
      <c r="G1656" s="13" t="str">
        <f t="shared" si="51"/>
        <v/>
      </c>
      <c r="H1656" s="9"/>
      <c r="I1656" s="9"/>
      <c r="J1656" s="14" t="str">
        <f>IF(E1656="","",IFERROR(VLOOKUP(E1656,TabProd,5,FALSE),0)+SUMIFS($H$5:H1656,$E$5:E1656,E1656)-SUMIFS($I$5:I1656,$E$5:E1656,E1656))</f>
        <v/>
      </c>
      <c r="K1656" s="7"/>
      <c r="L1656" s="7"/>
      <c r="M1656" s="1" t="str">
        <f>IF(E1656="","",E1656&amp;"|"&amp;COUNTIF($E$5:E1656,E1656))</f>
        <v/>
      </c>
    </row>
    <row r="1657" spans="2:13" x14ac:dyDescent="0.2">
      <c r="B1657" s="10"/>
      <c r="C1657" s="7"/>
      <c r="D1657" s="11"/>
      <c r="E1657" s="6"/>
      <c r="F1657" s="12" t="str">
        <f t="shared" si="50"/>
        <v/>
      </c>
      <c r="G1657" s="13" t="str">
        <f t="shared" si="51"/>
        <v/>
      </c>
      <c r="H1657" s="9"/>
      <c r="I1657" s="9"/>
      <c r="J1657" s="14" t="str">
        <f>IF(E1657="","",IFERROR(VLOOKUP(E1657,TabProd,5,FALSE),0)+SUMIFS($H$5:H1657,$E$5:E1657,E1657)-SUMIFS($I$5:I1657,$E$5:E1657,E1657))</f>
        <v/>
      </c>
      <c r="K1657" s="7"/>
      <c r="L1657" s="7"/>
      <c r="M1657" s="1" t="str">
        <f>IF(E1657="","",E1657&amp;"|"&amp;COUNTIF($E$5:E1657,E1657))</f>
        <v/>
      </c>
    </row>
    <row r="1658" spans="2:13" x14ac:dyDescent="0.2">
      <c r="B1658" s="10"/>
      <c r="C1658" s="7"/>
      <c r="D1658" s="11"/>
      <c r="E1658" s="6"/>
      <c r="F1658" s="12" t="str">
        <f t="shared" si="50"/>
        <v/>
      </c>
      <c r="G1658" s="13" t="str">
        <f t="shared" si="51"/>
        <v/>
      </c>
      <c r="H1658" s="9"/>
      <c r="I1658" s="9"/>
      <c r="J1658" s="14" t="str">
        <f>IF(E1658="","",IFERROR(VLOOKUP(E1658,TabProd,5,FALSE),0)+SUMIFS($H$5:H1658,$E$5:E1658,E1658)-SUMIFS($I$5:I1658,$E$5:E1658,E1658))</f>
        <v/>
      </c>
      <c r="K1658" s="7"/>
      <c r="L1658" s="7"/>
      <c r="M1658" s="1" t="str">
        <f>IF(E1658="","",E1658&amp;"|"&amp;COUNTIF($E$5:E1658,E1658))</f>
        <v/>
      </c>
    </row>
    <row r="1659" spans="2:13" x14ac:dyDescent="0.2">
      <c r="B1659" s="10"/>
      <c r="C1659" s="7"/>
      <c r="D1659" s="11"/>
      <c r="E1659" s="6"/>
      <c r="F1659" s="12" t="str">
        <f t="shared" si="50"/>
        <v/>
      </c>
      <c r="G1659" s="13" t="str">
        <f t="shared" si="51"/>
        <v/>
      </c>
      <c r="H1659" s="9"/>
      <c r="I1659" s="9"/>
      <c r="J1659" s="14" t="str">
        <f>IF(E1659="","",IFERROR(VLOOKUP(E1659,TabProd,5,FALSE),0)+SUMIFS($H$5:H1659,$E$5:E1659,E1659)-SUMIFS($I$5:I1659,$E$5:E1659,E1659))</f>
        <v/>
      </c>
      <c r="K1659" s="7"/>
      <c r="L1659" s="7"/>
      <c r="M1659" s="1" t="str">
        <f>IF(E1659="","",E1659&amp;"|"&amp;COUNTIF($E$5:E1659,E1659))</f>
        <v/>
      </c>
    </row>
    <row r="1660" spans="2:13" x14ac:dyDescent="0.2">
      <c r="B1660" s="10"/>
      <c r="C1660" s="7"/>
      <c r="D1660" s="11"/>
      <c r="E1660" s="6"/>
      <c r="F1660" s="12" t="str">
        <f t="shared" si="50"/>
        <v/>
      </c>
      <c r="G1660" s="13" t="str">
        <f t="shared" si="51"/>
        <v/>
      </c>
      <c r="H1660" s="9"/>
      <c r="I1660" s="9"/>
      <c r="J1660" s="14" t="str">
        <f>IF(E1660="","",IFERROR(VLOOKUP(E1660,TabProd,5,FALSE),0)+SUMIFS($H$5:H1660,$E$5:E1660,E1660)-SUMIFS($I$5:I1660,$E$5:E1660,E1660))</f>
        <v/>
      </c>
      <c r="K1660" s="7"/>
      <c r="L1660" s="7"/>
      <c r="M1660" s="1" t="str">
        <f>IF(E1660="","",E1660&amp;"|"&amp;COUNTIF($E$5:E1660,E1660))</f>
        <v/>
      </c>
    </row>
    <row r="1661" spans="2:13" x14ac:dyDescent="0.2">
      <c r="B1661" s="10"/>
      <c r="C1661" s="7"/>
      <c r="D1661" s="11"/>
      <c r="E1661" s="6"/>
      <c r="F1661" s="12" t="str">
        <f t="shared" si="50"/>
        <v/>
      </c>
      <c r="G1661" s="13" t="str">
        <f t="shared" si="51"/>
        <v/>
      </c>
      <c r="H1661" s="9"/>
      <c r="I1661" s="9"/>
      <c r="J1661" s="14" t="str">
        <f>IF(E1661="","",IFERROR(VLOOKUP(E1661,TabProd,5,FALSE),0)+SUMIFS($H$5:H1661,$E$5:E1661,E1661)-SUMIFS($I$5:I1661,$E$5:E1661,E1661))</f>
        <v/>
      </c>
      <c r="K1661" s="7"/>
      <c r="L1661" s="7"/>
      <c r="M1661" s="1" t="str">
        <f>IF(E1661="","",E1661&amp;"|"&amp;COUNTIF($E$5:E1661,E1661))</f>
        <v/>
      </c>
    </row>
    <row r="1662" spans="2:13" x14ac:dyDescent="0.2">
      <c r="B1662" s="10"/>
      <c r="C1662" s="7"/>
      <c r="D1662" s="11"/>
      <c r="E1662" s="6"/>
      <c r="F1662" s="12" t="str">
        <f t="shared" si="50"/>
        <v/>
      </c>
      <c r="G1662" s="13" t="str">
        <f t="shared" si="51"/>
        <v/>
      </c>
      <c r="H1662" s="9"/>
      <c r="I1662" s="9"/>
      <c r="J1662" s="14" t="str">
        <f>IF(E1662="","",IFERROR(VLOOKUP(E1662,TabProd,5,FALSE),0)+SUMIFS($H$5:H1662,$E$5:E1662,E1662)-SUMIFS($I$5:I1662,$E$5:E1662,E1662))</f>
        <v/>
      </c>
      <c r="K1662" s="7"/>
      <c r="L1662" s="7"/>
      <c r="M1662" s="1" t="str">
        <f>IF(E1662="","",E1662&amp;"|"&amp;COUNTIF($E$5:E1662,E1662))</f>
        <v/>
      </c>
    </row>
    <row r="1663" spans="2:13" x14ac:dyDescent="0.2">
      <c r="B1663" s="10"/>
      <c r="C1663" s="7"/>
      <c r="D1663" s="11"/>
      <c r="E1663" s="6"/>
      <c r="F1663" s="12" t="str">
        <f t="shared" si="50"/>
        <v/>
      </c>
      <c r="G1663" s="13" t="str">
        <f t="shared" si="51"/>
        <v/>
      </c>
      <c r="H1663" s="9"/>
      <c r="I1663" s="9"/>
      <c r="J1663" s="14" t="str">
        <f>IF(E1663="","",IFERROR(VLOOKUP(E1663,TabProd,5,FALSE),0)+SUMIFS($H$5:H1663,$E$5:E1663,E1663)-SUMIFS($I$5:I1663,$E$5:E1663,E1663))</f>
        <v/>
      </c>
      <c r="K1663" s="7"/>
      <c r="L1663" s="7"/>
      <c r="M1663" s="1" t="str">
        <f>IF(E1663="","",E1663&amp;"|"&amp;COUNTIF($E$5:E1663,E1663))</f>
        <v/>
      </c>
    </row>
    <row r="1664" spans="2:13" x14ac:dyDescent="0.2">
      <c r="B1664" s="10"/>
      <c r="C1664" s="7"/>
      <c r="D1664" s="11"/>
      <c r="E1664" s="6"/>
      <c r="F1664" s="12" t="str">
        <f t="shared" si="50"/>
        <v/>
      </c>
      <c r="G1664" s="13" t="str">
        <f t="shared" si="51"/>
        <v/>
      </c>
      <c r="H1664" s="9"/>
      <c r="I1664" s="9"/>
      <c r="J1664" s="14" t="str">
        <f>IF(E1664="","",IFERROR(VLOOKUP(E1664,TabProd,5,FALSE),0)+SUMIFS($H$5:H1664,$E$5:E1664,E1664)-SUMIFS($I$5:I1664,$E$5:E1664,E1664))</f>
        <v/>
      </c>
      <c r="K1664" s="7"/>
      <c r="L1664" s="7"/>
      <c r="M1664" s="1" t="str">
        <f>IF(E1664="","",E1664&amp;"|"&amp;COUNTIF($E$5:E1664,E1664))</f>
        <v/>
      </c>
    </row>
    <row r="1665" spans="2:13" x14ac:dyDescent="0.2">
      <c r="B1665" s="10"/>
      <c r="C1665" s="7"/>
      <c r="D1665" s="11"/>
      <c r="E1665" s="6"/>
      <c r="F1665" s="12" t="str">
        <f t="shared" si="50"/>
        <v/>
      </c>
      <c r="G1665" s="13" t="str">
        <f t="shared" si="51"/>
        <v/>
      </c>
      <c r="H1665" s="9"/>
      <c r="I1665" s="9"/>
      <c r="J1665" s="14" t="str">
        <f>IF(E1665="","",IFERROR(VLOOKUP(E1665,TabProd,5,FALSE),0)+SUMIFS($H$5:H1665,$E$5:E1665,E1665)-SUMIFS($I$5:I1665,$E$5:E1665,E1665))</f>
        <v/>
      </c>
      <c r="K1665" s="7"/>
      <c r="L1665" s="7"/>
      <c r="M1665" s="1" t="str">
        <f>IF(E1665="","",E1665&amp;"|"&amp;COUNTIF($E$5:E1665,E1665))</f>
        <v/>
      </c>
    </row>
    <row r="1666" spans="2:13" x14ac:dyDescent="0.2">
      <c r="B1666" s="10"/>
      <c r="C1666" s="7"/>
      <c r="D1666" s="11"/>
      <c r="E1666" s="6"/>
      <c r="F1666" s="12" t="str">
        <f t="shared" si="50"/>
        <v/>
      </c>
      <c r="G1666" s="13" t="str">
        <f t="shared" si="51"/>
        <v/>
      </c>
      <c r="H1666" s="9"/>
      <c r="I1666" s="9"/>
      <c r="J1666" s="14" t="str">
        <f>IF(E1666="","",IFERROR(VLOOKUP(E1666,TabProd,5,FALSE),0)+SUMIFS($H$5:H1666,$E$5:E1666,E1666)-SUMIFS($I$5:I1666,$E$5:E1666,E1666))</f>
        <v/>
      </c>
      <c r="K1666" s="7"/>
      <c r="L1666" s="7"/>
      <c r="M1666" s="1" t="str">
        <f>IF(E1666="","",E1666&amp;"|"&amp;COUNTIF($E$5:E1666,E1666))</f>
        <v/>
      </c>
    </row>
    <row r="1667" spans="2:13" x14ac:dyDescent="0.2">
      <c r="B1667" s="10"/>
      <c r="C1667" s="7"/>
      <c r="D1667" s="11"/>
      <c r="E1667" s="6"/>
      <c r="F1667" s="12" t="str">
        <f t="shared" si="50"/>
        <v/>
      </c>
      <c r="G1667" s="13" t="str">
        <f t="shared" si="51"/>
        <v/>
      </c>
      <c r="H1667" s="9"/>
      <c r="I1667" s="9"/>
      <c r="J1667" s="14" t="str">
        <f>IF(E1667="","",IFERROR(VLOOKUP(E1667,TabProd,5,FALSE),0)+SUMIFS($H$5:H1667,$E$5:E1667,E1667)-SUMIFS($I$5:I1667,$E$5:E1667,E1667))</f>
        <v/>
      </c>
      <c r="K1667" s="7"/>
      <c r="L1667" s="7"/>
      <c r="M1667" s="1" t="str">
        <f>IF(E1667="","",E1667&amp;"|"&amp;COUNTIF($E$5:E1667,E1667))</f>
        <v/>
      </c>
    </row>
    <row r="1668" spans="2:13" x14ac:dyDescent="0.2">
      <c r="B1668" s="10"/>
      <c r="C1668" s="7"/>
      <c r="D1668" s="11"/>
      <c r="E1668" s="6"/>
      <c r="F1668" s="12" t="str">
        <f t="shared" si="50"/>
        <v/>
      </c>
      <c r="G1668" s="13" t="str">
        <f t="shared" si="51"/>
        <v/>
      </c>
      <c r="H1668" s="9"/>
      <c r="I1668" s="9"/>
      <c r="J1668" s="14" t="str">
        <f>IF(E1668="","",IFERROR(VLOOKUP(E1668,TabProd,5,FALSE),0)+SUMIFS($H$5:H1668,$E$5:E1668,E1668)-SUMIFS($I$5:I1668,$E$5:E1668,E1668))</f>
        <v/>
      </c>
      <c r="K1668" s="7"/>
      <c r="L1668" s="7"/>
      <c r="M1668" s="1" t="str">
        <f>IF(E1668="","",E1668&amp;"|"&amp;COUNTIF($E$5:E1668,E1668))</f>
        <v/>
      </c>
    </row>
    <row r="1669" spans="2:13" x14ac:dyDescent="0.2">
      <c r="B1669" s="10"/>
      <c r="C1669" s="7"/>
      <c r="D1669" s="11"/>
      <c r="E1669" s="6"/>
      <c r="F1669" s="12" t="str">
        <f t="shared" ref="F1669:F1732" si="52">IF(E1669="","",IFERROR(VLOOKUP(E1669,TabProd,2,FALSE),"Cod inexistent"))</f>
        <v/>
      </c>
      <c r="G1669" s="13" t="str">
        <f t="shared" ref="G1669:G1732" si="53">IF(E1669="","",IFERROR(VLOOKUP(E1669,TabProd,3,FALSE),""))</f>
        <v/>
      </c>
      <c r="H1669" s="9"/>
      <c r="I1669" s="9"/>
      <c r="J1669" s="14" t="str">
        <f>IF(E1669="","",IFERROR(VLOOKUP(E1669,TabProd,5,FALSE),0)+SUMIFS($H$5:H1669,$E$5:E1669,E1669)-SUMIFS($I$5:I1669,$E$5:E1669,E1669))</f>
        <v/>
      </c>
      <c r="K1669" s="7"/>
      <c r="L1669" s="7"/>
      <c r="M1669" s="1" t="str">
        <f>IF(E1669="","",E1669&amp;"|"&amp;COUNTIF($E$5:E1669,E1669))</f>
        <v/>
      </c>
    </row>
    <row r="1670" spans="2:13" x14ac:dyDescent="0.2">
      <c r="B1670" s="10"/>
      <c r="C1670" s="7"/>
      <c r="D1670" s="11"/>
      <c r="E1670" s="6"/>
      <c r="F1670" s="12" t="str">
        <f t="shared" si="52"/>
        <v/>
      </c>
      <c r="G1670" s="13" t="str">
        <f t="shared" si="53"/>
        <v/>
      </c>
      <c r="H1670" s="9"/>
      <c r="I1670" s="9"/>
      <c r="J1670" s="14" t="str">
        <f>IF(E1670="","",IFERROR(VLOOKUP(E1670,TabProd,5,FALSE),0)+SUMIFS($H$5:H1670,$E$5:E1670,E1670)-SUMIFS($I$5:I1670,$E$5:E1670,E1670))</f>
        <v/>
      </c>
      <c r="K1670" s="7"/>
      <c r="L1670" s="7"/>
      <c r="M1670" s="1" t="str">
        <f>IF(E1670="","",E1670&amp;"|"&amp;COUNTIF($E$5:E1670,E1670))</f>
        <v/>
      </c>
    </row>
    <row r="1671" spans="2:13" x14ac:dyDescent="0.2">
      <c r="B1671" s="10"/>
      <c r="C1671" s="7"/>
      <c r="D1671" s="11"/>
      <c r="E1671" s="6"/>
      <c r="F1671" s="12" t="str">
        <f t="shared" si="52"/>
        <v/>
      </c>
      <c r="G1671" s="13" t="str">
        <f t="shared" si="53"/>
        <v/>
      </c>
      <c r="H1671" s="9"/>
      <c r="I1671" s="9"/>
      <c r="J1671" s="14" t="str">
        <f>IF(E1671="","",IFERROR(VLOOKUP(E1671,TabProd,5,FALSE),0)+SUMIFS($H$5:H1671,$E$5:E1671,E1671)-SUMIFS($I$5:I1671,$E$5:E1671,E1671))</f>
        <v/>
      </c>
      <c r="K1671" s="7"/>
      <c r="L1671" s="7"/>
      <c r="M1671" s="1" t="str">
        <f>IF(E1671="","",E1671&amp;"|"&amp;COUNTIF($E$5:E1671,E1671))</f>
        <v/>
      </c>
    </row>
    <row r="1672" spans="2:13" x14ac:dyDescent="0.2">
      <c r="B1672" s="10"/>
      <c r="C1672" s="7"/>
      <c r="D1672" s="11"/>
      <c r="E1672" s="6"/>
      <c r="F1672" s="12" t="str">
        <f t="shared" si="52"/>
        <v/>
      </c>
      <c r="G1672" s="13" t="str">
        <f t="shared" si="53"/>
        <v/>
      </c>
      <c r="H1672" s="9"/>
      <c r="I1672" s="9"/>
      <c r="J1672" s="14" t="str">
        <f>IF(E1672="","",IFERROR(VLOOKUP(E1672,TabProd,5,FALSE),0)+SUMIFS($H$5:H1672,$E$5:E1672,E1672)-SUMIFS($I$5:I1672,$E$5:E1672,E1672))</f>
        <v/>
      </c>
      <c r="K1672" s="7"/>
      <c r="L1672" s="7"/>
      <c r="M1672" s="1" t="str">
        <f>IF(E1672="","",E1672&amp;"|"&amp;COUNTIF($E$5:E1672,E1672))</f>
        <v/>
      </c>
    </row>
    <row r="1673" spans="2:13" x14ac:dyDescent="0.2">
      <c r="B1673" s="10"/>
      <c r="C1673" s="7"/>
      <c r="D1673" s="11"/>
      <c r="E1673" s="6"/>
      <c r="F1673" s="12" t="str">
        <f t="shared" si="52"/>
        <v/>
      </c>
      <c r="G1673" s="13" t="str">
        <f t="shared" si="53"/>
        <v/>
      </c>
      <c r="H1673" s="9"/>
      <c r="I1673" s="9"/>
      <c r="J1673" s="14" t="str">
        <f>IF(E1673="","",IFERROR(VLOOKUP(E1673,TabProd,5,FALSE),0)+SUMIFS($H$5:H1673,$E$5:E1673,E1673)-SUMIFS($I$5:I1673,$E$5:E1673,E1673))</f>
        <v/>
      </c>
      <c r="K1673" s="7"/>
      <c r="L1673" s="7"/>
      <c r="M1673" s="1" t="str">
        <f>IF(E1673="","",E1673&amp;"|"&amp;COUNTIF($E$5:E1673,E1673))</f>
        <v/>
      </c>
    </row>
    <row r="1674" spans="2:13" x14ac:dyDescent="0.2">
      <c r="B1674" s="10"/>
      <c r="C1674" s="7"/>
      <c r="D1674" s="11"/>
      <c r="E1674" s="6"/>
      <c r="F1674" s="12" t="str">
        <f t="shared" si="52"/>
        <v/>
      </c>
      <c r="G1674" s="13" t="str">
        <f t="shared" si="53"/>
        <v/>
      </c>
      <c r="H1674" s="9"/>
      <c r="I1674" s="9"/>
      <c r="J1674" s="14" t="str">
        <f>IF(E1674="","",IFERROR(VLOOKUP(E1674,TabProd,5,FALSE),0)+SUMIFS($H$5:H1674,$E$5:E1674,E1674)-SUMIFS($I$5:I1674,$E$5:E1674,E1674))</f>
        <v/>
      </c>
      <c r="K1674" s="7"/>
      <c r="L1674" s="7"/>
      <c r="M1674" s="1" t="str">
        <f>IF(E1674="","",E1674&amp;"|"&amp;COUNTIF($E$5:E1674,E1674))</f>
        <v/>
      </c>
    </row>
    <row r="1675" spans="2:13" x14ac:dyDescent="0.2">
      <c r="B1675" s="10"/>
      <c r="C1675" s="7"/>
      <c r="D1675" s="11"/>
      <c r="E1675" s="6"/>
      <c r="F1675" s="12" t="str">
        <f t="shared" si="52"/>
        <v/>
      </c>
      <c r="G1675" s="13" t="str">
        <f t="shared" si="53"/>
        <v/>
      </c>
      <c r="H1675" s="9"/>
      <c r="I1675" s="9"/>
      <c r="J1675" s="14" t="str">
        <f>IF(E1675="","",IFERROR(VLOOKUP(E1675,TabProd,5,FALSE),0)+SUMIFS($H$5:H1675,$E$5:E1675,E1675)-SUMIFS($I$5:I1675,$E$5:E1675,E1675))</f>
        <v/>
      </c>
      <c r="K1675" s="7"/>
      <c r="L1675" s="7"/>
      <c r="M1675" s="1" t="str">
        <f>IF(E1675="","",E1675&amp;"|"&amp;COUNTIF($E$5:E1675,E1675))</f>
        <v/>
      </c>
    </row>
    <row r="1676" spans="2:13" x14ac:dyDescent="0.2">
      <c r="B1676" s="10"/>
      <c r="C1676" s="7"/>
      <c r="D1676" s="11"/>
      <c r="E1676" s="6"/>
      <c r="F1676" s="12" t="str">
        <f t="shared" si="52"/>
        <v/>
      </c>
      <c r="G1676" s="13" t="str">
        <f t="shared" si="53"/>
        <v/>
      </c>
      <c r="H1676" s="9"/>
      <c r="I1676" s="9"/>
      <c r="J1676" s="14" t="str">
        <f>IF(E1676="","",IFERROR(VLOOKUP(E1676,TabProd,5,FALSE),0)+SUMIFS($H$5:H1676,$E$5:E1676,E1676)-SUMIFS($I$5:I1676,$E$5:E1676,E1676))</f>
        <v/>
      </c>
      <c r="K1676" s="7"/>
      <c r="L1676" s="7"/>
      <c r="M1676" s="1" t="str">
        <f>IF(E1676="","",E1676&amp;"|"&amp;COUNTIF($E$5:E1676,E1676))</f>
        <v/>
      </c>
    </row>
    <row r="1677" spans="2:13" x14ac:dyDescent="0.2">
      <c r="B1677" s="10"/>
      <c r="C1677" s="7"/>
      <c r="D1677" s="11"/>
      <c r="E1677" s="6"/>
      <c r="F1677" s="12" t="str">
        <f t="shared" si="52"/>
        <v/>
      </c>
      <c r="G1677" s="13" t="str">
        <f t="shared" si="53"/>
        <v/>
      </c>
      <c r="H1677" s="9"/>
      <c r="I1677" s="9"/>
      <c r="J1677" s="14" t="str">
        <f>IF(E1677="","",IFERROR(VLOOKUP(E1677,TabProd,5,FALSE),0)+SUMIFS($H$5:H1677,$E$5:E1677,E1677)-SUMIFS($I$5:I1677,$E$5:E1677,E1677))</f>
        <v/>
      </c>
      <c r="K1677" s="7"/>
      <c r="L1677" s="7"/>
      <c r="M1677" s="1" t="str">
        <f>IF(E1677="","",E1677&amp;"|"&amp;COUNTIF($E$5:E1677,E1677))</f>
        <v/>
      </c>
    </row>
    <row r="1678" spans="2:13" x14ac:dyDescent="0.2">
      <c r="B1678" s="10"/>
      <c r="C1678" s="7"/>
      <c r="D1678" s="11"/>
      <c r="E1678" s="6"/>
      <c r="F1678" s="12" t="str">
        <f t="shared" si="52"/>
        <v/>
      </c>
      <c r="G1678" s="13" t="str">
        <f t="shared" si="53"/>
        <v/>
      </c>
      <c r="H1678" s="9"/>
      <c r="I1678" s="9"/>
      <c r="J1678" s="14" t="str">
        <f>IF(E1678="","",IFERROR(VLOOKUP(E1678,TabProd,5,FALSE),0)+SUMIFS($H$5:H1678,$E$5:E1678,E1678)-SUMIFS($I$5:I1678,$E$5:E1678,E1678))</f>
        <v/>
      </c>
      <c r="K1678" s="7"/>
      <c r="L1678" s="7"/>
      <c r="M1678" s="1" t="str">
        <f>IF(E1678="","",E1678&amp;"|"&amp;COUNTIF($E$5:E1678,E1678))</f>
        <v/>
      </c>
    </row>
    <row r="1679" spans="2:13" x14ac:dyDescent="0.2">
      <c r="B1679" s="10"/>
      <c r="C1679" s="7"/>
      <c r="D1679" s="11"/>
      <c r="E1679" s="6"/>
      <c r="F1679" s="12" t="str">
        <f t="shared" si="52"/>
        <v/>
      </c>
      <c r="G1679" s="13" t="str">
        <f t="shared" si="53"/>
        <v/>
      </c>
      <c r="H1679" s="9"/>
      <c r="I1679" s="9"/>
      <c r="J1679" s="14" t="str">
        <f>IF(E1679="","",IFERROR(VLOOKUP(E1679,TabProd,5,FALSE),0)+SUMIFS($H$5:H1679,$E$5:E1679,E1679)-SUMIFS($I$5:I1679,$E$5:E1679,E1679))</f>
        <v/>
      </c>
      <c r="K1679" s="7"/>
      <c r="L1679" s="7"/>
      <c r="M1679" s="1" t="str">
        <f>IF(E1679="","",E1679&amp;"|"&amp;COUNTIF($E$5:E1679,E1679))</f>
        <v/>
      </c>
    </row>
    <row r="1680" spans="2:13" x14ac:dyDescent="0.2">
      <c r="B1680" s="10"/>
      <c r="C1680" s="7"/>
      <c r="D1680" s="11"/>
      <c r="E1680" s="6"/>
      <c r="F1680" s="12" t="str">
        <f t="shared" si="52"/>
        <v/>
      </c>
      <c r="G1680" s="13" t="str">
        <f t="shared" si="53"/>
        <v/>
      </c>
      <c r="H1680" s="9"/>
      <c r="I1680" s="9"/>
      <c r="J1680" s="14" t="str">
        <f>IF(E1680="","",IFERROR(VLOOKUP(E1680,TabProd,5,FALSE),0)+SUMIFS($H$5:H1680,$E$5:E1680,E1680)-SUMIFS($I$5:I1680,$E$5:E1680,E1680))</f>
        <v/>
      </c>
      <c r="K1680" s="7"/>
      <c r="L1680" s="7"/>
      <c r="M1680" s="1" t="str">
        <f>IF(E1680="","",E1680&amp;"|"&amp;COUNTIF($E$5:E1680,E1680))</f>
        <v/>
      </c>
    </row>
    <row r="1681" spans="2:13" x14ac:dyDescent="0.2">
      <c r="B1681" s="10"/>
      <c r="C1681" s="7"/>
      <c r="D1681" s="11"/>
      <c r="E1681" s="6"/>
      <c r="F1681" s="12" t="str">
        <f t="shared" si="52"/>
        <v/>
      </c>
      <c r="G1681" s="13" t="str">
        <f t="shared" si="53"/>
        <v/>
      </c>
      <c r="H1681" s="9"/>
      <c r="I1681" s="9"/>
      <c r="J1681" s="14" t="str">
        <f>IF(E1681="","",IFERROR(VLOOKUP(E1681,TabProd,5,FALSE),0)+SUMIFS($H$5:H1681,$E$5:E1681,E1681)-SUMIFS($I$5:I1681,$E$5:E1681,E1681))</f>
        <v/>
      </c>
      <c r="K1681" s="7"/>
      <c r="L1681" s="7"/>
      <c r="M1681" s="1" t="str">
        <f>IF(E1681="","",E1681&amp;"|"&amp;COUNTIF($E$5:E1681,E1681))</f>
        <v/>
      </c>
    </row>
    <row r="1682" spans="2:13" x14ac:dyDescent="0.2">
      <c r="B1682" s="10"/>
      <c r="C1682" s="7"/>
      <c r="D1682" s="11"/>
      <c r="E1682" s="6"/>
      <c r="F1682" s="12" t="str">
        <f t="shared" si="52"/>
        <v/>
      </c>
      <c r="G1682" s="13" t="str">
        <f t="shared" si="53"/>
        <v/>
      </c>
      <c r="H1682" s="9"/>
      <c r="I1682" s="9"/>
      <c r="J1682" s="14" t="str">
        <f>IF(E1682="","",IFERROR(VLOOKUP(E1682,TabProd,5,FALSE),0)+SUMIFS($H$5:H1682,$E$5:E1682,E1682)-SUMIFS($I$5:I1682,$E$5:E1682,E1682))</f>
        <v/>
      </c>
      <c r="K1682" s="7"/>
      <c r="L1682" s="7"/>
      <c r="M1682" s="1" t="str">
        <f>IF(E1682="","",E1682&amp;"|"&amp;COUNTIF($E$5:E1682,E1682))</f>
        <v/>
      </c>
    </row>
    <row r="1683" spans="2:13" x14ac:dyDescent="0.2">
      <c r="B1683" s="10"/>
      <c r="C1683" s="7"/>
      <c r="D1683" s="11"/>
      <c r="E1683" s="6"/>
      <c r="F1683" s="12" t="str">
        <f t="shared" si="52"/>
        <v/>
      </c>
      <c r="G1683" s="13" t="str">
        <f t="shared" si="53"/>
        <v/>
      </c>
      <c r="H1683" s="9"/>
      <c r="I1683" s="9"/>
      <c r="J1683" s="14" t="str">
        <f>IF(E1683="","",IFERROR(VLOOKUP(E1683,TabProd,5,FALSE),0)+SUMIFS($H$5:H1683,$E$5:E1683,E1683)-SUMIFS($I$5:I1683,$E$5:E1683,E1683))</f>
        <v/>
      </c>
      <c r="K1683" s="7"/>
      <c r="L1683" s="7"/>
      <c r="M1683" s="1" t="str">
        <f>IF(E1683="","",E1683&amp;"|"&amp;COUNTIF($E$5:E1683,E1683))</f>
        <v/>
      </c>
    </row>
    <row r="1684" spans="2:13" x14ac:dyDescent="0.2">
      <c r="B1684" s="10"/>
      <c r="C1684" s="7"/>
      <c r="D1684" s="11"/>
      <c r="E1684" s="6"/>
      <c r="F1684" s="12" t="str">
        <f t="shared" si="52"/>
        <v/>
      </c>
      <c r="G1684" s="13" t="str">
        <f t="shared" si="53"/>
        <v/>
      </c>
      <c r="H1684" s="9"/>
      <c r="I1684" s="9"/>
      <c r="J1684" s="14" t="str">
        <f>IF(E1684="","",IFERROR(VLOOKUP(E1684,TabProd,5,FALSE),0)+SUMIFS($H$5:H1684,$E$5:E1684,E1684)-SUMIFS($I$5:I1684,$E$5:E1684,E1684))</f>
        <v/>
      </c>
      <c r="K1684" s="7"/>
      <c r="L1684" s="7"/>
      <c r="M1684" s="1" t="str">
        <f>IF(E1684="","",E1684&amp;"|"&amp;COUNTIF($E$5:E1684,E1684))</f>
        <v/>
      </c>
    </row>
    <row r="1685" spans="2:13" x14ac:dyDescent="0.2">
      <c r="B1685" s="10"/>
      <c r="C1685" s="7"/>
      <c r="D1685" s="11"/>
      <c r="E1685" s="6"/>
      <c r="F1685" s="12" t="str">
        <f t="shared" si="52"/>
        <v/>
      </c>
      <c r="G1685" s="13" t="str">
        <f t="shared" si="53"/>
        <v/>
      </c>
      <c r="H1685" s="9"/>
      <c r="I1685" s="9"/>
      <c r="J1685" s="14" t="str">
        <f>IF(E1685="","",IFERROR(VLOOKUP(E1685,TabProd,5,FALSE),0)+SUMIFS($H$5:H1685,$E$5:E1685,E1685)-SUMIFS($I$5:I1685,$E$5:E1685,E1685))</f>
        <v/>
      </c>
      <c r="K1685" s="7"/>
      <c r="L1685" s="7"/>
      <c r="M1685" s="1" t="str">
        <f>IF(E1685="","",E1685&amp;"|"&amp;COUNTIF($E$5:E1685,E1685))</f>
        <v/>
      </c>
    </row>
    <row r="1686" spans="2:13" x14ac:dyDescent="0.2">
      <c r="B1686" s="10"/>
      <c r="C1686" s="7"/>
      <c r="D1686" s="11"/>
      <c r="E1686" s="6"/>
      <c r="F1686" s="12" t="str">
        <f t="shared" si="52"/>
        <v/>
      </c>
      <c r="G1686" s="13" t="str">
        <f t="shared" si="53"/>
        <v/>
      </c>
      <c r="H1686" s="9"/>
      <c r="I1686" s="9"/>
      <c r="J1686" s="14" t="str">
        <f>IF(E1686="","",IFERROR(VLOOKUP(E1686,TabProd,5,FALSE),0)+SUMIFS($H$5:H1686,$E$5:E1686,E1686)-SUMIFS($I$5:I1686,$E$5:E1686,E1686))</f>
        <v/>
      </c>
      <c r="K1686" s="7"/>
      <c r="L1686" s="7"/>
      <c r="M1686" s="1" t="str">
        <f>IF(E1686="","",E1686&amp;"|"&amp;COUNTIF($E$5:E1686,E1686))</f>
        <v/>
      </c>
    </row>
    <row r="1687" spans="2:13" x14ac:dyDescent="0.2">
      <c r="B1687" s="10"/>
      <c r="C1687" s="7"/>
      <c r="D1687" s="11"/>
      <c r="E1687" s="6"/>
      <c r="F1687" s="12" t="str">
        <f t="shared" si="52"/>
        <v/>
      </c>
      <c r="G1687" s="13" t="str">
        <f t="shared" si="53"/>
        <v/>
      </c>
      <c r="H1687" s="9"/>
      <c r="I1687" s="9"/>
      <c r="J1687" s="14" t="str">
        <f>IF(E1687="","",IFERROR(VLOOKUP(E1687,TabProd,5,FALSE),0)+SUMIFS($H$5:H1687,$E$5:E1687,E1687)-SUMIFS($I$5:I1687,$E$5:E1687,E1687))</f>
        <v/>
      </c>
      <c r="K1687" s="7"/>
      <c r="L1687" s="7"/>
      <c r="M1687" s="1" t="str">
        <f>IF(E1687="","",E1687&amp;"|"&amp;COUNTIF($E$5:E1687,E1687))</f>
        <v/>
      </c>
    </row>
    <row r="1688" spans="2:13" x14ac:dyDescent="0.2">
      <c r="B1688" s="10"/>
      <c r="C1688" s="7"/>
      <c r="D1688" s="11"/>
      <c r="E1688" s="6"/>
      <c r="F1688" s="12" t="str">
        <f t="shared" si="52"/>
        <v/>
      </c>
      <c r="G1688" s="13" t="str">
        <f t="shared" si="53"/>
        <v/>
      </c>
      <c r="H1688" s="9"/>
      <c r="I1688" s="9"/>
      <c r="J1688" s="14" t="str">
        <f>IF(E1688="","",IFERROR(VLOOKUP(E1688,TabProd,5,FALSE),0)+SUMIFS($H$5:H1688,$E$5:E1688,E1688)-SUMIFS($I$5:I1688,$E$5:E1688,E1688))</f>
        <v/>
      </c>
      <c r="K1688" s="7"/>
      <c r="L1688" s="7"/>
      <c r="M1688" s="1" t="str">
        <f>IF(E1688="","",E1688&amp;"|"&amp;COUNTIF($E$5:E1688,E1688))</f>
        <v/>
      </c>
    </row>
    <row r="1689" spans="2:13" x14ac:dyDescent="0.2">
      <c r="B1689" s="10"/>
      <c r="C1689" s="7"/>
      <c r="D1689" s="11"/>
      <c r="E1689" s="6"/>
      <c r="F1689" s="12" t="str">
        <f t="shared" si="52"/>
        <v/>
      </c>
      <c r="G1689" s="13" t="str">
        <f t="shared" si="53"/>
        <v/>
      </c>
      <c r="H1689" s="9"/>
      <c r="I1689" s="9"/>
      <c r="J1689" s="14" t="str">
        <f>IF(E1689="","",IFERROR(VLOOKUP(E1689,TabProd,5,FALSE),0)+SUMIFS($H$5:H1689,$E$5:E1689,E1689)-SUMIFS($I$5:I1689,$E$5:E1689,E1689))</f>
        <v/>
      </c>
      <c r="K1689" s="7"/>
      <c r="L1689" s="7"/>
      <c r="M1689" s="1" t="str">
        <f>IF(E1689="","",E1689&amp;"|"&amp;COUNTIF($E$5:E1689,E1689))</f>
        <v/>
      </c>
    </row>
    <row r="1690" spans="2:13" x14ac:dyDescent="0.2">
      <c r="B1690" s="10"/>
      <c r="C1690" s="7"/>
      <c r="D1690" s="11"/>
      <c r="E1690" s="6"/>
      <c r="F1690" s="12" t="str">
        <f t="shared" si="52"/>
        <v/>
      </c>
      <c r="G1690" s="13" t="str">
        <f t="shared" si="53"/>
        <v/>
      </c>
      <c r="H1690" s="9"/>
      <c r="I1690" s="9"/>
      <c r="J1690" s="14" t="str">
        <f>IF(E1690="","",IFERROR(VLOOKUP(E1690,TabProd,5,FALSE),0)+SUMIFS($H$5:H1690,$E$5:E1690,E1690)-SUMIFS($I$5:I1690,$E$5:E1690,E1690))</f>
        <v/>
      </c>
      <c r="K1690" s="7"/>
      <c r="L1690" s="7"/>
      <c r="M1690" s="1" t="str">
        <f>IF(E1690="","",E1690&amp;"|"&amp;COUNTIF($E$5:E1690,E1690))</f>
        <v/>
      </c>
    </row>
    <row r="1691" spans="2:13" x14ac:dyDescent="0.2">
      <c r="B1691" s="10"/>
      <c r="C1691" s="7"/>
      <c r="D1691" s="11"/>
      <c r="E1691" s="6"/>
      <c r="F1691" s="12" t="str">
        <f t="shared" si="52"/>
        <v/>
      </c>
      <c r="G1691" s="13" t="str">
        <f t="shared" si="53"/>
        <v/>
      </c>
      <c r="H1691" s="9"/>
      <c r="I1691" s="9"/>
      <c r="J1691" s="14" t="str">
        <f>IF(E1691="","",IFERROR(VLOOKUP(E1691,TabProd,5,FALSE),0)+SUMIFS($H$5:H1691,$E$5:E1691,E1691)-SUMIFS($I$5:I1691,$E$5:E1691,E1691))</f>
        <v/>
      </c>
      <c r="K1691" s="7"/>
      <c r="L1691" s="7"/>
      <c r="M1691" s="1" t="str">
        <f>IF(E1691="","",E1691&amp;"|"&amp;COUNTIF($E$5:E1691,E1691))</f>
        <v/>
      </c>
    </row>
    <row r="1692" spans="2:13" x14ac:dyDescent="0.2">
      <c r="B1692" s="10"/>
      <c r="C1692" s="7"/>
      <c r="D1692" s="11"/>
      <c r="E1692" s="6"/>
      <c r="F1692" s="12" t="str">
        <f t="shared" si="52"/>
        <v/>
      </c>
      <c r="G1692" s="13" t="str">
        <f t="shared" si="53"/>
        <v/>
      </c>
      <c r="H1692" s="9"/>
      <c r="I1692" s="9"/>
      <c r="J1692" s="14" t="str">
        <f>IF(E1692="","",IFERROR(VLOOKUP(E1692,TabProd,5,FALSE),0)+SUMIFS($H$5:H1692,$E$5:E1692,E1692)-SUMIFS($I$5:I1692,$E$5:E1692,E1692))</f>
        <v/>
      </c>
      <c r="K1692" s="7"/>
      <c r="L1692" s="7"/>
      <c r="M1692" s="1" t="str">
        <f>IF(E1692="","",E1692&amp;"|"&amp;COUNTIF($E$5:E1692,E1692))</f>
        <v/>
      </c>
    </row>
    <row r="1693" spans="2:13" x14ac:dyDescent="0.2">
      <c r="B1693" s="10"/>
      <c r="C1693" s="7"/>
      <c r="D1693" s="11"/>
      <c r="E1693" s="6"/>
      <c r="F1693" s="12" t="str">
        <f t="shared" si="52"/>
        <v/>
      </c>
      <c r="G1693" s="13" t="str">
        <f t="shared" si="53"/>
        <v/>
      </c>
      <c r="H1693" s="9"/>
      <c r="I1693" s="9"/>
      <c r="J1693" s="14" t="str">
        <f>IF(E1693="","",IFERROR(VLOOKUP(E1693,TabProd,5,FALSE),0)+SUMIFS($H$5:H1693,$E$5:E1693,E1693)-SUMIFS($I$5:I1693,$E$5:E1693,E1693))</f>
        <v/>
      </c>
      <c r="K1693" s="7"/>
      <c r="L1693" s="7"/>
      <c r="M1693" s="1" t="str">
        <f>IF(E1693="","",E1693&amp;"|"&amp;COUNTIF($E$5:E1693,E1693))</f>
        <v/>
      </c>
    </row>
    <row r="1694" spans="2:13" x14ac:dyDescent="0.2">
      <c r="B1694" s="10"/>
      <c r="C1694" s="7"/>
      <c r="D1694" s="11"/>
      <c r="E1694" s="6"/>
      <c r="F1694" s="12" t="str">
        <f t="shared" si="52"/>
        <v/>
      </c>
      <c r="G1694" s="13" t="str">
        <f t="shared" si="53"/>
        <v/>
      </c>
      <c r="H1694" s="9"/>
      <c r="I1694" s="9"/>
      <c r="J1694" s="14" t="str">
        <f>IF(E1694="","",IFERROR(VLOOKUP(E1694,TabProd,5,FALSE),0)+SUMIFS($H$5:H1694,$E$5:E1694,E1694)-SUMIFS($I$5:I1694,$E$5:E1694,E1694))</f>
        <v/>
      </c>
      <c r="K1694" s="7"/>
      <c r="L1694" s="7"/>
      <c r="M1694" s="1" t="str">
        <f>IF(E1694="","",E1694&amp;"|"&amp;COUNTIF($E$5:E1694,E1694))</f>
        <v/>
      </c>
    </row>
    <row r="1695" spans="2:13" x14ac:dyDescent="0.2">
      <c r="B1695" s="10"/>
      <c r="C1695" s="7"/>
      <c r="D1695" s="11"/>
      <c r="E1695" s="6"/>
      <c r="F1695" s="12" t="str">
        <f t="shared" si="52"/>
        <v/>
      </c>
      <c r="G1695" s="13" t="str">
        <f t="shared" si="53"/>
        <v/>
      </c>
      <c r="H1695" s="9"/>
      <c r="I1695" s="9"/>
      <c r="J1695" s="14" t="str">
        <f>IF(E1695="","",IFERROR(VLOOKUP(E1695,TabProd,5,FALSE),0)+SUMIFS($H$5:H1695,$E$5:E1695,E1695)-SUMIFS($I$5:I1695,$E$5:E1695,E1695))</f>
        <v/>
      </c>
      <c r="K1695" s="7"/>
      <c r="L1695" s="7"/>
      <c r="M1695" s="1" t="str">
        <f>IF(E1695="","",E1695&amp;"|"&amp;COUNTIF($E$5:E1695,E1695))</f>
        <v/>
      </c>
    </row>
    <row r="1696" spans="2:13" x14ac:dyDescent="0.2">
      <c r="B1696" s="10"/>
      <c r="C1696" s="7"/>
      <c r="D1696" s="11"/>
      <c r="E1696" s="6"/>
      <c r="F1696" s="12" t="str">
        <f t="shared" si="52"/>
        <v/>
      </c>
      <c r="G1696" s="13" t="str">
        <f t="shared" si="53"/>
        <v/>
      </c>
      <c r="H1696" s="9"/>
      <c r="I1696" s="9"/>
      <c r="J1696" s="14" t="str">
        <f>IF(E1696="","",IFERROR(VLOOKUP(E1696,TabProd,5,FALSE),0)+SUMIFS($H$5:H1696,$E$5:E1696,E1696)-SUMIFS($I$5:I1696,$E$5:E1696,E1696))</f>
        <v/>
      </c>
      <c r="K1696" s="7"/>
      <c r="L1696" s="7"/>
      <c r="M1696" s="1" t="str">
        <f>IF(E1696="","",E1696&amp;"|"&amp;COUNTIF($E$5:E1696,E1696))</f>
        <v/>
      </c>
    </row>
    <row r="1697" spans="2:13" x14ac:dyDescent="0.2">
      <c r="B1697" s="10"/>
      <c r="C1697" s="7"/>
      <c r="D1697" s="11"/>
      <c r="E1697" s="6"/>
      <c r="F1697" s="12" t="str">
        <f t="shared" si="52"/>
        <v/>
      </c>
      <c r="G1697" s="13" t="str">
        <f t="shared" si="53"/>
        <v/>
      </c>
      <c r="H1697" s="9"/>
      <c r="I1697" s="9"/>
      <c r="J1697" s="14" t="str">
        <f>IF(E1697="","",IFERROR(VLOOKUP(E1697,TabProd,5,FALSE),0)+SUMIFS($H$5:H1697,$E$5:E1697,E1697)-SUMIFS($I$5:I1697,$E$5:E1697,E1697))</f>
        <v/>
      </c>
      <c r="K1697" s="7"/>
      <c r="L1697" s="7"/>
      <c r="M1697" s="1" t="str">
        <f>IF(E1697="","",E1697&amp;"|"&amp;COUNTIF($E$5:E1697,E1697))</f>
        <v/>
      </c>
    </row>
    <row r="1698" spans="2:13" x14ac:dyDescent="0.2">
      <c r="B1698" s="10"/>
      <c r="C1698" s="7"/>
      <c r="D1698" s="11"/>
      <c r="E1698" s="6"/>
      <c r="F1698" s="12" t="str">
        <f t="shared" si="52"/>
        <v/>
      </c>
      <c r="G1698" s="13" t="str">
        <f t="shared" si="53"/>
        <v/>
      </c>
      <c r="H1698" s="9"/>
      <c r="I1698" s="9"/>
      <c r="J1698" s="14" t="str">
        <f>IF(E1698="","",IFERROR(VLOOKUP(E1698,TabProd,5,FALSE),0)+SUMIFS($H$5:H1698,$E$5:E1698,E1698)-SUMIFS($I$5:I1698,$E$5:E1698,E1698))</f>
        <v/>
      </c>
      <c r="K1698" s="7"/>
      <c r="L1698" s="7"/>
      <c r="M1698" s="1" t="str">
        <f>IF(E1698="","",E1698&amp;"|"&amp;COUNTIF($E$5:E1698,E1698))</f>
        <v/>
      </c>
    </row>
    <row r="1699" spans="2:13" x14ac:dyDescent="0.2">
      <c r="B1699" s="10"/>
      <c r="C1699" s="7"/>
      <c r="D1699" s="11"/>
      <c r="E1699" s="6"/>
      <c r="F1699" s="12" t="str">
        <f t="shared" si="52"/>
        <v/>
      </c>
      <c r="G1699" s="13" t="str">
        <f t="shared" si="53"/>
        <v/>
      </c>
      <c r="H1699" s="9"/>
      <c r="I1699" s="9"/>
      <c r="J1699" s="14" t="str">
        <f>IF(E1699="","",IFERROR(VLOOKUP(E1699,TabProd,5,FALSE),0)+SUMIFS($H$5:H1699,$E$5:E1699,E1699)-SUMIFS($I$5:I1699,$E$5:E1699,E1699))</f>
        <v/>
      </c>
      <c r="K1699" s="7"/>
      <c r="L1699" s="7"/>
      <c r="M1699" s="1" t="str">
        <f>IF(E1699="","",E1699&amp;"|"&amp;COUNTIF($E$5:E1699,E1699))</f>
        <v/>
      </c>
    </row>
    <row r="1700" spans="2:13" x14ac:dyDescent="0.2">
      <c r="B1700" s="10"/>
      <c r="C1700" s="7"/>
      <c r="D1700" s="11"/>
      <c r="E1700" s="6"/>
      <c r="F1700" s="12" t="str">
        <f t="shared" si="52"/>
        <v/>
      </c>
      <c r="G1700" s="13" t="str">
        <f t="shared" si="53"/>
        <v/>
      </c>
      <c r="H1700" s="9"/>
      <c r="I1700" s="9"/>
      <c r="J1700" s="14" t="str">
        <f>IF(E1700="","",IFERROR(VLOOKUP(E1700,TabProd,5,FALSE),0)+SUMIFS($H$5:H1700,$E$5:E1700,E1700)-SUMIFS($I$5:I1700,$E$5:E1700,E1700))</f>
        <v/>
      </c>
      <c r="K1700" s="7"/>
      <c r="L1700" s="7"/>
      <c r="M1700" s="1" t="str">
        <f>IF(E1700="","",E1700&amp;"|"&amp;COUNTIF($E$5:E1700,E1700))</f>
        <v/>
      </c>
    </row>
    <row r="1701" spans="2:13" x14ac:dyDescent="0.2">
      <c r="B1701" s="10"/>
      <c r="C1701" s="7"/>
      <c r="D1701" s="11"/>
      <c r="E1701" s="6"/>
      <c r="F1701" s="12" t="str">
        <f t="shared" si="52"/>
        <v/>
      </c>
      <c r="G1701" s="13" t="str">
        <f t="shared" si="53"/>
        <v/>
      </c>
      <c r="H1701" s="9"/>
      <c r="I1701" s="9"/>
      <c r="J1701" s="14" t="str">
        <f>IF(E1701="","",IFERROR(VLOOKUP(E1701,TabProd,5,FALSE),0)+SUMIFS($H$5:H1701,$E$5:E1701,E1701)-SUMIFS($I$5:I1701,$E$5:E1701,E1701))</f>
        <v/>
      </c>
      <c r="K1701" s="7"/>
      <c r="L1701" s="7"/>
      <c r="M1701" s="1" t="str">
        <f>IF(E1701="","",E1701&amp;"|"&amp;COUNTIF($E$5:E1701,E1701))</f>
        <v/>
      </c>
    </row>
    <row r="1702" spans="2:13" x14ac:dyDescent="0.2">
      <c r="B1702" s="10"/>
      <c r="C1702" s="7"/>
      <c r="D1702" s="11"/>
      <c r="E1702" s="6"/>
      <c r="F1702" s="12" t="str">
        <f t="shared" si="52"/>
        <v/>
      </c>
      <c r="G1702" s="13" t="str">
        <f t="shared" si="53"/>
        <v/>
      </c>
      <c r="H1702" s="9"/>
      <c r="I1702" s="9"/>
      <c r="J1702" s="14" t="str">
        <f>IF(E1702="","",IFERROR(VLOOKUP(E1702,TabProd,5,FALSE),0)+SUMIFS($H$5:H1702,$E$5:E1702,E1702)-SUMIFS($I$5:I1702,$E$5:E1702,E1702))</f>
        <v/>
      </c>
      <c r="K1702" s="7"/>
      <c r="L1702" s="7"/>
      <c r="M1702" s="1" t="str">
        <f>IF(E1702="","",E1702&amp;"|"&amp;COUNTIF($E$5:E1702,E1702))</f>
        <v/>
      </c>
    </row>
    <row r="1703" spans="2:13" x14ac:dyDescent="0.2">
      <c r="B1703" s="10"/>
      <c r="C1703" s="7"/>
      <c r="D1703" s="11"/>
      <c r="E1703" s="6"/>
      <c r="F1703" s="12" t="str">
        <f t="shared" si="52"/>
        <v/>
      </c>
      <c r="G1703" s="13" t="str">
        <f t="shared" si="53"/>
        <v/>
      </c>
      <c r="H1703" s="9"/>
      <c r="I1703" s="9"/>
      <c r="J1703" s="14" t="str">
        <f>IF(E1703="","",IFERROR(VLOOKUP(E1703,TabProd,5,FALSE),0)+SUMIFS($H$5:H1703,$E$5:E1703,E1703)-SUMIFS($I$5:I1703,$E$5:E1703,E1703))</f>
        <v/>
      </c>
      <c r="K1703" s="7"/>
      <c r="L1703" s="7"/>
      <c r="M1703" s="1" t="str">
        <f>IF(E1703="","",E1703&amp;"|"&amp;COUNTIF($E$5:E1703,E1703))</f>
        <v/>
      </c>
    </row>
    <row r="1704" spans="2:13" x14ac:dyDescent="0.2">
      <c r="B1704" s="10"/>
      <c r="C1704" s="7"/>
      <c r="D1704" s="11"/>
      <c r="E1704" s="6"/>
      <c r="F1704" s="12" t="str">
        <f t="shared" si="52"/>
        <v/>
      </c>
      <c r="G1704" s="13" t="str">
        <f t="shared" si="53"/>
        <v/>
      </c>
      <c r="H1704" s="9"/>
      <c r="I1704" s="9"/>
      <c r="J1704" s="14" t="str">
        <f>IF(E1704="","",IFERROR(VLOOKUP(E1704,TabProd,5,FALSE),0)+SUMIFS($H$5:H1704,$E$5:E1704,E1704)-SUMIFS($I$5:I1704,$E$5:E1704,E1704))</f>
        <v/>
      </c>
      <c r="K1704" s="7"/>
      <c r="L1704" s="7"/>
      <c r="M1704" s="1" t="str">
        <f>IF(E1704="","",E1704&amp;"|"&amp;COUNTIF($E$5:E1704,E1704))</f>
        <v/>
      </c>
    </row>
    <row r="1705" spans="2:13" x14ac:dyDescent="0.2">
      <c r="B1705" s="10"/>
      <c r="C1705" s="7"/>
      <c r="D1705" s="11"/>
      <c r="E1705" s="6"/>
      <c r="F1705" s="12" t="str">
        <f t="shared" si="52"/>
        <v/>
      </c>
      <c r="G1705" s="13" t="str">
        <f t="shared" si="53"/>
        <v/>
      </c>
      <c r="H1705" s="9"/>
      <c r="I1705" s="9"/>
      <c r="J1705" s="14" t="str">
        <f>IF(E1705="","",IFERROR(VLOOKUP(E1705,TabProd,5,FALSE),0)+SUMIFS($H$5:H1705,$E$5:E1705,E1705)-SUMIFS($I$5:I1705,$E$5:E1705,E1705))</f>
        <v/>
      </c>
      <c r="K1705" s="7"/>
      <c r="L1705" s="7"/>
      <c r="M1705" s="1" t="str">
        <f>IF(E1705="","",E1705&amp;"|"&amp;COUNTIF($E$5:E1705,E1705))</f>
        <v/>
      </c>
    </row>
    <row r="1706" spans="2:13" x14ac:dyDescent="0.2">
      <c r="B1706" s="10"/>
      <c r="C1706" s="7"/>
      <c r="D1706" s="11"/>
      <c r="E1706" s="6"/>
      <c r="F1706" s="12" t="str">
        <f t="shared" si="52"/>
        <v/>
      </c>
      <c r="G1706" s="13" t="str">
        <f t="shared" si="53"/>
        <v/>
      </c>
      <c r="H1706" s="9"/>
      <c r="I1706" s="9"/>
      <c r="J1706" s="14" t="str">
        <f>IF(E1706="","",IFERROR(VLOOKUP(E1706,TabProd,5,FALSE),0)+SUMIFS($H$5:H1706,$E$5:E1706,E1706)-SUMIFS($I$5:I1706,$E$5:E1706,E1706))</f>
        <v/>
      </c>
      <c r="K1706" s="7"/>
      <c r="L1706" s="7"/>
      <c r="M1706" s="1" t="str">
        <f>IF(E1706="","",E1706&amp;"|"&amp;COUNTIF($E$5:E1706,E1706))</f>
        <v/>
      </c>
    </row>
    <row r="1707" spans="2:13" x14ac:dyDescent="0.2">
      <c r="B1707" s="10"/>
      <c r="C1707" s="7"/>
      <c r="D1707" s="11"/>
      <c r="E1707" s="6"/>
      <c r="F1707" s="12" t="str">
        <f t="shared" si="52"/>
        <v/>
      </c>
      <c r="G1707" s="13" t="str">
        <f t="shared" si="53"/>
        <v/>
      </c>
      <c r="H1707" s="9"/>
      <c r="I1707" s="9"/>
      <c r="J1707" s="14" t="str">
        <f>IF(E1707="","",IFERROR(VLOOKUP(E1707,TabProd,5,FALSE),0)+SUMIFS($H$5:H1707,$E$5:E1707,E1707)-SUMIFS($I$5:I1707,$E$5:E1707,E1707))</f>
        <v/>
      </c>
      <c r="K1707" s="7"/>
      <c r="L1707" s="7"/>
      <c r="M1707" s="1" t="str">
        <f>IF(E1707="","",E1707&amp;"|"&amp;COUNTIF($E$5:E1707,E1707))</f>
        <v/>
      </c>
    </row>
    <row r="1708" spans="2:13" x14ac:dyDescent="0.2">
      <c r="B1708" s="10"/>
      <c r="C1708" s="7"/>
      <c r="D1708" s="11"/>
      <c r="E1708" s="6"/>
      <c r="F1708" s="12" t="str">
        <f t="shared" si="52"/>
        <v/>
      </c>
      <c r="G1708" s="13" t="str">
        <f t="shared" si="53"/>
        <v/>
      </c>
      <c r="H1708" s="9"/>
      <c r="I1708" s="9"/>
      <c r="J1708" s="14" t="str">
        <f>IF(E1708="","",IFERROR(VLOOKUP(E1708,TabProd,5,FALSE),0)+SUMIFS($H$5:H1708,$E$5:E1708,E1708)-SUMIFS($I$5:I1708,$E$5:E1708,E1708))</f>
        <v/>
      </c>
      <c r="K1708" s="7"/>
      <c r="L1708" s="7"/>
      <c r="M1708" s="1" t="str">
        <f>IF(E1708="","",E1708&amp;"|"&amp;COUNTIF($E$5:E1708,E1708))</f>
        <v/>
      </c>
    </row>
    <row r="1709" spans="2:13" x14ac:dyDescent="0.2">
      <c r="B1709" s="10"/>
      <c r="C1709" s="7"/>
      <c r="D1709" s="11"/>
      <c r="E1709" s="6"/>
      <c r="F1709" s="12" t="str">
        <f t="shared" si="52"/>
        <v/>
      </c>
      <c r="G1709" s="13" t="str">
        <f t="shared" si="53"/>
        <v/>
      </c>
      <c r="H1709" s="9"/>
      <c r="I1709" s="9"/>
      <c r="J1709" s="14" t="str">
        <f>IF(E1709="","",IFERROR(VLOOKUP(E1709,TabProd,5,FALSE),0)+SUMIFS($H$5:H1709,$E$5:E1709,E1709)-SUMIFS($I$5:I1709,$E$5:E1709,E1709))</f>
        <v/>
      </c>
      <c r="K1709" s="7"/>
      <c r="L1709" s="7"/>
      <c r="M1709" s="1" t="str">
        <f>IF(E1709="","",E1709&amp;"|"&amp;COUNTIF($E$5:E1709,E1709))</f>
        <v/>
      </c>
    </row>
    <row r="1710" spans="2:13" x14ac:dyDescent="0.2">
      <c r="B1710" s="10"/>
      <c r="C1710" s="7"/>
      <c r="D1710" s="11"/>
      <c r="E1710" s="6"/>
      <c r="F1710" s="12" t="str">
        <f t="shared" si="52"/>
        <v/>
      </c>
      <c r="G1710" s="13" t="str">
        <f t="shared" si="53"/>
        <v/>
      </c>
      <c r="H1710" s="9"/>
      <c r="I1710" s="9"/>
      <c r="J1710" s="14" t="str">
        <f>IF(E1710="","",IFERROR(VLOOKUP(E1710,TabProd,5,FALSE),0)+SUMIFS($H$5:H1710,$E$5:E1710,E1710)-SUMIFS($I$5:I1710,$E$5:E1710,E1710))</f>
        <v/>
      </c>
      <c r="K1710" s="7"/>
      <c r="L1710" s="7"/>
      <c r="M1710" s="1" t="str">
        <f>IF(E1710="","",E1710&amp;"|"&amp;COUNTIF($E$5:E1710,E1710))</f>
        <v/>
      </c>
    </row>
    <row r="1711" spans="2:13" x14ac:dyDescent="0.2">
      <c r="B1711" s="10"/>
      <c r="C1711" s="7"/>
      <c r="D1711" s="11"/>
      <c r="E1711" s="6"/>
      <c r="F1711" s="12" t="str">
        <f t="shared" si="52"/>
        <v/>
      </c>
      <c r="G1711" s="13" t="str">
        <f t="shared" si="53"/>
        <v/>
      </c>
      <c r="H1711" s="9"/>
      <c r="I1711" s="9"/>
      <c r="J1711" s="14" t="str">
        <f>IF(E1711="","",IFERROR(VLOOKUP(E1711,TabProd,5,FALSE),0)+SUMIFS($H$5:H1711,$E$5:E1711,E1711)-SUMIFS($I$5:I1711,$E$5:E1711,E1711))</f>
        <v/>
      </c>
      <c r="K1711" s="7"/>
      <c r="L1711" s="7"/>
      <c r="M1711" s="1" t="str">
        <f>IF(E1711="","",E1711&amp;"|"&amp;COUNTIF($E$5:E1711,E1711))</f>
        <v/>
      </c>
    </row>
    <row r="1712" spans="2:13" x14ac:dyDescent="0.2">
      <c r="B1712" s="10"/>
      <c r="C1712" s="7"/>
      <c r="D1712" s="11"/>
      <c r="E1712" s="6"/>
      <c r="F1712" s="12" t="str">
        <f t="shared" si="52"/>
        <v/>
      </c>
      <c r="G1712" s="13" t="str">
        <f t="shared" si="53"/>
        <v/>
      </c>
      <c r="H1712" s="9"/>
      <c r="I1712" s="9"/>
      <c r="J1712" s="14" t="str">
        <f>IF(E1712="","",IFERROR(VLOOKUP(E1712,TabProd,5,FALSE),0)+SUMIFS($H$5:H1712,$E$5:E1712,E1712)-SUMIFS($I$5:I1712,$E$5:E1712,E1712))</f>
        <v/>
      </c>
      <c r="K1712" s="7"/>
      <c r="L1712" s="7"/>
      <c r="M1712" s="1" t="str">
        <f>IF(E1712="","",E1712&amp;"|"&amp;COUNTIF($E$5:E1712,E1712))</f>
        <v/>
      </c>
    </row>
    <row r="1713" spans="2:13" x14ac:dyDescent="0.2">
      <c r="B1713" s="10"/>
      <c r="C1713" s="7"/>
      <c r="D1713" s="11"/>
      <c r="E1713" s="6"/>
      <c r="F1713" s="12" t="str">
        <f t="shared" si="52"/>
        <v/>
      </c>
      <c r="G1713" s="13" t="str">
        <f t="shared" si="53"/>
        <v/>
      </c>
      <c r="H1713" s="9"/>
      <c r="I1713" s="9"/>
      <c r="J1713" s="14" t="str">
        <f>IF(E1713="","",IFERROR(VLOOKUP(E1713,TabProd,5,FALSE),0)+SUMIFS($H$5:H1713,$E$5:E1713,E1713)-SUMIFS($I$5:I1713,$E$5:E1713,E1713))</f>
        <v/>
      </c>
      <c r="K1713" s="7"/>
      <c r="L1713" s="7"/>
      <c r="M1713" s="1" t="str">
        <f>IF(E1713="","",E1713&amp;"|"&amp;COUNTIF($E$5:E1713,E1713))</f>
        <v/>
      </c>
    </row>
    <row r="1714" spans="2:13" x14ac:dyDescent="0.2">
      <c r="B1714" s="10"/>
      <c r="C1714" s="7"/>
      <c r="D1714" s="11"/>
      <c r="E1714" s="6"/>
      <c r="F1714" s="12" t="str">
        <f t="shared" si="52"/>
        <v/>
      </c>
      <c r="G1714" s="13" t="str">
        <f t="shared" si="53"/>
        <v/>
      </c>
      <c r="H1714" s="9"/>
      <c r="I1714" s="9"/>
      <c r="J1714" s="14" t="str">
        <f>IF(E1714="","",IFERROR(VLOOKUP(E1714,TabProd,5,FALSE),0)+SUMIFS($H$5:H1714,$E$5:E1714,E1714)-SUMIFS($I$5:I1714,$E$5:E1714,E1714))</f>
        <v/>
      </c>
      <c r="K1714" s="7"/>
      <c r="L1714" s="7"/>
      <c r="M1714" s="1" t="str">
        <f>IF(E1714="","",E1714&amp;"|"&amp;COUNTIF($E$5:E1714,E1714))</f>
        <v/>
      </c>
    </row>
    <row r="1715" spans="2:13" x14ac:dyDescent="0.2">
      <c r="B1715" s="10"/>
      <c r="C1715" s="7"/>
      <c r="D1715" s="11"/>
      <c r="E1715" s="6"/>
      <c r="F1715" s="12" t="str">
        <f t="shared" si="52"/>
        <v/>
      </c>
      <c r="G1715" s="13" t="str">
        <f t="shared" si="53"/>
        <v/>
      </c>
      <c r="H1715" s="9"/>
      <c r="I1715" s="9"/>
      <c r="J1715" s="14" t="str">
        <f>IF(E1715="","",IFERROR(VLOOKUP(E1715,TabProd,5,FALSE),0)+SUMIFS($H$5:H1715,$E$5:E1715,E1715)-SUMIFS($I$5:I1715,$E$5:E1715,E1715))</f>
        <v/>
      </c>
      <c r="K1715" s="7"/>
      <c r="L1715" s="7"/>
      <c r="M1715" s="1" t="str">
        <f>IF(E1715="","",E1715&amp;"|"&amp;COUNTIF($E$5:E1715,E1715))</f>
        <v/>
      </c>
    </row>
    <row r="1716" spans="2:13" x14ac:dyDescent="0.2">
      <c r="B1716" s="10"/>
      <c r="C1716" s="7"/>
      <c r="D1716" s="11"/>
      <c r="E1716" s="6"/>
      <c r="F1716" s="12" t="str">
        <f t="shared" si="52"/>
        <v/>
      </c>
      <c r="G1716" s="13" t="str">
        <f t="shared" si="53"/>
        <v/>
      </c>
      <c r="H1716" s="9"/>
      <c r="I1716" s="9"/>
      <c r="J1716" s="14" t="str">
        <f>IF(E1716="","",IFERROR(VLOOKUP(E1716,TabProd,5,FALSE),0)+SUMIFS($H$5:H1716,$E$5:E1716,E1716)-SUMIFS($I$5:I1716,$E$5:E1716,E1716))</f>
        <v/>
      </c>
      <c r="K1716" s="7"/>
      <c r="L1716" s="7"/>
      <c r="M1716" s="1" t="str">
        <f>IF(E1716="","",E1716&amp;"|"&amp;COUNTIF($E$5:E1716,E1716))</f>
        <v/>
      </c>
    </row>
    <row r="1717" spans="2:13" x14ac:dyDescent="0.2">
      <c r="B1717" s="10"/>
      <c r="C1717" s="7"/>
      <c r="D1717" s="11"/>
      <c r="E1717" s="6"/>
      <c r="F1717" s="12" t="str">
        <f t="shared" si="52"/>
        <v/>
      </c>
      <c r="G1717" s="13" t="str">
        <f t="shared" si="53"/>
        <v/>
      </c>
      <c r="H1717" s="9"/>
      <c r="I1717" s="9"/>
      <c r="J1717" s="14" t="str">
        <f>IF(E1717="","",IFERROR(VLOOKUP(E1717,TabProd,5,FALSE),0)+SUMIFS($H$5:H1717,$E$5:E1717,E1717)-SUMIFS($I$5:I1717,$E$5:E1717,E1717))</f>
        <v/>
      </c>
      <c r="K1717" s="7"/>
      <c r="L1717" s="7"/>
      <c r="M1717" s="1" t="str">
        <f>IF(E1717="","",E1717&amp;"|"&amp;COUNTIF($E$5:E1717,E1717))</f>
        <v/>
      </c>
    </row>
    <row r="1718" spans="2:13" x14ac:dyDescent="0.2">
      <c r="B1718" s="10"/>
      <c r="C1718" s="7"/>
      <c r="D1718" s="11"/>
      <c r="E1718" s="6"/>
      <c r="F1718" s="12" t="str">
        <f t="shared" si="52"/>
        <v/>
      </c>
      <c r="G1718" s="13" t="str">
        <f t="shared" si="53"/>
        <v/>
      </c>
      <c r="H1718" s="9"/>
      <c r="I1718" s="9"/>
      <c r="J1718" s="14" t="str">
        <f>IF(E1718="","",IFERROR(VLOOKUP(E1718,TabProd,5,FALSE),0)+SUMIFS($H$5:H1718,$E$5:E1718,E1718)-SUMIFS($I$5:I1718,$E$5:E1718,E1718))</f>
        <v/>
      </c>
      <c r="K1718" s="7"/>
      <c r="L1718" s="7"/>
      <c r="M1718" s="1" t="str">
        <f>IF(E1718="","",E1718&amp;"|"&amp;COUNTIF($E$5:E1718,E1718))</f>
        <v/>
      </c>
    </row>
    <row r="1719" spans="2:13" x14ac:dyDescent="0.2">
      <c r="B1719" s="10"/>
      <c r="C1719" s="7"/>
      <c r="D1719" s="11"/>
      <c r="E1719" s="6"/>
      <c r="F1719" s="12" t="str">
        <f t="shared" si="52"/>
        <v/>
      </c>
      <c r="G1719" s="13" t="str">
        <f t="shared" si="53"/>
        <v/>
      </c>
      <c r="H1719" s="9"/>
      <c r="I1719" s="9"/>
      <c r="J1719" s="14" t="str">
        <f>IF(E1719="","",IFERROR(VLOOKUP(E1719,TabProd,5,FALSE),0)+SUMIFS($H$5:H1719,$E$5:E1719,E1719)-SUMIFS($I$5:I1719,$E$5:E1719,E1719))</f>
        <v/>
      </c>
      <c r="K1719" s="7"/>
      <c r="L1719" s="7"/>
      <c r="M1719" s="1" t="str">
        <f>IF(E1719="","",E1719&amp;"|"&amp;COUNTIF($E$5:E1719,E1719))</f>
        <v/>
      </c>
    </row>
    <row r="1720" spans="2:13" x14ac:dyDescent="0.2">
      <c r="B1720" s="10"/>
      <c r="C1720" s="7"/>
      <c r="D1720" s="11"/>
      <c r="E1720" s="6"/>
      <c r="F1720" s="12" t="str">
        <f t="shared" si="52"/>
        <v/>
      </c>
      <c r="G1720" s="13" t="str">
        <f t="shared" si="53"/>
        <v/>
      </c>
      <c r="H1720" s="9"/>
      <c r="I1720" s="9"/>
      <c r="J1720" s="14" t="str">
        <f>IF(E1720="","",IFERROR(VLOOKUP(E1720,TabProd,5,FALSE),0)+SUMIFS($H$5:H1720,$E$5:E1720,E1720)-SUMIFS($I$5:I1720,$E$5:E1720,E1720))</f>
        <v/>
      </c>
      <c r="K1720" s="7"/>
      <c r="L1720" s="7"/>
      <c r="M1720" s="1" t="str">
        <f>IF(E1720="","",E1720&amp;"|"&amp;COUNTIF($E$5:E1720,E1720))</f>
        <v/>
      </c>
    </row>
    <row r="1721" spans="2:13" x14ac:dyDescent="0.2">
      <c r="B1721" s="10"/>
      <c r="C1721" s="7"/>
      <c r="D1721" s="11"/>
      <c r="E1721" s="6"/>
      <c r="F1721" s="12" t="str">
        <f t="shared" si="52"/>
        <v/>
      </c>
      <c r="G1721" s="13" t="str">
        <f t="shared" si="53"/>
        <v/>
      </c>
      <c r="H1721" s="9"/>
      <c r="I1721" s="9"/>
      <c r="J1721" s="14" t="str">
        <f>IF(E1721="","",IFERROR(VLOOKUP(E1721,TabProd,5,FALSE),0)+SUMIFS($H$5:H1721,$E$5:E1721,E1721)-SUMIFS($I$5:I1721,$E$5:E1721,E1721))</f>
        <v/>
      </c>
      <c r="K1721" s="7"/>
      <c r="L1721" s="7"/>
      <c r="M1721" s="1" t="str">
        <f>IF(E1721="","",E1721&amp;"|"&amp;COUNTIF($E$5:E1721,E1721))</f>
        <v/>
      </c>
    </row>
    <row r="1722" spans="2:13" x14ac:dyDescent="0.2">
      <c r="B1722" s="10"/>
      <c r="C1722" s="7"/>
      <c r="D1722" s="11"/>
      <c r="E1722" s="6"/>
      <c r="F1722" s="12" t="str">
        <f t="shared" si="52"/>
        <v/>
      </c>
      <c r="G1722" s="13" t="str">
        <f t="shared" si="53"/>
        <v/>
      </c>
      <c r="H1722" s="9"/>
      <c r="I1722" s="9"/>
      <c r="J1722" s="14" t="str">
        <f>IF(E1722="","",IFERROR(VLOOKUP(E1722,TabProd,5,FALSE),0)+SUMIFS($H$5:H1722,$E$5:E1722,E1722)-SUMIFS($I$5:I1722,$E$5:E1722,E1722))</f>
        <v/>
      </c>
      <c r="K1722" s="7"/>
      <c r="L1722" s="7"/>
      <c r="M1722" s="1" t="str">
        <f>IF(E1722="","",E1722&amp;"|"&amp;COUNTIF($E$5:E1722,E1722))</f>
        <v/>
      </c>
    </row>
    <row r="1723" spans="2:13" x14ac:dyDescent="0.2">
      <c r="B1723" s="10"/>
      <c r="C1723" s="7"/>
      <c r="D1723" s="11"/>
      <c r="E1723" s="6"/>
      <c r="F1723" s="12" t="str">
        <f t="shared" si="52"/>
        <v/>
      </c>
      <c r="G1723" s="13" t="str">
        <f t="shared" si="53"/>
        <v/>
      </c>
      <c r="H1723" s="9"/>
      <c r="I1723" s="9"/>
      <c r="J1723" s="14" t="str">
        <f>IF(E1723="","",IFERROR(VLOOKUP(E1723,TabProd,5,FALSE),0)+SUMIFS($H$5:H1723,$E$5:E1723,E1723)-SUMIFS($I$5:I1723,$E$5:E1723,E1723))</f>
        <v/>
      </c>
      <c r="K1723" s="7"/>
      <c r="L1723" s="7"/>
      <c r="M1723" s="1" t="str">
        <f>IF(E1723="","",E1723&amp;"|"&amp;COUNTIF($E$5:E1723,E1723))</f>
        <v/>
      </c>
    </row>
    <row r="1724" spans="2:13" x14ac:dyDescent="0.2">
      <c r="B1724" s="10"/>
      <c r="C1724" s="7"/>
      <c r="D1724" s="11"/>
      <c r="E1724" s="6"/>
      <c r="F1724" s="12" t="str">
        <f t="shared" si="52"/>
        <v/>
      </c>
      <c r="G1724" s="13" t="str">
        <f t="shared" si="53"/>
        <v/>
      </c>
      <c r="H1724" s="9"/>
      <c r="I1724" s="9"/>
      <c r="J1724" s="14" t="str">
        <f>IF(E1724="","",IFERROR(VLOOKUP(E1724,TabProd,5,FALSE),0)+SUMIFS($H$5:H1724,$E$5:E1724,E1724)-SUMIFS($I$5:I1724,$E$5:E1724,E1724))</f>
        <v/>
      </c>
      <c r="K1724" s="7"/>
      <c r="L1724" s="7"/>
      <c r="M1724" s="1" t="str">
        <f>IF(E1724="","",E1724&amp;"|"&amp;COUNTIF($E$5:E1724,E1724))</f>
        <v/>
      </c>
    </row>
    <row r="1725" spans="2:13" x14ac:dyDescent="0.2">
      <c r="B1725" s="10"/>
      <c r="C1725" s="7"/>
      <c r="D1725" s="11"/>
      <c r="E1725" s="6"/>
      <c r="F1725" s="12" t="str">
        <f t="shared" si="52"/>
        <v/>
      </c>
      <c r="G1725" s="13" t="str">
        <f t="shared" si="53"/>
        <v/>
      </c>
      <c r="H1725" s="9"/>
      <c r="I1725" s="9"/>
      <c r="J1725" s="14" t="str">
        <f>IF(E1725="","",IFERROR(VLOOKUP(E1725,TabProd,5,FALSE),0)+SUMIFS($H$5:H1725,$E$5:E1725,E1725)-SUMIFS($I$5:I1725,$E$5:E1725,E1725))</f>
        <v/>
      </c>
      <c r="K1725" s="7"/>
      <c r="L1725" s="7"/>
      <c r="M1725" s="1" t="str">
        <f>IF(E1725="","",E1725&amp;"|"&amp;COUNTIF($E$5:E1725,E1725))</f>
        <v/>
      </c>
    </row>
    <row r="1726" spans="2:13" x14ac:dyDescent="0.2">
      <c r="B1726" s="10"/>
      <c r="C1726" s="7"/>
      <c r="D1726" s="11"/>
      <c r="E1726" s="6"/>
      <c r="F1726" s="12" t="str">
        <f t="shared" si="52"/>
        <v/>
      </c>
      <c r="G1726" s="13" t="str">
        <f t="shared" si="53"/>
        <v/>
      </c>
      <c r="H1726" s="9"/>
      <c r="I1726" s="9"/>
      <c r="J1726" s="14" t="str">
        <f>IF(E1726="","",IFERROR(VLOOKUP(E1726,TabProd,5,FALSE),0)+SUMIFS($H$5:H1726,$E$5:E1726,E1726)-SUMIFS($I$5:I1726,$E$5:E1726,E1726))</f>
        <v/>
      </c>
      <c r="K1726" s="7"/>
      <c r="L1726" s="7"/>
      <c r="M1726" s="1" t="str">
        <f>IF(E1726="","",E1726&amp;"|"&amp;COUNTIF($E$5:E1726,E1726))</f>
        <v/>
      </c>
    </row>
    <row r="1727" spans="2:13" x14ac:dyDescent="0.2">
      <c r="B1727" s="10"/>
      <c r="C1727" s="7"/>
      <c r="D1727" s="11"/>
      <c r="E1727" s="6"/>
      <c r="F1727" s="12" t="str">
        <f t="shared" si="52"/>
        <v/>
      </c>
      <c r="G1727" s="13" t="str">
        <f t="shared" si="53"/>
        <v/>
      </c>
      <c r="H1727" s="9"/>
      <c r="I1727" s="9"/>
      <c r="J1727" s="14" t="str">
        <f>IF(E1727="","",IFERROR(VLOOKUP(E1727,TabProd,5,FALSE),0)+SUMIFS($H$5:H1727,$E$5:E1727,E1727)-SUMIFS($I$5:I1727,$E$5:E1727,E1727))</f>
        <v/>
      </c>
      <c r="K1727" s="7"/>
      <c r="L1727" s="7"/>
      <c r="M1727" s="1" t="str">
        <f>IF(E1727="","",E1727&amp;"|"&amp;COUNTIF($E$5:E1727,E1727))</f>
        <v/>
      </c>
    </row>
    <row r="1728" spans="2:13" x14ac:dyDescent="0.2">
      <c r="B1728" s="10"/>
      <c r="C1728" s="7"/>
      <c r="D1728" s="11"/>
      <c r="E1728" s="6"/>
      <c r="F1728" s="12" t="str">
        <f t="shared" si="52"/>
        <v/>
      </c>
      <c r="G1728" s="13" t="str">
        <f t="shared" si="53"/>
        <v/>
      </c>
      <c r="H1728" s="9"/>
      <c r="I1728" s="9"/>
      <c r="J1728" s="14" t="str">
        <f>IF(E1728="","",IFERROR(VLOOKUP(E1728,TabProd,5,FALSE),0)+SUMIFS($H$5:H1728,$E$5:E1728,E1728)-SUMIFS($I$5:I1728,$E$5:E1728,E1728))</f>
        <v/>
      </c>
      <c r="K1728" s="7"/>
      <c r="L1728" s="7"/>
      <c r="M1728" s="1" t="str">
        <f>IF(E1728="","",E1728&amp;"|"&amp;COUNTIF($E$5:E1728,E1728))</f>
        <v/>
      </c>
    </row>
    <row r="1729" spans="2:13" x14ac:dyDescent="0.2">
      <c r="B1729" s="10"/>
      <c r="C1729" s="7"/>
      <c r="D1729" s="11"/>
      <c r="E1729" s="6"/>
      <c r="F1729" s="12" t="str">
        <f t="shared" si="52"/>
        <v/>
      </c>
      <c r="G1729" s="13" t="str">
        <f t="shared" si="53"/>
        <v/>
      </c>
      <c r="H1729" s="9"/>
      <c r="I1729" s="9"/>
      <c r="J1729" s="14" t="str">
        <f>IF(E1729="","",IFERROR(VLOOKUP(E1729,TabProd,5,FALSE),0)+SUMIFS($H$5:H1729,$E$5:E1729,E1729)-SUMIFS($I$5:I1729,$E$5:E1729,E1729))</f>
        <v/>
      </c>
      <c r="K1729" s="7"/>
      <c r="L1729" s="7"/>
      <c r="M1729" s="1" t="str">
        <f>IF(E1729="","",E1729&amp;"|"&amp;COUNTIF($E$5:E1729,E1729))</f>
        <v/>
      </c>
    </row>
    <row r="1730" spans="2:13" x14ac:dyDescent="0.2">
      <c r="B1730" s="10"/>
      <c r="C1730" s="7"/>
      <c r="D1730" s="11"/>
      <c r="E1730" s="6"/>
      <c r="F1730" s="12" t="str">
        <f t="shared" si="52"/>
        <v/>
      </c>
      <c r="G1730" s="13" t="str">
        <f t="shared" si="53"/>
        <v/>
      </c>
      <c r="H1730" s="9"/>
      <c r="I1730" s="9"/>
      <c r="J1730" s="14" t="str">
        <f>IF(E1730="","",IFERROR(VLOOKUP(E1730,TabProd,5,FALSE),0)+SUMIFS($H$5:H1730,$E$5:E1730,E1730)-SUMIFS($I$5:I1730,$E$5:E1730,E1730))</f>
        <v/>
      </c>
      <c r="K1730" s="7"/>
      <c r="L1730" s="7"/>
      <c r="M1730" s="1" t="str">
        <f>IF(E1730="","",E1730&amp;"|"&amp;COUNTIF($E$5:E1730,E1730))</f>
        <v/>
      </c>
    </row>
    <row r="1731" spans="2:13" x14ac:dyDescent="0.2">
      <c r="B1731" s="10"/>
      <c r="C1731" s="7"/>
      <c r="D1731" s="11"/>
      <c r="E1731" s="6"/>
      <c r="F1731" s="12" t="str">
        <f t="shared" si="52"/>
        <v/>
      </c>
      <c r="G1731" s="13" t="str">
        <f t="shared" si="53"/>
        <v/>
      </c>
      <c r="H1731" s="9"/>
      <c r="I1731" s="9"/>
      <c r="J1731" s="14" t="str">
        <f>IF(E1731="","",IFERROR(VLOOKUP(E1731,TabProd,5,FALSE),0)+SUMIFS($H$5:H1731,$E$5:E1731,E1731)-SUMIFS($I$5:I1731,$E$5:E1731,E1731))</f>
        <v/>
      </c>
      <c r="K1731" s="7"/>
      <c r="L1731" s="7"/>
      <c r="M1731" s="1" t="str">
        <f>IF(E1731="","",E1731&amp;"|"&amp;COUNTIF($E$5:E1731,E1731))</f>
        <v/>
      </c>
    </row>
    <row r="1732" spans="2:13" x14ac:dyDescent="0.2">
      <c r="B1732" s="10"/>
      <c r="C1732" s="7"/>
      <c r="D1732" s="11"/>
      <c r="E1732" s="6"/>
      <c r="F1732" s="12" t="str">
        <f t="shared" si="52"/>
        <v/>
      </c>
      <c r="G1732" s="13" t="str">
        <f t="shared" si="53"/>
        <v/>
      </c>
      <c r="H1732" s="9"/>
      <c r="I1732" s="9"/>
      <c r="J1732" s="14" t="str">
        <f>IF(E1732="","",IFERROR(VLOOKUP(E1732,TabProd,5,FALSE),0)+SUMIFS($H$5:H1732,$E$5:E1732,E1732)-SUMIFS($I$5:I1732,$E$5:E1732,E1732))</f>
        <v/>
      </c>
      <c r="K1732" s="7"/>
      <c r="L1732" s="7"/>
      <c r="M1732" s="1" t="str">
        <f>IF(E1732="","",E1732&amp;"|"&amp;COUNTIF($E$5:E1732,E1732))</f>
        <v/>
      </c>
    </row>
    <row r="1733" spans="2:13" x14ac:dyDescent="0.2">
      <c r="B1733" s="10"/>
      <c r="C1733" s="7"/>
      <c r="D1733" s="11"/>
      <c r="E1733" s="6"/>
      <c r="F1733" s="12" t="str">
        <f t="shared" ref="F1733:F1796" si="54">IF(E1733="","",IFERROR(VLOOKUP(E1733,TabProd,2,FALSE),"Cod inexistent"))</f>
        <v/>
      </c>
      <c r="G1733" s="13" t="str">
        <f t="shared" ref="G1733:G1796" si="55">IF(E1733="","",IFERROR(VLOOKUP(E1733,TabProd,3,FALSE),""))</f>
        <v/>
      </c>
      <c r="H1733" s="9"/>
      <c r="I1733" s="9"/>
      <c r="J1733" s="14" t="str">
        <f>IF(E1733="","",IFERROR(VLOOKUP(E1733,TabProd,5,FALSE),0)+SUMIFS($H$5:H1733,$E$5:E1733,E1733)-SUMIFS($I$5:I1733,$E$5:E1733,E1733))</f>
        <v/>
      </c>
      <c r="K1733" s="7"/>
      <c r="L1733" s="7"/>
      <c r="M1733" s="1" t="str">
        <f>IF(E1733="","",E1733&amp;"|"&amp;COUNTIF($E$5:E1733,E1733))</f>
        <v/>
      </c>
    </row>
    <row r="1734" spans="2:13" x14ac:dyDescent="0.2">
      <c r="B1734" s="10"/>
      <c r="C1734" s="7"/>
      <c r="D1734" s="11"/>
      <c r="E1734" s="6"/>
      <c r="F1734" s="12" t="str">
        <f t="shared" si="54"/>
        <v/>
      </c>
      <c r="G1734" s="13" t="str">
        <f t="shared" si="55"/>
        <v/>
      </c>
      <c r="H1734" s="9"/>
      <c r="I1734" s="9"/>
      <c r="J1734" s="14" t="str">
        <f>IF(E1734="","",IFERROR(VLOOKUP(E1734,TabProd,5,FALSE),0)+SUMIFS($H$5:H1734,$E$5:E1734,E1734)-SUMIFS($I$5:I1734,$E$5:E1734,E1734))</f>
        <v/>
      </c>
      <c r="K1734" s="7"/>
      <c r="L1734" s="7"/>
      <c r="M1734" s="1" t="str">
        <f>IF(E1734="","",E1734&amp;"|"&amp;COUNTIF($E$5:E1734,E1734))</f>
        <v/>
      </c>
    </row>
    <row r="1735" spans="2:13" x14ac:dyDescent="0.2">
      <c r="B1735" s="10"/>
      <c r="C1735" s="7"/>
      <c r="D1735" s="11"/>
      <c r="E1735" s="6"/>
      <c r="F1735" s="12" t="str">
        <f t="shared" si="54"/>
        <v/>
      </c>
      <c r="G1735" s="13" t="str">
        <f t="shared" si="55"/>
        <v/>
      </c>
      <c r="H1735" s="9"/>
      <c r="I1735" s="9"/>
      <c r="J1735" s="14" t="str">
        <f>IF(E1735="","",IFERROR(VLOOKUP(E1735,TabProd,5,FALSE),0)+SUMIFS($H$5:H1735,$E$5:E1735,E1735)-SUMIFS($I$5:I1735,$E$5:E1735,E1735))</f>
        <v/>
      </c>
      <c r="K1735" s="7"/>
      <c r="L1735" s="7"/>
      <c r="M1735" s="1" t="str">
        <f>IF(E1735="","",E1735&amp;"|"&amp;COUNTIF($E$5:E1735,E1735))</f>
        <v/>
      </c>
    </row>
    <row r="1736" spans="2:13" x14ac:dyDescent="0.2">
      <c r="B1736" s="10"/>
      <c r="C1736" s="7"/>
      <c r="D1736" s="11"/>
      <c r="E1736" s="6"/>
      <c r="F1736" s="12" t="str">
        <f t="shared" si="54"/>
        <v/>
      </c>
      <c r="G1736" s="13" t="str">
        <f t="shared" si="55"/>
        <v/>
      </c>
      <c r="H1736" s="9"/>
      <c r="I1736" s="9"/>
      <c r="J1736" s="14" t="str">
        <f>IF(E1736="","",IFERROR(VLOOKUP(E1736,TabProd,5,FALSE),0)+SUMIFS($H$5:H1736,$E$5:E1736,E1736)-SUMIFS($I$5:I1736,$E$5:E1736,E1736))</f>
        <v/>
      </c>
      <c r="K1736" s="7"/>
      <c r="L1736" s="7"/>
      <c r="M1736" s="1" t="str">
        <f>IF(E1736="","",E1736&amp;"|"&amp;COUNTIF($E$5:E1736,E1736))</f>
        <v/>
      </c>
    </row>
    <row r="1737" spans="2:13" x14ac:dyDescent="0.2">
      <c r="B1737" s="10"/>
      <c r="C1737" s="7"/>
      <c r="D1737" s="11"/>
      <c r="E1737" s="6"/>
      <c r="F1737" s="12" t="str">
        <f t="shared" si="54"/>
        <v/>
      </c>
      <c r="G1737" s="13" t="str">
        <f t="shared" si="55"/>
        <v/>
      </c>
      <c r="H1737" s="9"/>
      <c r="I1737" s="9"/>
      <c r="J1737" s="14" t="str">
        <f>IF(E1737="","",IFERROR(VLOOKUP(E1737,TabProd,5,FALSE),0)+SUMIFS($H$5:H1737,$E$5:E1737,E1737)-SUMIFS($I$5:I1737,$E$5:E1737,E1737))</f>
        <v/>
      </c>
      <c r="K1737" s="7"/>
      <c r="L1737" s="7"/>
      <c r="M1737" s="1" t="str">
        <f>IF(E1737="","",E1737&amp;"|"&amp;COUNTIF($E$5:E1737,E1737))</f>
        <v/>
      </c>
    </row>
    <row r="1738" spans="2:13" x14ac:dyDescent="0.2">
      <c r="B1738" s="10"/>
      <c r="C1738" s="7"/>
      <c r="D1738" s="11"/>
      <c r="E1738" s="6"/>
      <c r="F1738" s="12" t="str">
        <f t="shared" si="54"/>
        <v/>
      </c>
      <c r="G1738" s="13" t="str">
        <f t="shared" si="55"/>
        <v/>
      </c>
      <c r="H1738" s="9"/>
      <c r="I1738" s="9"/>
      <c r="J1738" s="14" t="str">
        <f>IF(E1738="","",IFERROR(VLOOKUP(E1738,TabProd,5,FALSE),0)+SUMIFS($H$5:H1738,$E$5:E1738,E1738)-SUMIFS($I$5:I1738,$E$5:E1738,E1738))</f>
        <v/>
      </c>
      <c r="K1738" s="7"/>
      <c r="L1738" s="7"/>
      <c r="M1738" s="1" t="str">
        <f>IF(E1738="","",E1738&amp;"|"&amp;COUNTIF($E$5:E1738,E1738))</f>
        <v/>
      </c>
    </row>
    <row r="1739" spans="2:13" x14ac:dyDescent="0.2">
      <c r="B1739" s="10"/>
      <c r="C1739" s="7"/>
      <c r="D1739" s="11"/>
      <c r="E1739" s="6"/>
      <c r="F1739" s="12" t="str">
        <f t="shared" si="54"/>
        <v/>
      </c>
      <c r="G1739" s="13" t="str">
        <f t="shared" si="55"/>
        <v/>
      </c>
      <c r="H1739" s="9"/>
      <c r="I1739" s="9"/>
      <c r="J1739" s="14" t="str">
        <f>IF(E1739="","",IFERROR(VLOOKUP(E1739,TabProd,5,FALSE),0)+SUMIFS($H$5:H1739,$E$5:E1739,E1739)-SUMIFS($I$5:I1739,$E$5:E1739,E1739))</f>
        <v/>
      </c>
      <c r="K1739" s="7"/>
      <c r="L1739" s="7"/>
      <c r="M1739" s="1" t="str">
        <f>IF(E1739="","",E1739&amp;"|"&amp;COUNTIF($E$5:E1739,E1739))</f>
        <v/>
      </c>
    </row>
    <row r="1740" spans="2:13" x14ac:dyDescent="0.2">
      <c r="B1740" s="10"/>
      <c r="C1740" s="7"/>
      <c r="D1740" s="11"/>
      <c r="E1740" s="6"/>
      <c r="F1740" s="12" t="str">
        <f t="shared" si="54"/>
        <v/>
      </c>
      <c r="G1740" s="13" t="str">
        <f t="shared" si="55"/>
        <v/>
      </c>
      <c r="H1740" s="9"/>
      <c r="I1740" s="9"/>
      <c r="J1740" s="14" t="str">
        <f>IF(E1740="","",IFERROR(VLOOKUP(E1740,TabProd,5,FALSE),0)+SUMIFS($H$5:H1740,$E$5:E1740,E1740)-SUMIFS($I$5:I1740,$E$5:E1740,E1740))</f>
        <v/>
      </c>
      <c r="K1740" s="7"/>
      <c r="L1740" s="7"/>
      <c r="M1740" s="1" t="str">
        <f>IF(E1740="","",E1740&amp;"|"&amp;COUNTIF($E$5:E1740,E1740))</f>
        <v/>
      </c>
    </row>
    <row r="1741" spans="2:13" x14ac:dyDescent="0.2">
      <c r="B1741" s="10"/>
      <c r="C1741" s="7"/>
      <c r="D1741" s="11"/>
      <c r="E1741" s="6"/>
      <c r="F1741" s="12" t="str">
        <f t="shared" si="54"/>
        <v/>
      </c>
      <c r="G1741" s="13" t="str">
        <f t="shared" si="55"/>
        <v/>
      </c>
      <c r="H1741" s="9"/>
      <c r="I1741" s="9"/>
      <c r="J1741" s="14" t="str">
        <f>IF(E1741="","",IFERROR(VLOOKUP(E1741,TabProd,5,FALSE),0)+SUMIFS($H$5:H1741,$E$5:E1741,E1741)-SUMIFS($I$5:I1741,$E$5:E1741,E1741))</f>
        <v/>
      </c>
      <c r="K1741" s="7"/>
      <c r="L1741" s="7"/>
      <c r="M1741" s="1" t="str">
        <f>IF(E1741="","",E1741&amp;"|"&amp;COUNTIF($E$5:E1741,E1741))</f>
        <v/>
      </c>
    </row>
    <row r="1742" spans="2:13" x14ac:dyDescent="0.2">
      <c r="B1742" s="10"/>
      <c r="C1742" s="7"/>
      <c r="D1742" s="11"/>
      <c r="E1742" s="6"/>
      <c r="F1742" s="12" t="str">
        <f t="shared" si="54"/>
        <v/>
      </c>
      <c r="G1742" s="13" t="str">
        <f t="shared" si="55"/>
        <v/>
      </c>
      <c r="H1742" s="9"/>
      <c r="I1742" s="9"/>
      <c r="J1742" s="14" t="str">
        <f>IF(E1742="","",IFERROR(VLOOKUP(E1742,TabProd,5,FALSE),0)+SUMIFS($H$5:H1742,$E$5:E1742,E1742)-SUMIFS($I$5:I1742,$E$5:E1742,E1742))</f>
        <v/>
      </c>
      <c r="K1742" s="7"/>
      <c r="L1742" s="7"/>
      <c r="M1742" s="1" t="str">
        <f>IF(E1742="","",E1742&amp;"|"&amp;COUNTIF($E$5:E1742,E1742))</f>
        <v/>
      </c>
    </row>
    <row r="1743" spans="2:13" x14ac:dyDescent="0.2">
      <c r="B1743" s="10"/>
      <c r="C1743" s="7"/>
      <c r="D1743" s="11"/>
      <c r="E1743" s="6"/>
      <c r="F1743" s="12" t="str">
        <f t="shared" si="54"/>
        <v/>
      </c>
      <c r="G1743" s="13" t="str">
        <f t="shared" si="55"/>
        <v/>
      </c>
      <c r="H1743" s="9"/>
      <c r="I1743" s="9"/>
      <c r="J1743" s="14" t="str">
        <f>IF(E1743="","",IFERROR(VLOOKUP(E1743,TabProd,5,FALSE),0)+SUMIFS($H$5:H1743,$E$5:E1743,E1743)-SUMIFS($I$5:I1743,$E$5:E1743,E1743))</f>
        <v/>
      </c>
      <c r="K1743" s="7"/>
      <c r="L1743" s="7"/>
      <c r="M1743" s="1" t="str">
        <f>IF(E1743="","",E1743&amp;"|"&amp;COUNTIF($E$5:E1743,E1743))</f>
        <v/>
      </c>
    </row>
    <row r="1744" spans="2:13" x14ac:dyDescent="0.2">
      <c r="B1744" s="10"/>
      <c r="C1744" s="7"/>
      <c r="D1744" s="11"/>
      <c r="E1744" s="6"/>
      <c r="F1744" s="12" t="str">
        <f t="shared" si="54"/>
        <v/>
      </c>
      <c r="G1744" s="13" t="str">
        <f t="shared" si="55"/>
        <v/>
      </c>
      <c r="H1744" s="9"/>
      <c r="I1744" s="9"/>
      <c r="J1744" s="14" t="str">
        <f>IF(E1744="","",IFERROR(VLOOKUP(E1744,TabProd,5,FALSE),0)+SUMIFS($H$5:H1744,$E$5:E1744,E1744)-SUMIFS($I$5:I1744,$E$5:E1744,E1744))</f>
        <v/>
      </c>
      <c r="K1744" s="7"/>
      <c r="L1744" s="7"/>
      <c r="M1744" s="1" t="str">
        <f>IF(E1744="","",E1744&amp;"|"&amp;COUNTIF($E$5:E1744,E1744))</f>
        <v/>
      </c>
    </row>
    <row r="1745" spans="2:13" x14ac:dyDescent="0.2">
      <c r="B1745" s="10"/>
      <c r="C1745" s="7"/>
      <c r="D1745" s="11"/>
      <c r="E1745" s="6"/>
      <c r="F1745" s="12" t="str">
        <f t="shared" si="54"/>
        <v/>
      </c>
      <c r="G1745" s="13" t="str">
        <f t="shared" si="55"/>
        <v/>
      </c>
      <c r="H1745" s="9"/>
      <c r="I1745" s="9"/>
      <c r="J1745" s="14" t="str">
        <f>IF(E1745="","",IFERROR(VLOOKUP(E1745,TabProd,5,FALSE),0)+SUMIFS($H$5:H1745,$E$5:E1745,E1745)-SUMIFS($I$5:I1745,$E$5:E1745,E1745))</f>
        <v/>
      </c>
      <c r="K1745" s="7"/>
      <c r="L1745" s="7"/>
      <c r="M1745" s="1" t="str">
        <f>IF(E1745="","",E1745&amp;"|"&amp;COUNTIF($E$5:E1745,E1745))</f>
        <v/>
      </c>
    </row>
    <row r="1746" spans="2:13" x14ac:dyDescent="0.2">
      <c r="B1746" s="10"/>
      <c r="C1746" s="7"/>
      <c r="D1746" s="11"/>
      <c r="E1746" s="6"/>
      <c r="F1746" s="12" t="str">
        <f t="shared" si="54"/>
        <v/>
      </c>
      <c r="G1746" s="13" t="str">
        <f t="shared" si="55"/>
        <v/>
      </c>
      <c r="H1746" s="9"/>
      <c r="I1746" s="9"/>
      <c r="J1746" s="14" t="str">
        <f>IF(E1746="","",IFERROR(VLOOKUP(E1746,TabProd,5,FALSE),0)+SUMIFS($H$5:H1746,$E$5:E1746,E1746)-SUMIFS($I$5:I1746,$E$5:E1746,E1746))</f>
        <v/>
      </c>
      <c r="K1746" s="7"/>
      <c r="L1746" s="7"/>
      <c r="M1746" s="1" t="str">
        <f>IF(E1746="","",E1746&amp;"|"&amp;COUNTIF($E$5:E1746,E1746))</f>
        <v/>
      </c>
    </row>
    <row r="1747" spans="2:13" x14ac:dyDescent="0.2">
      <c r="B1747" s="10"/>
      <c r="C1747" s="7"/>
      <c r="D1747" s="11"/>
      <c r="E1747" s="6"/>
      <c r="F1747" s="12" t="str">
        <f t="shared" si="54"/>
        <v/>
      </c>
      <c r="G1747" s="13" t="str">
        <f t="shared" si="55"/>
        <v/>
      </c>
      <c r="H1747" s="9"/>
      <c r="I1747" s="9"/>
      <c r="J1747" s="14" t="str">
        <f>IF(E1747="","",IFERROR(VLOOKUP(E1747,TabProd,5,FALSE),0)+SUMIFS($H$5:H1747,$E$5:E1747,E1747)-SUMIFS($I$5:I1747,$E$5:E1747,E1747))</f>
        <v/>
      </c>
      <c r="K1747" s="7"/>
      <c r="L1747" s="7"/>
      <c r="M1747" s="1" t="str">
        <f>IF(E1747="","",E1747&amp;"|"&amp;COUNTIF($E$5:E1747,E1747))</f>
        <v/>
      </c>
    </row>
    <row r="1748" spans="2:13" x14ac:dyDescent="0.2">
      <c r="B1748" s="10"/>
      <c r="C1748" s="7"/>
      <c r="D1748" s="11"/>
      <c r="E1748" s="6"/>
      <c r="F1748" s="12" t="str">
        <f t="shared" si="54"/>
        <v/>
      </c>
      <c r="G1748" s="13" t="str">
        <f t="shared" si="55"/>
        <v/>
      </c>
      <c r="H1748" s="9"/>
      <c r="I1748" s="9"/>
      <c r="J1748" s="14" t="str">
        <f>IF(E1748="","",IFERROR(VLOOKUP(E1748,TabProd,5,FALSE),0)+SUMIFS($H$5:H1748,$E$5:E1748,E1748)-SUMIFS($I$5:I1748,$E$5:E1748,E1748))</f>
        <v/>
      </c>
      <c r="K1748" s="7"/>
      <c r="L1748" s="7"/>
      <c r="M1748" s="1" t="str">
        <f>IF(E1748="","",E1748&amp;"|"&amp;COUNTIF($E$5:E1748,E1748))</f>
        <v/>
      </c>
    </row>
    <row r="1749" spans="2:13" x14ac:dyDescent="0.2">
      <c r="B1749" s="10"/>
      <c r="C1749" s="7"/>
      <c r="D1749" s="11"/>
      <c r="E1749" s="6"/>
      <c r="F1749" s="12" t="str">
        <f t="shared" si="54"/>
        <v/>
      </c>
      <c r="G1749" s="13" t="str">
        <f t="shared" si="55"/>
        <v/>
      </c>
      <c r="H1749" s="9"/>
      <c r="I1749" s="9"/>
      <c r="J1749" s="14" t="str">
        <f>IF(E1749="","",IFERROR(VLOOKUP(E1749,TabProd,5,FALSE),0)+SUMIFS($H$5:H1749,$E$5:E1749,E1749)-SUMIFS($I$5:I1749,$E$5:E1749,E1749))</f>
        <v/>
      </c>
      <c r="K1749" s="7"/>
      <c r="L1749" s="7"/>
      <c r="M1749" s="1" t="str">
        <f>IF(E1749="","",E1749&amp;"|"&amp;COUNTIF($E$5:E1749,E1749))</f>
        <v/>
      </c>
    </row>
    <row r="1750" spans="2:13" x14ac:dyDescent="0.2">
      <c r="B1750" s="10"/>
      <c r="C1750" s="7"/>
      <c r="D1750" s="11"/>
      <c r="E1750" s="6"/>
      <c r="F1750" s="12" t="str">
        <f t="shared" si="54"/>
        <v/>
      </c>
      <c r="G1750" s="13" t="str">
        <f t="shared" si="55"/>
        <v/>
      </c>
      <c r="H1750" s="9"/>
      <c r="I1750" s="9"/>
      <c r="J1750" s="14" t="str">
        <f>IF(E1750="","",IFERROR(VLOOKUP(E1750,TabProd,5,FALSE),0)+SUMIFS($H$5:H1750,$E$5:E1750,E1750)-SUMIFS($I$5:I1750,$E$5:E1750,E1750))</f>
        <v/>
      </c>
      <c r="K1750" s="7"/>
      <c r="L1750" s="7"/>
      <c r="M1750" s="1" t="str">
        <f>IF(E1750="","",E1750&amp;"|"&amp;COUNTIF($E$5:E1750,E1750))</f>
        <v/>
      </c>
    </row>
    <row r="1751" spans="2:13" x14ac:dyDescent="0.2">
      <c r="B1751" s="10"/>
      <c r="C1751" s="7"/>
      <c r="D1751" s="11"/>
      <c r="E1751" s="6"/>
      <c r="F1751" s="12" t="str">
        <f t="shared" si="54"/>
        <v/>
      </c>
      <c r="G1751" s="13" t="str">
        <f t="shared" si="55"/>
        <v/>
      </c>
      <c r="H1751" s="9"/>
      <c r="I1751" s="9"/>
      <c r="J1751" s="14" t="str">
        <f>IF(E1751="","",IFERROR(VLOOKUP(E1751,TabProd,5,FALSE),0)+SUMIFS($H$5:H1751,$E$5:E1751,E1751)-SUMIFS($I$5:I1751,$E$5:E1751,E1751))</f>
        <v/>
      </c>
      <c r="K1751" s="7"/>
      <c r="L1751" s="7"/>
      <c r="M1751" s="1" t="str">
        <f>IF(E1751="","",E1751&amp;"|"&amp;COUNTIF($E$5:E1751,E1751))</f>
        <v/>
      </c>
    </row>
    <row r="1752" spans="2:13" x14ac:dyDescent="0.2">
      <c r="B1752" s="10"/>
      <c r="C1752" s="7"/>
      <c r="D1752" s="11"/>
      <c r="E1752" s="6"/>
      <c r="F1752" s="12" t="str">
        <f t="shared" si="54"/>
        <v/>
      </c>
      <c r="G1752" s="13" t="str">
        <f t="shared" si="55"/>
        <v/>
      </c>
      <c r="H1752" s="9"/>
      <c r="I1752" s="9"/>
      <c r="J1752" s="14" t="str">
        <f>IF(E1752="","",IFERROR(VLOOKUP(E1752,TabProd,5,FALSE),0)+SUMIFS($H$5:H1752,$E$5:E1752,E1752)-SUMIFS($I$5:I1752,$E$5:E1752,E1752))</f>
        <v/>
      </c>
      <c r="K1752" s="7"/>
      <c r="L1752" s="7"/>
      <c r="M1752" s="1" t="str">
        <f>IF(E1752="","",E1752&amp;"|"&amp;COUNTIF($E$5:E1752,E1752))</f>
        <v/>
      </c>
    </row>
    <row r="1753" spans="2:13" x14ac:dyDescent="0.2">
      <c r="B1753" s="10"/>
      <c r="C1753" s="7"/>
      <c r="D1753" s="11"/>
      <c r="E1753" s="6"/>
      <c r="F1753" s="12" t="str">
        <f t="shared" si="54"/>
        <v/>
      </c>
      <c r="G1753" s="13" t="str">
        <f t="shared" si="55"/>
        <v/>
      </c>
      <c r="H1753" s="9"/>
      <c r="I1753" s="9"/>
      <c r="J1753" s="14" t="str">
        <f>IF(E1753="","",IFERROR(VLOOKUP(E1753,TabProd,5,FALSE),0)+SUMIFS($H$5:H1753,$E$5:E1753,E1753)-SUMIFS($I$5:I1753,$E$5:E1753,E1753))</f>
        <v/>
      </c>
      <c r="K1753" s="7"/>
      <c r="L1753" s="7"/>
      <c r="M1753" s="1" t="str">
        <f>IF(E1753="","",E1753&amp;"|"&amp;COUNTIF($E$5:E1753,E1753))</f>
        <v/>
      </c>
    </row>
    <row r="1754" spans="2:13" x14ac:dyDescent="0.2">
      <c r="B1754" s="10"/>
      <c r="C1754" s="7"/>
      <c r="D1754" s="11"/>
      <c r="E1754" s="6"/>
      <c r="F1754" s="12" t="str">
        <f t="shared" si="54"/>
        <v/>
      </c>
      <c r="G1754" s="13" t="str">
        <f t="shared" si="55"/>
        <v/>
      </c>
      <c r="H1754" s="9"/>
      <c r="I1754" s="9"/>
      <c r="J1754" s="14" t="str">
        <f>IF(E1754="","",IFERROR(VLOOKUP(E1754,TabProd,5,FALSE),0)+SUMIFS($H$5:H1754,$E$5:E1754,E1754)-SUMIFS($I$5:I1754,$E$5:E1754,E1754))</f>
        <v/>
      </c>
      <c r="K1754" s="7"/>
      <c r="L1754" s="7"/>
      <c r="M1754" s="1" t="str">
        <f>IF(E1754="","",E1754&amp;"|"&amp;COUNTIF($E$5:E1754,E1754))</f>
        <v/>
      </c>
    </row>
    <row r="1755" spans="2:13" x14ac:dyDescent="0.2">
      <c r="B1755" s="10"/>
      <c r="C1755" s="7"/>
      <c r="D1755" s="11"/>
      <c r="E1755" s="6"/>
      <c r="F1755" s="12" t="str">
        <f t="shared" si="54"/>
        <v/>
      </c>
      <c r="G1755" s="13" t="str">
        <f t="shared" si="55"/>
        <v/>
      </c>
      <c r="H1755" s="9"/>
      <c r="I1755" s="9"/>
      <c r="J1755" s="14" t="str">
        <f>IF(E1755="","",IFERROR(VLOOKUP(E1755,TabProd,5,FALSE),0)+SUMIFS($H$5:H1755,$E$5:E1755,E1755)-SUMIFS($I$5:I1755,$E$5:E1755,E1755))</f>
        <v/>
      </c>
      <c r="K1755" s="7"/>
      <c r="L1755" s="7"/>
      <c r="M1755" s="1" t="str">
        <f>IF(E1755="","",E1755&amp;"|"&amp;COUNTIF($E$5:E1755,E1755))</f>
        <v/>
      </c>
    </row>
    <row r="1756" spans="2:13" x14ac:dyDescent="0.2">
      <c r="B1756" s="10"/>
      <c r="C1756" s="7"/>
      <c r="D1756" s="11"/>
      <c r="E1756" s="6"/>
      <c r="F1756" s="12" t="str">
        <f t="shared" si="54"/>
        <v/>
      </c>
      <c r="G1756" s="13" t="str">
        <f t="shared" si="55"/>
        <v/>
      </c>
      <c r="H1756" s="9"/>
      <c r="I1756" s="9"/>
      <c r="J1756" s="14" t="str">
        <f>IF(E1756="","",IFERROR(VLOOKUP(E1756,TabProd,5,FALSE),0)+SUMIFS($H$5:H1756,$E$5:E1756,E1756)-SUMIFS($I$5:I1756,$E$5:E1756,E1756))</f>
        <v/>
      </c>
      <c r="K1756" s="7"/>
      <c r="L1756" s="7"/>
      <c r="M1756" s="1" t="str">
        <f>IF(E1756="","",E1756&amp;"|"&amp;COUNTIF($E$5:E1756,E1756))</f>
        <v/>
      </c>
    </row>
    <row r="1757" spans="2:13" x14ac:dyDescent="0.2">
      <c r="B1757" s="10"/>
      <c r="C1757" s="7"/>
      <c r="D1757" s="11"/>
      <c r="E1757" s="6"/>
      <c r="F1757" s="12" t="str">
        <f t="shared" si="54"/>
        <v/>
      </c>
      <c r="G1757" s="13" t="str">
        <f t="shared" si="55"/>
        <v/>
      </c>
      <c r="H1757" s="9"/>
      <c r="I1757" s="9"/>
      <c r="J1757" s="14" t="str">
        <f>IF(E1757="","",IFERROR(VLOOKUP(E1757,TabProd,5,FALSE),0)+SUMIFS($H$5:H1757,$E$5:E1757,E1757)-SUMIFS($I$5:I1757,$E$5:E1757,E1757))</f>
        <v/>
      </c>
      <c r="K1757" s="7"/>
      <c r="L1757" s="7"/>
      <c r="M1757" s="1" t="str">
        <f>IF(E1757="","",E1757&amp;"|"&amp;COUNTIF($E$5:E1757,E1757))</f>
        <v/>
      </c>
    </row>
    <row r="1758" spans="2:13" x14ac:dyDescent="0.2">
      <c r="B1758" s="10"/>
      <c r="C1758" s="7"/>
      <c r="D1758" s="11"/>
      <c r="E1758" s="6"/>
      <c r="F1758" s="12" t="str">
        <f t="shared" si="54"/>
        <v/>
      </c>
      <c r="G1758" s="13" t="str">
        <f t="shared" si="55"/>
        <v/>
      </c>
      <c r="H1758" s="9"/>
      <c r="I1758" s="9"/>
      <c r="J1758" s="14" t="str">
        <f>IF(E1758="","",IFERROR(VLOOKUP(E1758,TabProd,5,FALSE),0)+SUMIFS($H$5:H1758,$E$5:E1758,E1758)-SUMIFS($I$5:I1758,$E$5:E1758,E1758))</f>
        <v/>
      </c>
      <c r="K1758" s="7"/>
      <c r="L1758" s="7"/>
      <c r="M1758" s="1" t="str">
        <f>IF(E1758="","",E1758&amp;"|"&amp;COUNTIF($E$5:E1758,E1758))</f>
        <v/>
      </c>
    </row>
    <row r="1759" spans="2:13" x14ac:dyDescent="0.2">
      <c r="B1759" s="10"/>
      <c r="C1759" s="7"/>
      <c r="D1759" s="11"/>
      <c r="E1759" s="6"/>
      <c r="F1759" s="12" t="str">
        <f t="shared" si="54"/>
        <v/>
      </c>
      <c r="G1759" s="13" t="str">
        <f t="shared" si="55"/>
        <v/>
      </c>
      <c r="H1759" s="9"/>
      <c r="I1759" s="9"/>
      <c r="J1759" s="14" t="str">
        <f>IF(E1759="","",IFERROR(VLOOKUP(E1759,TabProd,5,FALSE),0)+SUMIFS($H$5:H1759,$E$5:E1759,E1759)-SUMIFS($I$5:I1759,$E$5:E1759,E1759))</f>
        <v/>
      </c>
      <c r="K1759" s="7"/>
      <c r="L1759" s="7"/>
      <c r="M1759" s="1" t="str">
        <f>IF(E1759="","",E1759&amp;"|"&amp;COUNTIF($E$5:E1759,E1759))</f>
        <v/>
      </c>
    </row>
    <row r="1760" spans="2:13" x14ac:dyDescent="0.2">
      <c r="B1760" s="10"/>
      <c r="C1760" s="7"/>
      <c r="D1760" s="11"/>
      <c r="E1760" s="6"/>
      <c r="F1760" s="12" t="str">
        <f t="shared" si="54"/>
        <v/>
      </c>
      <c r="G1760" s="13" t="str">
        <f t="shared" si="55"/>
        <v/>
      </c>
      <c r="H1760" s="9"/>
      <c r="I1760" s="9"/>
      <c r="J1760" s="14" t="str">
        <f>IF(E1760="","",IFERROR(VLOOKUP(E1760,TabProd,5,FALSE),0)+SUMIFS($H$5:H1760,$E$5:E1760,E1760)-SUMIFS($I$5:I1760,$E$5:E1760,E1760))</f>
        <v/>
      </c>
      <c r="K1760" s="7"/>
      <c r="L1760" s="7"/>
      <c r="M1760" s="1" t="str">
        <f>IF(E1760="","",E1760&amp;"|"&amp;COUNTIF($E$5:E1760,E1760))</f>
        <v/>
      </c>
    </row>
    <row r="1761" spans="2:13" x14ac:dyDescent="0.2">
      <c r="B1761" s="10"/>
      <c r="C1761" s="7"/>
      <c r="D1761" s="11"/>
      <c r="E1761" s="6"/>
      <c r="F1761" s="12" t="str">
        <f t="shared" si="54"/>
        <v/>
      </c>
      <c r="G1761" s="13" t="str">
        <f t="shared" si="55"/>
        <v/>
      </c>
      <c r="H1761" s="9"/>
      <c r="I1761" s="9"/>
      <c r="J1761" s="14" t="str">
        <f>IF(E1761="","",IFERROR(VLOOKUP(E1761,TabProd,5,FALSE),0)+SUMIFS($H$5:H1761,$E$5:E1761,E1761)-SUMIFS($I$5:I1761,$E$5:E1761,E1761))</f>
        <v/>
      </c>
      <c r="K1761" s="7"/>
      <c r="L1761" s="7"/>
      <c r="M1761" s="1" t="str">
        <f>IF(E1761="","",E1761&amp;"|"&amp;COUNTIF($E$5:E1761,E1761))</f>
        <v/>
      </c>
    </row>
    <row r="1762" spans="2:13" x14ac:dyDescent="0.2">
      <c r="B1762" s="10"/>
      <c r="C1762" s="7"/>
      <c r="D1762" s="11"/>
      <c r="E1762" s="6"/>
      <c r="F1762" s="12" t="str">
        <f t="shared" si="54"/>
        <v/>
      </c>
      <c r="G1762" s="13" t="str">
        <f t="shared" si="55"/>
        <v/>
      </c>
      <c r="H1762" s="9"/>
      <c r="I1762" s="9"/>
      <c r="J1762" s="14" t="str">
        <f>IF(E1762="","",IFERROR(VLOOKUP(E1762,TabProd,5,FALSE),0)+SUMIFS($H$5:H1762,$E$5:E1762,E1762)-SUMIFS($I$5:I1762,$E$5:E1762,E1762))</f>
        <v/>
      </c>
      <c r="K1762" s="7"/>
      <c r="L1762" s="7"/>
      <c r="M1762" s="1" t="str">
        <f>IF(E1762="","",E1762&amp;"|"&amp;COUNTIF($E$5:E1762,E1762))</f>
        <v/>
      </c>
    </row>
    <row r="1763" spans="2:13" x14ac:dyDescent="0.2">
      <c r="B1763" s="10"/>
      <c r="C1763" s="7"/>
      <c r="D1763" s="11"/>
      <c r="E1763" s="6"/>
      <c r="F1763" s="12" t="str">
        <f t="shared" si="54"/>
        <v/>
      </c>
      <c r="G1763" s="13" t="str">
        <f t="shared" si="55"/>
        <v/>
      </c>
      <c r="H1763" s="9"/>
      <c r="I1763" s="9"/>
      <c r="J1763" s="14" t="str">
        <f>IF(E1763="","",IFERROR(VLOOKUP(E1763,TabProd,5,FALSE),0)+SUMIFS($H$5:H1763,$E$5:E1763,E1763)-SUMIFS($I$5:I1763,$E$5:E1763,E1763))</f>
        <v/>
      </c>
      <c r="K1763" s="7"/>
      <c r="L1763" s="7"/>
      <c r="M1763" s="1" t="str">
        <f>IF(E1763="","",E1763&amp;"|"&amp;COUNTIF($E$5:E1763,E1763))</f>
        <v/>
      </c>
    </row>
    <row r="1764" spans="2:13" x14ac:dyDescent="0.2">
      <c r="B1764" s="10"/>
      <c r="C1764" s="7"/>
      <c r="D1764" s="11"/>
      <c r="E1764" s="6"/>
      <c r="F1764" s="12" t="str">
        <f t="shared" si="54"/>
        <v/>
      </c>
      <c r="G1764" s="13" t="str">
        <f t="shared" si="55"/>
        <v/>
      </c>
      <c r="H1764" s="9"/>
      <c r="I1764" s="9"/>
      <c r="J1764" s="14" t="str">
        <f>IF(E1764="","",IFERROR(VLOOKUP(E1764,TabProd,5,FALSE),0)+SUMIFS($H$5:H1764,$E$5:E1764,E1764)-SUMIFS($I$5:I1764,$E$5:E1764,E1764))</f>
        <v/>
      </c>
      <c r="K1764" s="7"/>
      <c r="L1764" s="7"/>
      <c r="M1764" s="1" t="str">
        <f>IF(E1764="","",E1764&amp;"|"&amp;COUNTIF($E$5:E1764,E1764))</f>
        <v/>
      </c>
    </row>
    <row r="1765" spans="2:13" x14ac:dyDescent="0.2">
      <c r="B1765" s="10"/>
      <c r="C1765" s="7"/>
      <c r="D1765" s="11"/>
      <c r="E1765" s="6"/>
      <c r="F1765" s="12" t="str">
        <f t="shared" si="54"/>
        <v/>
      </c>
      <c r="G1765" s="13" t="str">
        <f t="shared" si="55"/>
        <v/>
      </c>
      <c r="H1765" s="9"/>
      <c r="I1765" s="9"/>
      <c r="J1765" s="14" t="str">
        <f>IF(E1765="","",IFERROR(VLOOKUP(E1765,TabProd,5,FALSE),0)+SUMIFS($H$5:H1765,$E$5:E1765,E1765)-SUMIFS($I$5:I1765,$E$5:E1765,E1765))</f>
        <v/>
      </c>
      <c r="K1765" s="7"/>
      <c r="L1765" s="7"/>
      <c r="M1765" s="1" t="str">
        <f>IF(E1765="","",E1765&amp;"|"&amp;COUNTIF($E$5:E1765,E1765))</f>
        <v/>
      </c>
    </row>
    <row r="1766" spans="2:13" x14ac:dyDescent="0.2">
      <c r="B1766" s="10"/>
      <c r="C1766" s="7"/>
      <c r="D1766" s="11"/>
      <c r="E1766" s="6"/>
      <c r="F1766" s="12" t="str">
        <f t="shared" si="54"/>
        <v/>
      </c>
      <c r="G1766" s="13" t="str">
        <f t="shared" si="55"/>
        <v/>
      </c>
      <c r="H1766" s="9"/>
      <c r="I1766" s="9"/>
      <c r="J1766" s="14" t="str">
        <f>IF(E1766="","",IFERROR(VLOOKUP(E1766,TabProd,5,FALSE),0)+SUMIFS($H$5:H1766,$E$5:E1766,E1766)-SUMIFS($I$5:I1766,$E$5:E1766,E1766))</f>
        <v/>
      </c>
      <c r="K1766" s="7"/>
      <c r="L1766" s="7"/>
      <c r="M1766" s="1" t="str">
        <f>IF(E1766="","",E1766&amp;"|"&amp;COUNTIF($E$5:E1766,E1766))</f>
        <v/>
      </c>
    </row>
    <row r="1767" spans="2:13" x14ac:dyDescent="0.2">
      <c r="B1767" s="10"/>
      <c r="C1767" s="7"/>
      <c r="D1767" s="11"/>
      <c r="E1767" s="6"/>
      <c r="F1767" s="12" t="str">
        <f t="shared" si="54"/>
        <v/>
      </c>
      <c r="G1767" s="13" t="str">
        <f t="shared" si="55"/>
        <v/>
      </c>
      <c r="H1767" s="9"/>
      <c r="I1767" s="9"/>
      <c r="J1767" s="14" t="str">
        <f>IF(E1767="","",IFERROR(VLOOKUP(E1767,TabProd,5,FALSE),0)+SUMIFS($H$5:H1767,$E$5:E1767,E1767)-SUMIFS($I$5:I1767,$E$5:E1767,E1767))</f>
        <v/>
      </c>
      <c r="K1767" s="7"/>
      <c r="L1767" s="7"/>
      <c r="M1767" s="1" t="str">
        <f>IF(E1767="","",E1767&amp;"|"&amp;COUNTIF($E$5:E1767,E1767))</f>
        <v/>
      </c>
    </row>
    <row r="1768" spans="2:13" x14ac:dyDescent="0.2">
      <c r="B1768" s="10"/>
      <c r="C1768" s="7"/>
      <c r="D1768" s="11"/>
      <c r="E1768" s="6"/>
      <c r="F1768" s="12" t="str">
        <f t="shared" si="54"/>
        <v/>
      </c>
      <c r="G1768" s="13" t="str">
        <f t="shared" si="55"/>
        <v/>
      </c>
      <c r="H1768" s="9"/>
      <c r="I1768" s="9"/>
      <c r="J1768" s="14" t="str">
        <f>IF(E1768="","",IFERROR(VLOOKUP(E1768,TabProd,5,FALSE),0)+SUMIFS($H$5:H1768,$E$5:E1768,E1768)-SUMIFS($I$5:I1768,$E$5:E1768,E1768))</f>
        <v/>
      </c>
      <c r="K1768" s="7"/>
      <c r="L1768" s="7"/>
      <c r="M1768" s="1" t="str">
        <f>IF(E1768="","",E1768&amp;"|"&amp;COUNTIF($E$5:E1768,E1768))</f>
        <v/>
      </c>
    </row>
    <row r="1769" spans="2:13" x14ac:dyDescent="0.2">
      <c r="B1769" s="10"/>
      <c r="C1769" s="7"/>
      <c r="D1769" s="11"/>
      <c r="E1769" s="6"/>
      <c r="F1769" s="12" t="str">
        <f t="shared" si="54"/>
        <v/>
      </c>
      <c r="G1769" s="13" t="str">
        <f t="shared" si="55"/>
        <v/>
      </c>
      <c r="H1769" s="9"/>
      <c r="I1769" s="9"/>
      <c r="J1769" s="14" t="str">
        <f>IF(E1769="","",IFERROR(VLOOKUP(E1769,TabProd,5,FALSE),0)+SUMIFS($H$5:H1769,$E$5:E1769,E1769)-SUMIFS($I$5:I1769,$E$5:E1769,E1769))</f>
        <v/>
      </c>
      <c r="K1769" s="7"/>
      <c r="L1769" s="7"/>
      <c r="M1769" s="1" t="str">
        <f>IF(E1769="","",E1769&amp;"|"&amp;COUNTIF($E$5:E1769,E1769))</f>
        <v/>
      </c>
    </row>
    <row r="1770" spans="2:13" x14ac:dyDescent="0.2">
      <c r="B1770" s="10"/>
      <c r="C1770" s="7"/>
      <c r="D1770" s="11"/>
      <c r="E1770" s="6"/>
      <c r="F1770" s="12" t="str">
        <f t="shared" si="54"/>
        <v/>
      </c>
      <c r="G1770" s="13" t="str">
        <f t="shared" si="55"/>
        <v/>
      </c>
      <c r="H1770" s="9"/>
      <c r="I1770" s="9"/>
      <c r="J1770" s="14" t="str">
        <f>IF(E1770="","",IFERROR(VLOOKUP(E1770,TabProd,5,FALSE),0)+SUMIFS($H$5:H1770,$E$5:E1770,E1770)-SUMIFS($I$5:I1770,$E$5:E1770,E1770))</f>
        <v/>
      </c>
      <c r="K1770" s="7"/>
      <c r="L1770" s="7"/>
      <c r="M1770" s="1" t="str">
        <f>IF(E1770="","",E1770&amp;"|"&amp;COUNTIF($E$5:E1770,E1770))</f>
        <v/>
      </c>
    </row>
    <row r="1771" spans="2:13" x14ac:dyDescent="0.2">
      <c r="B1771" s="10"/>
      <c r="C1771" s="7"/>
      <c r="D1771" s="11"/>
      <c r="E1771" s="6"/>
      <c r="F1771" s="12" t="str">
        <f t="shared" si="54"/>
        <v/>
      </c>
      <c r="G1771" s="13" t="str">
        <f t="shared" si="55"/>
        <v/>
      </c>
      <c r="H1771" s="9"/>
      <c r="I1771" s="9"/>
      <c r="J1771" s="14" t="str">
        <f>IF(E1771="","",IFERROR(VLOOKUP(E1771,TabProd,5,FALSE),0)+SUMIFS($H$5:H1771,$E$5:E1771,E1771)-SUMIFS($I$5:I1771,$E$5:E1771,E1771))</f>
        <v/>
      </c>
      <c r="K1771" s="7"/>
      <c r="L1771" s="7"/>
      <c r="M1771" s="1" t="str">
        <f>IF(E1771="","",E1771&amp;"|"&amp;COUNTIF($E$5:E1771,E1771))</f>
        <v/>
      </c>
    </row>
    <row r="1772" spans="2:13" x14ac:dyDescent="0.2">
      <c r="B1772" s="10"/>
      <c r="C1772" s="7"/>
      <c r="D1772" s="11"/>
      <c r="E1772" s="6"/>
      <c r="F1772" s="12" t="str">
        <f t="shared" si="54"/>
        <v/>
      </c>
      <c r="G1772" s="13" t="str">
        <f t="shared" si="55"/>
        <v/>
      </c>
      <c r="H1772" s="9"/>
      <c r="I1772" s="9"/>
      <c r="J1772" s="14" t="str">
        <f>IF(E1772="","",IFERROR(VLOOKUP(E1772,TabProd,5,FALSE),0)+SUMIFS($H$5:H1772,$E$5:E1772,E1772)-SUMIFS($I$5:I1772,$E$5:E1772,E1772))</f>
        <v/>
      </c>
      <c r="K1772" s="7"/>
      <c r="L1772" s="7"/>
      <c r="M1772" s="1" t="str">
        <f>IF(E1772="","",E1772&amp;"|"&amp;COUNTIF($E$5:E1772,E1772))</f>
        <v/>
      </c>
    </row>
    <row r="1773" spans="2:13" x14ac:dyDescent="0.2">
      <c r="B1773" s="10"/>
      <c r="C1773" s="7"/>
      <c r="D1773" s="11"/>
      <c r="E1773" s="6"/>
      <c r="F1773" s="12" t="str">
        <f t="shared" si="54"/>
        <v/>
      </c>
      <c r="G1773" s="13" t="str">
        <f t="shared" si="55"/>
        <v/>
      </c>
      <c r="H1773" s="9"/>
      <c r="I1773" s="9"/>
      <c r="J1773" s="14" t="str">
        <f>IF(E1773="","",IFERROR(VLOOKUP(E1773,TabProd,5,FALSE),0)+SUMIFS($H$5:H1773,$E$5:E1773,E1773)-SUMIFS($I$5:I1773,$E$5:E1773,E1773))</f>
        <v/>
      </c>
      <c r="K1773" s="7"/>
      <c r="L1773" s="7"/>
      <c r="M1773" s="1" t="str">
        <f>IF(E1773="","",E1773&amp;"|"&amp;COUNTIF($E$5:E1773,E1773))</f>
        <v/>
      </c>
    </row>
    <row r="1774" spans="2:13" x14ac:dyDescent="0.2">
      <c r="B1774" s="10"/>
      <c r="C1774" s="7"/>
      <c r="D1774" s="11"/>
      <c r="E1774" s="6"/>
      <c r="F1774" s="12" t="str">
        <f t="shared" si="54"/>
        <v/>
      </c>
      <c r="G1774" s="13" t="str">
        <f t="shared" si="55"/>
        <v/>
      </c>
      <c r="H1774" s="9"/>
      <c r="I1774" s="9"/>
      <c r="J1774" s="14" t="str">
        <f>IF(E1774="","",IFERROR(VLOOKUP(E1774,TabProd,5,FALSE),0)+SUMIFS($H$5:H1774,$E$5:E1774,E1774)-SUMIFS($I$5:I1774,$E$5:E1774,E1774))</f>
        <v/>
      </c>
      <c r="K1774" s="7"/>
      <c r="L1774" s="7"/>
      <c r="M1774" s="1" t="str">
        <f>IF(E1774="","",E1774&amp;"|"&amp;COUNTIF($E$5:E1774,E1774))</f>
        <v/>
      </c>
    </row>
    <row r="1775" spans="2:13" x14ac:dyDescent="0.2">
      <c r="B1775" s="10"/>
      <c r="C1775" s="7"/>
      <c r="D1775" s="11"/>
      <c r="E1775" s="6"/>
      <c r="F1775" s="12" t="str">
        <f t="shared" si="54"/>
        <v/>
      </c>
      <c r="G1775" s="13" t="str">
        <f t="shared" si="55"/>
        <v/>
      </c>
      <c r="H1775" s="9"/>
      <c r="I1775" s="9"/>
      <c r="J1775" s="14" t="str">
        <f>IF(E1775="","",IFERROR(VLOOKUP(E1775,TabProd,5,FALSE),0)+SUMIFS($H$5:H1775,$E$5:E1775,E1775)-SUMIFS($I$5:I1775,$E$5:E1775,E1775))</f>
        <v/>
      </c>
      <c r="K1775" s="7"/>
      <c r="L1775" s="7"/>
      <c r="M1775" s="1" t="str">
        <f>IF(E1775="","",E1775&amp;"|"&amp;COUNTIF($E$5:E1775,E1775))</f>
        <v/>
      </c>
    </row>
    <row r="1776" spans="2:13" x14ac:dyDescent="0.2">
      <c r="B1776" s="10"/>
      <c r="C1776" s="7"/>
      <c r="D1776" s="11"/>
      <c r="E1776" s="6"/>
      <c r="F1776" s="12" t="str">
        <f t="shared" si="54"/>
        <v/>
      </c>
      <c r="G1776" s="13" t="str">
        <f t="shared" si="55"/>
        <v/>
      </c>
      <c r="H1776" s="9"/>
      <c r="I1776" s="9"/>
      <c r="J1776" s="14" t="str">
        <f>IF(E1776="","",IFERROR(VLOOKUP(E1776,TabProd,5,FALSE),0)+SUMIFS($H$5:H1776,$E$5:E1776,E1776)-SUMIFS($I$5:I1776,$E$5:E1776,E1776))</f>
        <v/>
      </c>
      <c r="K1776" s="7"/>
      <c r="L1776" s="7"/>
      <c r="M1776" s="1" t="str">
        <f>IF(E1776="","",E1776&amp;"|"&amp;COUNTIF($E$5:E1776,E1776))</f>
        <v/>
      </c>
    </row>
    <row r="1777" spans="2:13" x14ac:dyDescent="0.2">
      <c r="B1777" s="10"/>
      <c r="C1777" s="7"/>
      <c r="D1777" s="11"/>
      <c r="E1777" s="6"/>
      <c r="F1777" s="12" t="str">
        <f t="shared" si="54"/>
        <v/>
      </c>
      <c r="G1777" s="13" t="str">
        <f t="shared" si="55"/>
        <v/>
      </c>
      <c r="H1777" s="9"/>
      <c r="I1777" s="9"/>
      <c r="J1777" s="14" t="str">
        <f>IF(E1777="","",IFERROR(VLOOKUP(E1777,TabProd,5,FALSE),0)+SUMIFS($H$5:H1777,$E$5:E1777,E1777)-SUMIFS($I$5:I1777,$E$5:E1777,E1777))</f>
        <v/>
      </c>
      <c r="K1777" s="7"/>
      <c r="L1777" s="7"/>
      <c r="M1777" s="1" t="str">
        <f>IF(E1777="","",E1777&amp;"|"&amp;COUNTIF($E$5:E1777,E1777))</f>
        <v/>
      </c>
    </row>
    <row r="1778" spans="2:13" x14ac:dyDescent="0.2">
      <c r="B1778" s="10"/>
      <c r="C1778" s="7"/>
      <c r="D1778" s="11"/>
      <c r="E1778" s="6"/>
      <c r="F1778" s="12" t="str">
        <f t="shared" si="54"/>
        <v/>
      </c>
      <c r="G1778" s="13" t="str">
        <f t="shared" si="55"/>
        <v/>
      </c>
      <c r="H1778" s="9"/>
      <c r="I1778" s="9"/>
      <c r="J1778" s="14" t="str">
        <f>IF(E1778="","",IFERROR(VLOOKUP(E1778,TabProd,5,FALSE),0)+SUMIFS($H$5:H1778,$E$5:E1778,E1778)-SUMIFS($I$5:I1778,$E$5:E1778,E1778))</f>
        <v/>
      </c>
      <c r="K1778" s="7"/>
      <c r="L1778" s="7"/>
      <c r="M1778" s="1" t="str">
        <f>IF(E1778="","",E1778&amp;"|"&amp;COUNTIF($E$5:E1778,E1778))</f>
        <v/>
      </c>
    </row>
    <row r="1779" spans="2:13" x14ac:dyDescent="0.2">
      <c r="B1779" s="10"/>
      <c r="C1779" s="7"/>
      <c r="D1779" s="11"/>
      <c r="E1779" s="6"/>
      <c r="F1779" s="12" t="str">
        <f t="shared" si="54"/>
        <v/>
      </c>
      <c r="G1779" s="13" t="str">
        <f t="shared" si="55"/>
        <v/>
      </c>
      <c r="H1779" s="9"/>
      <c r="I1779" s="9"/>
      <c r="J1779" s="14" t="str">
        <f>IF(E1779="","",IFERROR(VLOOKUP(E1779,TabProd,5,FALSE),0)+SUMIFS($H$5:H1779,$E$5:E1779,E1779)-SUMIFS($I$5:I1779,$E$5:E1779,E1779))</f>
        <v/>
      </c>
      <c r="K1779" s="7"/>
      <c r="L1779" s="7"/>
      <c r="M1779" s="1" t="str">
        <f>IF(E1779="","",E1779&amp;"|"&amp;COUNTIF($E$5:E1779,E1779))</f>
        <v/>
      </c>
    </row>
    <row r="1780" spans="2:13" x14ac:dyDescent="0.2">
      <c r="B1780" s="10"/>
      <c r="C1780" s="7"/>
      <c r="D1780" s="11"/>
      <c r="E1780" s="6"/>
      <c r="F1780" s="12" t="str">
        <f t="shared" si="54"/>
        <v/>
      </c>
      <c r="G1780" s="13" t="str">
        <f t="shared" si="55"/>
        <v/>
      </c>
      <c r="H1780" s="9"/>
      <c r="I1780" s="9"/>
      <c r="J1780" s="14" t="str">
        <f>IF(E1780="","",IFERROR(VLOOKUP(E1780,TabProd,5,FALSE),0)+SUMIFS($H$5:H1780,$E$5:E1780,E1780)-SUMIFS($I$5:I1780,$E$5:E1780,E1780))</f>
        <v/>
      </c>
      <c r="K1780" s="7"/>
      <c r="L1780" s="7"/>
      <c r="M1780" s="1" t="str">
        <f>IF(E1780="","",E1780&amp;"|"&amp;COUNTIF($E$5:E1780,E1780))</f>
        <v/>
      </c>
    </row>
    <row r="1781" spans="2:13" x14ac:dyDescent="0.2">
      <c r="B1781" s="10"/>
      <c r="C1781" s="7"/>
      <c r="D1781" s="11"/>
      <c r="E1781" s="6"/>
      <c r="F1781" s="12" t="str">
        <f t="shared" si="54"/>
        <v/>
      </c>
      <c r="G1781" s="13" t="str">
        <f t="shared" si="55"/>
        <v/>
      </c>
      <c r="H1781" s="9"/>
      <c r="I1781" s="9"/>
      <c r="J1781" s="14" t="str">
        <f>IF(E1781="","",IFERROR(VLOOKUP(E1781,TabProd,5,FALSE),0)+SUMIFS($H$5:H1781,$E$5:E1781,E1781)-SUMIFS($I$5:I1781,$E$5:E1781,E1781))</f>
        <v/>
      </c>
      <c r="K1781" s="7"/>
      <c r="L1781" s="7"/>
      <c r="M1781" s="1" t="str">
        <f>IF(E1781="","",E1781&amp;"|"&amp;COUNTIF($E$5:E1781,E1781))</f>
        <v/>
      </c>
    </row>
    <row r="1782" spans="2:13" x14ac:dyDescent="0.2">
      <c r="B1782" s="10"/>
      <c r="C1782" s="7"/>
      <c r="D1782" s="11"/>
      <c r="E1782" s="6"/>
      <c r="F1782" s="12" t="str">
        <f t="shared" si="54"/>
        <v/>
      </c>
      <c r="G1782" s="13" t="str">
        <f t="shared" si="55"/>
        <v/>
      </c>
      <c r="H1782" s="9"/>
      <c r="I1782" s="9"/>
      <c r="J1782" s="14" t="str">
        <f>IF(E1782="","",IFERROR(VLOOKUP(E1782,TabProd,5,FALSE),0)+SUMIFS($H$5:H1782,$E$5:E1782,E1782)-SUMIFS($I$5:I1782,$E$5:E1782,E1782))</f>
        <v/>
      </c>
      <c r="K1782" s="7"/>
      <c r="L1782" s="7"/>
      <c r="M1782" s="1" t="str">
        <f>IF(E1782="","",E1782&amp;"|"&amp;COUNTIF($E$5:E1782,E1782))</f>
        <v/>
      </c>
    </row>
    <row r="1783" spans="2:13" x14ac:dyDescent="0.2">
      <c r="B1783" s="10"/>
      <c r="C1783" s="7"/>
      <c r="D1783" s="11"/>
      <c r="E1783" s="6"/>
      <c r="F1783" s="12" t="str">
        <f t="shared" si="54"/>
        <v/>
      </c>
      <c r="G1783" s="13" t="str">
        <f t="shared" si="55"/>
        <v/>
      </c>
      <c r="H1783" s="9"/>
      <c r="I1783" s="9"/>
      <c r="J1783" s="14" t="str">
        <f>IF(E1783="","",IFERROR(VLOOKUP(E1783,TabProd,5,FALSE),0)+SUMIFS($H$5:H1783,$E$5:E1783,E1783)-SUMIFS($I$5:I1783,$E$5:E1783,E1783))</f>
        <v/>
      </c>
      <c r="K1783" s="7"/>
      <c r="L1783" s="7"/>
      <c r="M1783" s="1" t="str">
        <f>IF(E1783="","",E1783&amp;"|"&amp;COUNTIF($E$5:E1783,E1783))</f>
        <v/>
      </c>
    </row>
    <row r="1784" spans="2:13" x14ac:dyDescent="0.2">
      <c r="B1784" s="10"/>
      <c r="C1784" s="7"/>
      <c r="D1784" s="11"/>
      <c r="E1784" s="6"/>
      <c r="F1784" s="12" t="str">
        <f t="shared" si="54"/>
        <v/>
      </c>
      <c r="G1784" s="13" t="str">
        <f t="shared" si="55"/>
        <v/>
      </c>
      <c r="H1784" s="9"/>
      <c r="I1784" s="9"/>
      <c r="J1784" s="14" t="str">
        <f>IF(E1784="","",IFERROR(VLOOKUP(E1784,TabProd,5,FALSE),0)+SUMIFS($H$5:H1784,$E$5:E1784,E1784)-SUMIFS($I$5:I1784,$E$5:E1784,E1784))</f>
        <v/>
      </c>
      <c r="K1784" s="7"/>
      <c r="L1784" s="7"/>
      <c r="M1784" s="1" t="str">
        <f>IF(E1784="","",E1784&amp;"|"&amp;COUNTIF($E$5:E1784,E1784))</f>
        <v/>
      </c>
    </row>
    <row r="1785" spans="2:13" x14ac:dyDescent="0.2">
      <c r="B1785" s="10"/>
      <c r="C1785" s="7"/>
      <c r="D1785" s="11"/>
      <c r="E1785" s="6"/>
      <c r="F1785" s="12" t="str">
        <f t="shared" si="54"/>
        <v/>
      </c>
      <c r="G1785" s="13" t="str">
        <f t="shared" si="55"/>
        <v/>
      </c>
      <c r="H1785" s="9"/>
      <c r="I1785" s="9"/>
      <c r="J1785" s="14" t="str">
        <f>IF(E1785="","",IFERROR(VLOOKUP(E1785,TabProd,5,FALSE),0)+SUMIFS($H$5:H1785,$E$5:E1785,E1785)-SUMIFS($I$5:I1785,$E$5:E1785,E1785))</f>
        <v/>
      </c>
      <c r="K1785" s="7"/>
      <c r="L1785" s="7"/>
      <c r="M1785" s="1" t="str">
        <f>IF(E1785="","",E1785&amp;"|"&amp;COUNTIF($E$5:E1785,E1785))</f>
        <v/>
      </c>
    </row>
    <row r="1786" spans="2:13" x14ac:dyDescent="0.2">
      <c r="B1786" s="10"/>
      <c r="C1786" s="7"/>
      <c r="D1786" s="11"/>
      <c r="E1786" s="6"/>
      <c r="F1786" s="12" t="str">
        <f t="shared" si="54"/>
        <v/>
      </c>
      <c r="G1786" s="13" t="str">
        <f t="shared" si="55"/>
        <v/>
      </c>
      <c r="H1786" s="9"/>
      <c r="I1786" s="9"/>
      <c r="J1786" s="14" t="str">
        <f>IF(E1786="","",IFERROR(VLOOKUP(E1786,TabProd,5,FALSE),0)+SUMIFS($H$5:H1786,$E$5:E1786,E1786)-SUMIFS($I$5:I1786,$E$5:E1786,E1786))</f>
        <v/>
      </c>
      <c r="K1786" s="7"/>
      <c r="L1786" s="7"/>
      <c r="M1786" s="1" t="str">
        <f>IF(E1786="","",E1786&amp;"|"&amp;COUNTIF($E$5:E1786,E1786))</f>
        <v/>
      </c>
    </row>
    <row r="1787" spans="2:13" x14ac:dyDescent="0.2">
      <c r="B1787" s="10"/>
      <c r="C1787" s="7"/>
      <c r="D1787" s="11"/>
      <c r="E1787" s="6"/>
      <c r="F1787" s="12" t="str">
        <f t="shared" si="54"/>
        <v/>
      </c>
      <c r="G1787" s="13" t="str">
        <f t="shared" si="55"/>
        <v/>
      </c>
      <c r="H1787" s="9"/>
      <c r="I1787" s="9"/>
      <c r="J1787" s="14" t="str">
        <f>IF(E1787="","",IFERROR(VLOOKUP(E1787,TabProd,5,FALSE),0)+SUMIFS($H$5:H1787,$E$5:E1787,E1787)-SUMIFS($I$5:I1787,$E$5:E1787,E1787))</f>
        <v/>
      </c>
      <c r="K1787" s="7"/>
      <c r="L1787" s="7"/>
      <c r="M1787" s="1" t="str">
        <f>IF(E1787="","",E1787&amp;"|"&amp;COUNTIF($E$5:E1787,E1787))</f>
        <v/>
      </c>
    </row>
    <row r="1788" spans="2:13" x14ac:dyDescent="0.2">
      <c r="B1788" s="10"/>
      <c r="C1788" s="7"/>
      <c r="D1788" s="11"/>
      <c r="E1788" s="6"/>
      <c r="F1788" s="12" t="str">
        <f t="shared" si="54"/>
        <v/>
      </c>
      <c r="G1788" s="13" t="str">
        <f t="shared" si="55"/>
        <v/>
      </c>
      <c r="H1788" s="9"/>
      <c r="I1788" s="9"/>
      <c r="J1788" s="14" t="str">
        <f>IF(E1788="","",IFERROR(VLOOKUP(E1788,TabProd,5,FALSE),0)+SUMIFS($H$5:H1788,$E$5:E1788,E1788)-SUMIFS($I$5:I1788,$E$5:E1788,E1788))</f>
        <v/>
      </c>
      <c r="K1788" s="7"/>
      <c r="L1788" s="7"/>
      <c r="M1788" s="1" t="str">
        <f>IF(E1788="","",E1788&amp;"|"&amp;COUNTIF($E$5:E1788,E1788))</f>
        <v/>
      </c>
    </row>
    <row r="1789" spans="2:13" x14ac:dyDescent="0.2">
      <c r="B1789" s="10"/>
      <c r="C1789" s="7"/>
      <c r="D1789" s="11"/>
      <c r="E1789" s="6"/>
      <c r="F1789" s="12" t="str">
        <f t="shared" si="54"/>
        <v/>
      </c>
      <c r="G1789" s="13" t="str">
        <f t="shared" si="55"/>
        <v/>
      </c>
      <c r="H1789" s="9"/>
      <c r="I1789" s="9"/>
      <c r="J1789" s="14" t="str">
        <f>IF(E1789="","",IFERROR(VLOOKUP(E1789,TabProd,5,FALSE),0)+SUMIFS($H$5:H1789,$E$5:E1789,E1789)-SUMIFS($I$5:I1789,$E$5:E1789,E1789))</f>
        <v/>
      </c>
      <c r="K1789" s="7"/>
      <c r="L1789" s="7"/>
      <c r="M1789" s="1" t="str">
        <f>IF(E1789="","",E1789&amp;"|"&amp;COUNTIF($E$5:E1789,E1789))</f>
        <v/>
      </c>
    </row>
    <row r="1790" spans="2:13" x14ac:dyDescent="0.2">
      <c r="B1790" s="10"/>
      <c r="C1790" s="7"/>
      <c r="D1790" s="11"/>
      <c r="E1790" s="6"/>
      <c r="F1790" s="12" t="str">
        <f t="shared" si="54"/>
        <v/>
      </c>
      <c r="G1790" s="13" t="str">
        <f t="shared" si="55"/>
        <v/>
      </c>
      <c r="H1790" s="9"/>
      <c r="I1790" s="9"/>
      <c r="J1790" s="14" t="str">
        <f>IF(E1790="","",IFERROR(VLOOKUP(E1790,TabProd,5,FALSE),0)+SUMIFS($H$5:H1790,$E$5:E1790,E1790)-SUMIFS($I$5:I1790,$E$5:E1790,E1790))</f>
        <v/>
      </c>
      <c r="K1790" s="7"/>
      <c r="L1790" s="7"/>
      <c r="M1790" s="1" t="str">
        <f>IF(E1790="","",E1790&amp;"|"&amp;COUNTIF($E$5:E1790,E1790))</f>
        <v/>
      </c>
    </row>
    <row r="1791" spans="2:13" x14ac:dyDescent="0.2">
      <c r="B1791" s="10"/>
      <c r="C1791" s="7"/>
      <c r="D1791" s="11"/>
      <c r="E1791" s="6"/>
      <c r="F1791" s="12" t="str">
        <f t="shared" si="54"/>
        <v/>
      </c>
      <c r="G1791" s="13" t="str">
        <f t="shared" si="55"/>
        <v/>
      </c>
      <c r="H1791" s="9"/>
      <c r="I1791" s="9"/>
      <c r="J1791" s="14" t="str">
        <f>IF(E1791="","",IFERROR(VLOOKUP(E1791,TabProd,5,FALSE),0)+SUMIFS($H$5:H1791,$E$5:E1791,E1791)-SUMIFS($I$5:I1791,$E$5:E1791,E1791))</f>
        <v/>
      </c>
      <c r="K1791" s="7"/>
      <c r="L1791" s="7"/>
      <c r="M1791" s="1" t="str">
        <f>IF(E1791="","",E1791&amp;"|"&amp;COUNTIF($E$5:E1791,E1791))</f>
        <v/>
      </c>
    </row>
    <row r="1792" spans="2:13" x14ac:dyDescent="0.2">
      <c r="B1792" s="10"/>
      <c r="C1792" s="7"/>
      <c r="D1792" s="11"/>
      <c r="E1792" s="6"/>
      <c r="F1792" s="12" t="str">
        <f t="shared" si="54"/>
        <v/>
      </c>
      <c r="G1792" s="13" t="str">
        <f t="shared" si="55"/>
        <v/>
      </c>
      <c r="H1792" s="9"/>
      <c r="I1792" s="9"/>
      <c r="J1792" s="14" t="str">
        <f>IF(E1792="","",IFERROR(VLOOKUP(E1792,TabProd,5,FALSE),0)+SUMIFS($H$5:H1792,$E$5:E1792,E1792)-SUMIFS($I$5:I1792,$E$5:E1792,E1792))</f>
        <v/>
      </c>
      <c r="K1792" s="7"/>
      <c r="L1792" s="7"/>
      <c r="M1792" s="1" t="str">
        <f>IF(E1792="","",E1792&amp;"|"&amp;COUNTIF($E$5:E1792,E1792))</f>
        <v/>
      </c>
    </row>
    <row r="1793" spans="2:13" x14ac:dyDescent="0.2">
      <c r="B1793" s="10"/>
      <c r="C1793" s="7"/>
      <c r="D1793" s="11"/>
      <c r="E1793" s="6"/>
      <c r="F1793" s="12" t="str">
        <f t="shared" si="54"/>
        <v/>
      </c>
      <c r="G1793" s="13" t="str">
        <f t="shared" si="55"/>
        <v/>
      </c>
      <c r="H1793" s="9"/>
      <c r="I1793" s="9"/>
      <c r="J1793" s="14" t="str">
        <f>IF(E1793="","",IFERROR(VLOOKUP(E1793,TabProd,5,FALSE),0)+SUMIFS($H$5:H1793,$E$5:E1793,E1793)-SUMIFS($I$5:I1793,$E$5:E1793,E1793))</f>
        <v/>
      </c>
      <c r="K1793" s="7"/>
      <c r="L1793" s="7"/>
      <c r="M1793" s="1" t="str">
        <f>IF(E1793="","",E1793&amp;"|"&amp;COUNTIF($E$5:E1793,E1793))</f>
        <v/>
      </c>
    </row>
    <row r="1794" spans="2:13" x14ac:dyDescent="0.2">
      <c r="B1794" s="10"/>
      <c r="C1794" s="7"/>
      <c r="D1794" s="11"/>
      <c r="E1794" s="6"/>
      <c r="F1794" s="12" t="str">
        <f t="shared" si="54"/>
        <v/>
      </c>
      <c r="G1794" s="13" t="str">
        <f t="shared" si="55"/>
        <v/>
      </c>
      <c r="H1794" s="9"/>
      <c r="I1794" s="9"/>
      <c r="J1794" s="14" t="str">
        <f>IF(E1794="","",IFERROR(VLOOKUP(E1794,TabProd,5,FALSE),0)+SUMIFS($H$5:H1794,$E$5:E1794,E1794)-SUMIFS($I$5:I1794,$E$5:E1794,E1794))</f>
        <v/>
      </c>
      <c r="K1794" s="7"/>
      <c r="L1794" s="7"/>
      <c r="M1794" s="1" t="str">
        <f>IF(E1794="","",E1794&amp;"|"&amp;COUNTIF($E$5:E1794,E1794))</f>
        <v/>
      </c>
    </row>
    <row r="1795" spans="2:13" x14ac:dyDescent="0.2">
      <c r="B1795" s="10"/>
      <c r="C1795" s="7"/>
      <c r="D1795" s="11"/>
      <c r="E1795" s="6"/>
      <c r="F1795" s="12" t="str">
        <f t="shared" si="54"/>
        <v/>
      </c>
      <c r="G1795" s="13" t="str">
        <f t="shared" si="55"/>
        <v/>
      </c>
      <c r="H1795" s="9"/>
      <c r="I1795" s="9"/>
      <c r="J1795" s="14" t="str">
        <f>IF(E1795="","",IFERROR(VLOOKUP(E1795,TabProd,5,FALSE),0)+SUMIFS($H$5:H1795,$E$5:E1795,E1795)-SUMIFS($I$5:I1795,$E$5:E1795,E1795))</f>
        <v/>
      </c>
      <c r="K1795" s="7"/>
      <c r="L1795" s="7"/>
      <c r="M1795" s="1" t="str">
        <f>IF(E1795="","",E1795&amp;"|"&amp;COUNTIF($E$5:E1795,E1795))</f>
        <v/>
      </c>
    </row>
    <row r="1796" spans="2:13" x14ac:dyDescent="0.2">
      <c r="B1796" s="10"/>
      <c r="C1796" s="7"/>
      <c r="D1796" s="11"/>
      <c r="E1796" s="6"/>
      <c r="F1796" s="12" t="str">
        <f t="shared" si="54"/>
        <v/>
      </c>
      <c r="G1796" s="13" t="str">
        <f t="shared" si="55"/>
        <v/>
      </c>
      <c r="H1796" s="9"/>
      <c r="I1796" s="9"/>
      <c r="J1796" s="14" t="str">
        <f>IF(E1796="","",IFERROR(VLOOKUP(E1796,TabProd,5,FALSE),0)+SUMIFS($H$5:H1796,$E$5:E1796,E1796)-SUMIFS($I$5:I1796,$E$5:E1796,E1796))</f>
        <v/>
      </c>
      <c r="K1796" s="7"/>
      <c r="L1796" s="7"/>
      <c r="M1796" s="1" t="str">
        <f>IF(E1796="","",E1796&amp;"|"&amp;COUNTIF($E$5:E1796,E1796))</f>
        <v/>
      </c>
    </row>
    <row r="1797" spans="2:13" x14ac:dyDescent="0.2">
      <c r="B1797" s="10"/>
      <c r="C1797" s="7"/>
      <c r="D1797" s="11"/>
      <c r="E1797" s="6"/>
      <c r="F1797" s="12" t="str">
        <f t="shared" ref="F1797:F1860" si="56">IF(E1797="","",IFERROR(VLOOKUP(E1797,TabProd,2,FALSE),"Cod inexistent"))</f>
        <v/>
      </c>
      <c r="G1797" s="13" t="str">
        <f t="shared" ref="G1797:G1860" si="57">IF(E1797="","",IFERROR(VLOOKUP(E1797,TabProd,3,FALSE),""))</f>
        <v/>
      </c>
      <c r="H1797" s="9"/>
      <c r="I1797" s="9"/>
      <c r="J1797" s="14" t="str">
        <f>IF(E1797="","",IFERROR(VLOOKUP(E1797,TabProd,5,FALSE),0)+SUMIFS($H$5:H1797,$E$5:E1797,E1797)-SUMIFS($I$5:I1797,$E$5:E1797,E1797))</f>
        <v/>
      </c>
      <c r="K1797" s="7"/>
      <c r="L1797" s="7"/>
      <c r="M1797" s="1" t="str">
        <f>IF(E1797="","",E1797&amp;"|"&amp;COUNTIF($E$5:E1797,E1797))</f>
        <v/>
      </c>
    </row>
    <row r="1798" spans="2:13" x14ac:dyDescent="0.2">
      <c r="B1798" s="10"/>
      <c r="C1798" s="7"/>
      <c r="D1798" s="11"/>
      <c r="E1798" s="6"/>
      <c r="F1798" s="12" t="str">
        <f t="shared" si="56"/>
        <v/>
      </c>
      <c r="G1798" s="13" t="str">
        <f t="shared" si="57"/>
        <v/>
      </c>
      <c r="H1798" s="9"/>
      <c r="I1798" s="9"/>
      <c r="J1798" s="14" t="str">
        <f>IF(E1798="","",IFERROR(VLOOKUP(E1798,TabProd,5,FALSE),0)+SUMIFS($H$5:H1798,$E$5:E1798,E1798)-SUMIFS($I$5:I1798,$E$5:E1798,E1798))</f>
        <v/>
      </c>
      <c r="K1798" s="7"/>
      <c r="L1798" s="7"/>
      <c r="M1798" s="1" t="str">
        <f>IF(E1798="","",E1798&amp;"|"&amp;COUNTIF($E$5:E1798,E1798))</f>
        <v/>
      </c>
    </row>
    <row r="1799" spans="2:13" x14ac:dyDescent="0.2">
      <c r="B1799" s="10"/>
      <c r="C1799" s="7"/>
      <c r="D1799" s="11"/>
      <c r="E1799" s="6"/>
      <c r="F1799" s="12" t="str">
        <f t="shared" si="56"/>
        <v/>
      </c>
      <c r="G1799" s="13" t="str">
        <f t="shared" si="57"/>
        <v/>
      </c>
      <c r="H1799" s="9"/>
      <c r="I1799" s="9"/>
      <c r="J1799" s="14" t="str">
        <f>IF(E1799="","",IFERROR(VLOOKUP(E1799,TabProd,5,FALSE),0)+SUMIFS($H$5:H1799,$E$5:E1799,E1799)-SUMIFS($I$5:I1799,$E$5:E1799,E1799))</f>
        <v/>
      </c>
      <c r="K1799" s="7"/>
      <c r="L1799" s="7"/>
      <c r="M1799" s="1" t="str">
        <f>IF(E1799="","",E1799&amp;"|"&amp;COUNTIF($E$5:E1799,E1799))</f>
        <v/>
      </c>
    </row>
    <row r="1800" spans="2:13" x14ac:dyDescent="0.2">
      <c r="B1800" s="10"/>
      <c r="C1800" s="7"/>
      <c r="D1800" s="11"/>
      <c r="E1800" s="6"/>
      <c r="F1800" s="12" t="str">
        <f t="shared" si="56"/>
        <v/>
      </c>
      <c r="G1800" s="13" t="str">
        <f t="shared" si="57"/>
        <v/>
      </c>
      <c r="H1800" s="9"/>
      <c r="I1800" s="9"/>
      <c r="J1800" s="14" t="str">
        <f>IF(E1800="","",IFERROR(VLOOKUP(E1800,TabProd,5,FALSE),0)+SUMIFS($H$5:H1800,$E$5:E1800,E1800)-SUMIFS($I$5:I1800,$E$5:E1800,E1800))</f>
        <v/>
      </c>
      <c r="K1800" s="7"/>
      <c r="L1800" s="7"/>
      <c r="M1800" s="1" t="str">
        <f>IF(E1800="","",E1800&amp;"|"&amp;COUNTIF($E$5:E1800,E1800))</f>
        <v/>
      </c>
    </row>
    <row r="1801" spans="2:13" x14ac:dyDescent="0.2">
      <c r="B1801" s="10"/>
      <c r="C1801" s="7"/>
      <c r="D1801" s="11"/>
      <c r="E1801" s="6"/>
      <c r="F1801" s="12" t="str">
        <f t="shared" si="56"/>
        <v/>
      </c>
      <c r="G1801" s="13" t="str">
        <f t="shared" si="57"/>
        <v/>
      </c>
      <c r="H1801" s="9"/>
      <c r="I1801" s="9"/>
      <c r="J1801" s="14" t="str">
        <f>IF(E1801="","",IFERROR(VLOOKUP(E1801,TabProd,5,FALSE),0)+SUMIFS($H$5:H1801,$E$5:E1801,E1801)-SUMIFS($I$5:I1801,$E$5:E1801,E1801))</f>
        <v/>
      </c>
      <c r="K1801" s="7"/>
      <c r="L1801" s="7"/>
      <c r="M1801" s="1" t="str">
        <f>IF(E1801="","",E1801&amp;"|"&amp;COUNTIF($E$5:E1801,E1801))</f>
        <v/>
      </c>
    </row>
    <row r="1802" spans="2:13" x14ac:dyDescent="0.2">
      <c r="B1802" s="10"/>
      <c r="C1802" s="7"/>
      <c r="D1802" s="11"/>
      <c r="E1802" s="6"/>
      <c r="F1802" s="12" t="str">
        <f t="shared" si="56"/>
        <v/>
      </c>
      <c r="G1802" s="13" t="str">
        <f t="shared" si="57"/>
        <v/>
      </c>
      <c r="H1802" s="9"/>
      <c r="I1802" s="9"/>
      <c r="J1802" s="14" t="str">
        <f>IF(E1802="","",IFERROR(VLOOKUP(E1802,TabProd,5,FALSE),0)+SUMIFS($H$5:H1802,$E$5:E1802,E1802)-SUMIFS($I$5:I1802,$E$5:E1802,E1802))</f>
        <v/>
      </c>
      <c r="K1802" s="7"/>
      <c r="L1802" s="7"/>
      <c r="M1802" s="1" t="str">
        <f>IF(E1802="","",E1802&amp;"|"&amp;COUNTIF($E$5:E1802,E1802))</f>
        <v/>
      </c>
    </row>
    <row r="1803" spans="2:13" x14ac:dyDescent="0.2">
      <c r="B1803" s="10"/>
      <c r="C1803" s="7"/>
      <c r="D1803" s="11"/>
      <c r="E1803" s="6"/>
      <c r="F1803" s="12" t="str">
        <f t="shared" si="56"/>
        <v/>
      </c>
      <c r="G1803" s="13" t="str">
        <f t="shared" si="57"/>
        <v/>
      </c>
      <c r="H1803" s="9"/>
      <c r="I1803" s="9"/>
      <c r="J1803" s="14" t="str">
        <f>IF(E1803="","",IFERROR(VLOOKUP(E1803,TabProd,5,FALSE),0)+SUMIFS($H$5:H1803,$E$5:E1803,E1803)-SUMIFS($I$5:I1803,$E$5:E1803,E1803))</f>
        <v/>
      </c>
      <c r="K1803" s="7"/>
      <c r="L1803" s="7"/>
      <c r="M1803" s="1" t="str">
        <f>IF(E1803="","",E1803&amp;"|"&amp;COUNTIF($E$5:E1803,E1803))</f>
        <v/>
      </c>
    </row>
    <row r="1804" spans="2:13" x14ac:dyDescent="0.2">
      <c r="B1804" s="10"/>
      <c r="C1804" s="7"/>
      <c r="D1804" s="11"/>
      <c r="E1804" s="6"/>
      <c r="F1804" s="12" t="str">
        <f t="shared" si="56"/>
        <v/>
      </c>
      <c r="G1804" s="13" t="str">
        <f t="shared" si="57"/>
        <v/>
      </c>
      <c r="H1804" s="9"/>
      <c r="I1804" s="9"/>
      <c r="J1804" s="14" t="str">
        <f>IF(E1804="","",IFERROR(VLOOKUP(E1804,TabProd,5,FALSE),0)+SUMIFS($H$5:H1804,$E$5:E1804,E1804)-SUMIFS($I$5:I1804,$E$5:E1804,E1804))</f>
        <v/>
      </c>
      <c r="K1804" s="7"/>
      <c r="L1804" s="7"/>
      <c r="M1804" s="1" t="str">
        <f>IF(E1804="","",E1804&amp;"|"&amp;COUNTIF($E$5:E1804,E1804))</f>
        <v/>
      </c>
    </row>
    <row r="1805" spans="2:13" x14ac:dyDescent="0.2">
      <c r="B1805" s="10"/>
      <c r="C1805" s="7"/>
      <c r="D1805" s="11"/>
      <c r="E1805" s="6"/>
      <c r="F1805" s="12" t="str">
        <f t="shared" si="56"/>
        <v/>
      </c>
      <c r="G1805" s="13" t="str">
        <f t="shared" si="57"/>
        <v/>
      </c>
      <c r="H1805" s="9"/>
      <c r="I1805" s="9"/>
      <c r="J1805" s="14" t="str">
        <f>IF(E1805="","",IFERROR(VLOOKUP(E1805,TabProd,5,FALSE),0)+SUMIFS($H$5:H1805,$E$5:E1805,E1805)-SUMIFS($I$5:I1805,$E$5:E1805,E1805))</f>
        <v/>
      </c>
      <c r="K1805" s="7"/>
      <c r="L1805" s="7"/>
      <c r="M1805" s="1" t="str">
        <f>IF(E1805="","",E1805&amp;"|"&amp;COUNTIF($E$5:E1805,E1805))</f>
        <v/>
      </c>
    </row>
    <row r="1806" spans="2:13" x14ac:dyDescent="0.2">
      <c r="B1806" s="10"/>
      <c r="C1806" s="7"/>
      <c r="D1806" s="11"/>
      <c r="E1806" s="6"/>
      <c r="F1806" s="12" t="str">
        <f t="shared" si="56"/>
        <v/>
      </c>
      <c r="G1806" s="13" t="str">
        <f t="shared" si="57"/>
        <v/>
      </c>
      <c r="H1806" s="9"/>
      <c r="I1806" s="9"/>
      <c r="J1806" s="14" t="str">
        <f>IF(E1806="","",IFERROR(VLOOKUP(E1806,TabProd,5,FALSE),0)+SUMIFS($H$5:H1806,$E$5:E1806,E1806)-SUMIFS($I$5:I1806,$E$5:E1806,E1806))</f>
        <v/>
      </c>
      <c r="K1806" s="7"/>
      <c r="L1806" s="7"/>
      <c r="M1806" s="1" t="str">
        <f>IF(E1806="","",E1806&amp;"|"&amp;COUNTIF($E$5:E1806,E1806))</f>
        <v/>
      </c>
    </row>
    <row r="1807" spans="2:13" x14ac:dyDescent="0.2">
      <c r="B1807" s="10"/>
      <c r="C1807" s="7"/>
      <c r="D1807" s="11"/>
      <c r="E1807" s="6"/>
      <c r="F1807" s="12" t="str">
        <f t="shared" si="56"/>
        <v/>
      </c>
      <c r="G1807" s="13" t="str">
        <f t="shared" si="57"/>
        <v/>
      </c>
      <c r="H1807" s="9"/>
      <c r="I1807" s="9"/>
      <c r="J1807" s="14" t="str">
        <f>IF(E1807="","",IFERROR(VLOOKUP(E1807,TabProd,5,FALSE),0)+SUMIFS($H$5:H1807,$E$5:E1807,E1807)-SUMIFS($I$5:I1807,$E$5:E1807,E1807))</f>
        <v/>
      </c>
      <c r="K1807" s="7"/>
      <c r="L1807" s="7"/>
      <c r="M1807" s="1" t="str">
        <f>IF(E1807="","",E1807&amp;"|"&amp;COUNTIF($E$5:E1807,E1807))</f>
        <v/>
      </c>
    </row>
    <row r="1808" spans="2:13" x14ac:dyDescent="0.2">
      <c r="B1808" s="10"/>
      <c r="C1808" s="7"/>
      <c r="D1808" s="11"/>
      <c r="E1808" s="6"/>
      <c r="F1808" s="12" t="str">
        <f t="shared" si="56"/>
        <v/>
      </c>
      <c r="G1808" s="13" t="str">
        <f t="shared" si="57"/>
        <v/>
      </c>
      <c r="H1808" s="9"/>
      <c r="I1808" s="9"/>
      <c r="J1808" s="14" t="str">
        <f>IF(E1808="","",IFERROR(VLOOKUP(E1808,TabProd,5,FALSE),0)+SUMIFS($H$5:H1808,$E$5:E1808,E1808)-SUMIFS($I$5:I1808,$E$5:E1808,E1808))</f>
        <v/>
      </c>
      <c r="K1808" s="7"/>
      <c r="L1808" s="7"/>
      <c r="M1808" s="1" t="str">
        <f>IF(E1808="","",E1808&amp;"|"&amp;COUNTIF($E$5:E1808,E1808))</f>
        <v/>
      </c>
    </row>
    <row r="1809" spans="2:13" x14ac:dyDescent="0.2">
      <c r="B1809" s="10"/>
      <c r="C1809" s="7"/>
      <c r="D1809" s="11"/>
      <c r="E1809" s="6"/>
      <c r="F1809" s="12" t="str">
        <f t="shared" si="56"/>
        <v/>
      </c>
      <c r="G1809" s="13" t="str">
        <f t="shared" si="57"/>
        <v/>
      </c>
      <c r="H1809" s="9"/>
      <c r="I1809" s="9"/>
      <c r="J1809" s="14" t="str">
        <f>IF(E1809="","",IFERROR(VLOOKUP(E1809,TabProd,5,FALSE),0)+SUMIFS($H$5:H1809,$E$5:E1809,E1809)-SUMIFS($I$5:I1809,$E$5:E1809,E1809))</f>
        <v/>
      </c>
      <c r="K1809" s="7"/>
      <c r="L1809" s="7"/>
      <c r="M1809" s="1" t="str">
        <f>IF(E1809="","",E1809&amp;"|"&amp;COUNTIF($E$5:E1809,E1809))</f>
        <v/>
      </c>
    </row>
    <row r="1810" spans="2:13" x14ac:dyDescent="0.2">
      <c r="B1810" s="10"/>
      <c r="C1810" s="7"/>
      <c r="D1810" s="11"/>
      <c r="E1810" s="6"/>
      <c r="F1810" s="12" t="str">
        <f t="shared" si="56"/>
        <v/>
      </c>
      <c r="G1810" s="13" t="str">
        <f t="shared" si="57"/>
        <v/>
      </c>
      <c r="H1810" s="9"/>
      <c r="I1810" s="9"/>
      <c r="J1810" s="14" t="str">
        <f>IF(E1810="","",IFERROR(VLOOKUP(E1810,TabProd,5,FALSE),0)+SUMIFS($H$5:H1810,$E$5:E1810,E1810)-SUMIFS($I$5:I1810,$E$5:E1810,E1810))</f>
        <v/>
      </c>
      <c r="K1810" s="7"/>
      <c r="L1810" s="7"/>
      <c r="M1810" s="1" t="str">
        <f>IF(E1810="","",E1810&amp;"|"&amp;COUNTIF($E$5:E1810,E1810))</f>
        <v/>
      </c>
    </row>
    <row r="1811" spans="2:13" x14ac:dyDescent="0.2">
      <c r="B1811" s="10"/>
      <c r="C1811" s="7"/>
      <c r="D1811" s="11"/>
      <c r="E1811" s="6"/>
      <c r="F1811" s="12" t="str">
        <f t="shared" si="56"/>
        <v/>
      </c>
      <c r="G1811" s="13" t="str">
        <f t="shared" si="57"/>
        <v/>
      </c>
      <c r="H1811" s="9"/>
      <c r="I1811" s="9"/>
      <c r="J1811" s="14" t="str">
        <f>IF(E1811="","",IFERROR(VLOOKUP(E1811,TabProd,5,FALSE),0)+SUMIFS($H$5:H1811,$E$5:E1811,E1811)-SUMIFS($I$5:I1811,$E$5:E1811,E1811))</f>
        <v/>
      </c>
      <c r="K1811" s="7"/>
      <c r="L1811" s="7"/>
      <c r="M1811" s="1" t="str">
        <f>IF(E1811="","",E1811&amp;"|"&amp;COUNTIF($E$5:E1811,E1811))</f>
        <v/>
      </c>
    </row>
    <row r="1812" spans="2:13" x14ac:dyDescent="0.2">
      <c r="B1812" s="10"/>
      <c r="C1812" s="7"/>
      <c r="D1812" s="11"/>
      <c r="E1812" s="6"/>
      <c r="F1812" s="12" t="str">
        <f t="shared" si="56"/>
        <v/>
      </c>
      <c r="G1812" s="13" t="str">
        <f t="shared" si="57"/>
        <v/>
      </c>
      <c r="H1812" s="9"/>
      <c r="I1812" s="9"/>
      <c r="J1812" s="14" t="str">
        <f>IF(E1812="","",IFERROR(VLOOKUP(E1812,TabProd,5,FALSE),0)+SUMIFS($H$5:H1812,$E$5:E1812,E1812)-SUMIFS($I$5:I1812,$E$5:E1812,E1812))</f>
        <v/>
      </c>
      <c r="K1812" s="7"/>
      <c r="L1812" s="7"/>
      <c r="M1812" s="1" t="str">
        <f>IF(E1812="","",E1812&amp;"|"&amp;COUNTIF($E$5:E1812,E1812))</f>
        <v/>
      </c>
    </row>
    <row r="1813" spans="2:13" x14ac:dyDescent="0.2">
      <c r="B1813" s="10"/>
      <c r="C1813" s="7"/>
      <c r="D1813" s="11"/>
      <c r="E1813" s="6"/>
      <c r="F1813" s="12" t="str">
        <f t="shared" si="56"/>
        <v/>
      </c>
      <c r="G1813" s="13" t="str">
        <f t="shared" si="57"/>
        <v/>
      </c>
      <c r="H1813" s="9"/>
      <c r="I1813" s="9"/>
      <c r="J1813" s="14" t="str">
        <f>IF(E1813="","",IFERROR(VLOOKUP(E1813,TabProd,5,FALSE),0)+SUMIFS($H$5:H1813,$E$5:E1813,E1813)-SUMIFS($I$5:I1813,$E$5:E1813,E1813))</f>
        <v/>
      </c>
      <c r="K1813" s="7"/>
      <c r="L1813" s="7"/>
      <c r="M1813" s="1" t="str">
        <f>IF(E1813="","",E1813&amp;"|"&amp;COUNTIF($E$5:E1813,E1813))</f>
        <v/>
      </c>
    </row>
    <row r="1814" spans="2:13" x14ac:dyDescent="0.2">
      <c r="B1814" s="10"/>
      <c r="C1814" s="7"/>
      <c r="D1814" s="11"/>
      <c r="E1814" s="6"/>
      <c r="F1814" s="12" t="str">
        <f t="shared" si="56"/>
        <v/>
      </c>
      <c r="G1814" s="13" t="str">
        <f t="shared" si="57"/>
        <v/>
      </c>
      <c r="H1814" s="9"/>
      <c r="I1814" s="9"/>
      <c r="J1814" s="14" t="str">
        <f>IF(E1814="","",IFERROR(VLOOKUP(E1814,TabProd,5,FALSE),0)+SUMIFS($H$5:H1814,$E$5:E1814,E1814)-SUMIFS($I$5:I1814,$E$5:E1814,E1814))</f>
        <v/>
      </c>
      <c r="K1814" s="7"/>
      <c r="L1814" s="7"/>
      <c r="M1814" s="1" t="str">
        <f>IF(E1814="","",E1814&amp;"|"&amp;COUNTIF($E$5:E1814,E1814))</f>
        <v/>
      </c>
    </row>
    <row r="1815" spans="2:13" x14ac:dyDescent="0.2">
      <c r="B1815" s="10"/>
      <c r="C1815" s="7"/>
      <c r="D1815" s="11"/>
      <c r="E1815" s="6"/>
      <c r="F1815" s="12" t="str">
        <f t="shared" si="56"/>
        <v/>
      </c>
      <c r="G1815" s="13" t="str">
        <f t="shared" si="57"/>
        <v/>
      </c>
      <c r="H1815" s="9"/>
      <c r="I1815" s="9"/>
      <c r="J1815" s="14" t="str">
        <f>IF(E1815="","",IFERROR(VLOOKUP(E1815,TabProd,5,FALSE),0)+SUMIFS($H$5:H1815,$E$5:E1815,E1815)-SUMIFS($I$5:I1815,$E$5:E1815,E1815))</f>
        <v/>
      </c>
      <c r="K1815" s="7"/>
      <c r="L1815" s="7"/>
      <c r="M1815" s="1" t="str">
        <f>IF(E1815="","",E1815&amp;"|"&amp;COUNTIF($E$5:E1815,E1815))</f>
        <v/>
      </c>
    </row>
    <row r="1816" spans="2:13" x14ac:dyDescent="0.2">
      <c r="B1816" s="10"/>
      <c r="C1816" s="7"/>
      <c r="D1816" s="11"/>
      <c r="E1816" s="6"/>
      <c r="F1816" s="12" t="str">
        <f t="shared" si="56"/>
        <v/>
      </c>
      <c r="G1816" s="13" t="str">
        <f t="shared" si="57"/>
        <v/>
      </c>
      <c r="H1816" s="9"/>
      <c r="I1816" s="9"/>
      <c r="J1816" s="14" t="str">
        <f>IF(E1816="","",IFERROR(VLOOKUP(E1816,TabProd,5,FALSE),0)+SUMIFS($H$5:H1816,$E$5:E1816,E1816)-SUMIFS($I$5:I1816,$E$5:E1816,E1816))</f>
        <v/>
      </c>
      <c r="K1816" s="7"/>
      <c r="L1816" s="7"/>
      <c r="M1816" s="1" t="str">
        <f>IF(E1816="","",E1816&amp;"|"&amp;COUNTIF($E$5:E1816,E1816))</f>
        <v/>
      </c>
    </row>
    <row r="1817" spans="2:13" x14ac:dyDescent="0.2">
      <c r="B1817" s="10"/>
      <c r="C1817" s="7"/>
      <c r="D1817" s="11"/>
      <c r="E1817" s="6"/>
      <c r="F1817" s="12" t="str">
        <f t="shared" si="56"/>
        <v/>
      </c>
      <c r="G1817" s="13" t="str">
        <f t="shared" si="57"/>
        <v/>
      </c>
      <c r="H1817" s="9"/>
      <c r="I1817" s="9"/>
      <c r="J1817" s="14" t="str">
        <f>IF(E1817="","",IFERROR(VLOOKUP(E1817,TabProd,5,FALSE),0)+SUMIFS($H$5:H1817,$E$5:E1817,E1817)-SUMIFS($I$5:I1817,$E$5:E1817,E1817))</f>
        <v/>
      </c>
      <c r="K1817" s="7"/>
      <c r="L1817" s="7"/>
      <c r="M1817" s="1" t="str">
        <f>IF(E1817="","",E1817&amp;"|"&amp;COUNTIF($E$5:E1817,E1817))</f>
        <v/>
      </c>
    </row>
    <row r="1818" spans="2:13" x14ac:dyDescent="0.2">
      <c r="B1818" s="10"/>
      <c r="C1818" s="7"/>
      <c r="D1818" s="11"/>
      <c r="E1818" s="6"/>
      <c r="F1818" s="12" t="str">
        <f t="shared" si="56"/>
        <v/>
      </c>
      <c r="G1818" s="13" t="str">
        <f t="shared" si="57"/>
        <v/>
      </c>
      <c r="H1818" s="9"/>
      <c r="I1818" s="9"/>
      <c r="J1818" s="14" t="str">
        <f>IF(E1818="","",IFERROR(VLOOKUP(E1818,TabProd,5,FALSE),0)+SUMIFS($H$5:H1818,$E$5:E1818,E1818)-SUMIFS($I$5:I1818,$E$5:E1818,E1818))</f>
        <v/>
      </c>
      <c r="K1818" s="7"/>
      <c r="L1818" s="7"/>
      <c r="M1818" s="1" t="str">
        <f>IF(E1818="","",E1818&amp;"|"&amp;COUNTIF($E$5:E1818,E1818))</f>
        <v/>
      </c>
    </row>
    <row r="1819" spans="2:13" x14ac:dyDescent="0.2">
      <c r="B1819" s="10"/>
      <c r="C1819" s="7"/>
      <c r="D1819" s="11"/>
      <c r="E1819" s="6"/>
      <c r="F1819" s="12" t="str">
        <f t="shared" si="56"/>
        <v/>
      </c>
      <c r="G1819" s="13" t="str">
        <f t="shared" si="57"/>
        <v/>
      </c>
      <c r="H1819" s="9"/>
      <c r="I1819" s="9"/>
      <c r="J1819" s="14" t="str">
        <f>IF(E1819="","",IFERROR(VLOOKUP(E1819,TabProd,5,FALSE),0)+SUMIFS($H$5:H1819,$E$5:E1819,E1819)-SUMIFS($I$5:I1819,$E$5:E1819,E1819))</f>
        <v/>
      </c>
      <c r="K1819" s="7"/>
      <c r="L1819" s="7"/>
      <c r="M1819" s="1" t="str">
        <f>IF(E1819="","",E1819&amp;"|"&amp;COUNTIF($E$5:E1819,E1819))</f>
        <v/>
      </c>
    </row>
    <row r="1820" spans="2:13" x14ac:dyDescent="0.2">
      <c r="B1820" s="10"/>
      <c r="C1820" s="7"/>
      <c r="D1820" s="11"/>
      <c r="E1820" s="6"/>
      <c r="F1820" s="12" t="str">
        <f t="shared" si="56"/>
        <v/>
      </c>
      <c r="G1820" s="13" t="str">
        <f t="shared" si="57"/>
        <v/>
      </c>
      <c r="H1820" s="9"/>
      <c r="I1820" s="9"/>
      <c r="J1820" s="14" t="str">
        <f>IF(E1820="","",IFERROR(VLOOKUP(E1820,TabProd,5,FALSE),0)+SUMIFS($H$5:H1820,$E$5:E1820,E1820)-SUMIFS($I$5:I1820,$E$5:E1820,E1820))</f>
        <v/>
      </c>
      <c r="K1820" s="7"/>
      <c r="L1820" s="7"/>
      <c r="M1820" s="1" t="str">
        <f>IF(E1820="","",E1820&amp;"|"&amp;COUNTIF($E$5:E1820,E1820))</f>
        <v/>
      </c>
    </row>
    <row r="1821" spans="2:13" x14ac:dyDescent="0.2">
      <c r="B1821" s="10"/>
      <c r="C1821" s="7"/>
      <c r="D1821" s="11"/>
      <c r="E1821" s="6"/>
      <c r="F1821" s="12" t="str">
        <f t="shared" si="56"/>
        <v/>
      </c>
      <c r="G1821" s="13" t="str">
        <f t="shared" si="57"/>
        <v/>
      </c>
      <c r="H1821" s="9"/>
      <c r="I1821" s="9"/>
      <c r="J1821" s="14" t="str">
        <f>IF(E1821="","",IFERROR(VLOOKUP(E1821,TabProd,5,FALSE),0)+SUMIFS($H$5:H1821,$E$5:E1821,E1821)-SUMIFS($I$5:I1821,$E$5:E1821,E1821))</f>
        <v/>
      </c>
      <c r="K1821" s="7"/>
      <c r="L1821" s="7"/>
      <c r="M1821" s="1" t="str">
        <f>IF(E1821="","",E1821&amp;"|"&amp;COUNTIF($E$5:E1821,E1821))</f>
        <v/>
      </c>
    </row>
    <row r="1822" spans="2:13" x14ac:dyDescent="0.2">
      <c r="B1822" s="10"/>
      <c r="C1822" s="7"/>
      <c r="D1822" s="11"/>
      <c r="E1822" s="6"/>
      <c r="F1822" s="12" t="str">
        <f t="shared" si="56"/>
        <v/>
      </c>
      <c r="G1822" s="13" t="str">
        <f t="shared" si="57"/>
        <v/>
      </c>
      <c r="H1822" s="9"/>
      <c r="I1822" s="9"/>
      <c r="J1822" s="14" t="str">
        <f>IF(E1822="","",IFERROR(VLOOKUP(E1822,TabProd,5,FALSE),0)+SUMIFS($H$5:H1822,$E$5:E1822,E1822)-SUMIFS($I$5:I1822,$E$5:E1822,E1822))</f>
        <v/>
      </c>
      <c r="K1822" s="7"/>
      <c r="L1822" s="7"/>
      <c r="M1822" s="1" t="str">
        <f>IF(E1822="","",E1822&amp;"|"&amp;COUNTIF($E$5:E1822,E1822))</f>
        <v/>
      </c>
    </row>
    <row r="1823" spans="2:13" x14ac:dyDescent="0.2">
      <c r="B1823" s="10"/>
      <c r="C1823" s="7"/>
      <c r="D1823" s="11"/>
      <c r="E1823" s="6"/>
      <c r="F1823" s="12" t="str">
        <f t="shared" si="56"/>
        <v/>
      </c>
      <c r="G1823" s="13" t="str">
        <f t="shared" si="57"/>
        <v/>
      </c>
      <c r="H1823" s="9"/>
      <c r="I1823" s="9"/>
      <c r="J1823" s="14" t="str">
        <f>IF(E1823="","",IFERROR(VLOOKUP(E1823,TabProd,5,FALSE),0)+SUMIFS($H$5:H1823,$E$5:E1823,E1823)-SUMIFS($I$5:I1823,$E$5:E1823,E1823))</f>
        <v/>
      </c>
      <c r="K1823" s="7"/>
      <c r="L1823" s="7"/>
      <c r="M1823" s="1" t="str">
        <f>IF(E1823="","",E1823&amp;"|"&amp;COUNTIF($E$5:E1823,E1823))</f>
        <v/>
      </c>
    </row>
    <row r="1824" spans="2:13" x14ac:dyDescent="0.2">
      <c r="B1824" s="10"/>
      <c r="C1824" s="7"/>
      <c r="D1824" s="11"/>
      <c r="E1824" s="6"/>
      <c r="F1824" s="12" t="str">
        <f t="shared" si="56"/>
        <v/>
      </c>
      <c r="G1824" s="13" t="str">
        <f t="shared" si="57"/>
        <v/>
      </c>
      <c r="H1824" s="9"/>
      <c r="I1824" s="9"/>
      <c r="J1824" s="14" t="str">
        <f>IF(E1824="","",IFERROR(VLOOKUP(E1824,TabProd,5,FALSE),0)+SUMIFS($H$5:H1824,$E$5:E1824,E1824)-SUMIFS($I$5:I1824,$E$5:E1824,E1824))</f>
        <v/>
      </c>
      <c r="K1824" s="7"/>
      <c r="L1824" s="7"/>
      <c r="M1824" s="1" t="str">
        <f>IF(E1824="","",E1824&amp;"|"&amp;COUNTIF($E$5:E1824,E1824))</f>
        <v/>
      </c>
    </row>
    <row r="1825" spans="2:13" x14ac:dyDescent="0.2">
      <c r="B1825" s="10"/>
      <c r="C1825" s="7"/>
      <c r="D1825" s="11"/>
      <c r="E1825" s="6"/>
      <c r="F1825" s="12" t="str">
        <f t="shared" si="56"/>
        <v/>
      </c>
      <c r="G1825" s="13" t="str">
        <f t="shared" si="57"/>
        <v/>
      </c>
      <c r="H1825" s="9"/>
      <c r="I1825" s="9"/>
      <c r="J1825" s="14" t="str">
        <f>IF(E1825="","",IFERROR(VLOOKUP(E1825,TabProd,5,FALSE),0)+SUMIFS($H$5:H1825,$E$5:E1825,E1825)-SUMIFS($I$5:I1825,$E$5:E1825,E1825))</f>
        <v/>
      </c>
      <c r="K1825" s="7"/>
      <c r="L1825" s="7"/>
      <c r="M1825" s="1" t="str">
        <f>IF(E1825="","",E1825&amp;"|"&amp;COUNTIF($E$5:E1825,E1825))</f>
        <v/>
      </c>
    </row>
    <row r="1826" spans="2:13" x14ac:dyDescent="0.2">
      <c r="B1826" s="10"/>
      <c r="C1826" s="7"/>
      <c r="D1826" s="11"/>
      <c r="E1826" s="6"/>
      <c r="F1826" s="12" t="str">
        <f t="shared" si="56"/>
        <v/>
      </c>
      <c r="G1826" s="13" t="str">
        <f t="shared" si="57"/>
        <v/>
      </c>
      <c r="H1826" s="9"/>
      <c r="I1826" s="9"/>
      <c r="J1826" s="14" t="str">
        <f>IF(E1826="","",IFERROR(VLOOKUP(E1826,TabProd,5,FALSE),0)+SUMIFS($H$5:H1826,$E$5:E1826,E1826)-SUMIFS($I$5:I1826,$E$5:E1826,E1826))</f>
        <v/>
      </c>
      <c r="K1826" s="7"/>
      <c r="L1826" s="7"/>
      <c r="M1826" s="1" t="str">
        <f>IF(E1826="","",E1826&amp;"|"&amp;COUNTIF($E$5:E1826,E1826))</f>
        <v/>
      </c>
    </row>
    <row r="1827" spans="2:13" x14ac:dyDescent="0.2">
      <c r="B1827" s="10"/>
      <c r="C1827" s="7"/>
      <c r="D1827" s="11"/>
      <c r="E1827" s="6"/>
      <c r="F1827" s="12" t="str">
        <f t="shared" si="56"/>
        <v/>
      </c>
      <c r="G1827" s="13" t="str">
        <f t="shared" si="57"/>
        <v/>
      </c>
      <c r="H1827" s="9"/>
      <c r="I1827" s="9"/>
      <c r="J1827" s="14" t="str">
        <f>IF(E1827="","",IFERROR(VLOOKUP(E1827,TabProd,5,FALSE),0)+SUMIFS($H$5:H1827,$E$5:E1827,E1827)-SUMIFS($I$5:I1827,$E$5:E1827,E1827))</f>
        <v/>
      </c>
      <c r="K1827" s="7"/>
      <c r="L1827" s="7"/>
      <c r="M1827" s="1" t="str">
        <f>IF(E1827="","",E1827&amp;"|"&amp;COUNTIF($E$5:E1827,E1827))</f>
        <v/>
      </c>
    </row>
    <row r="1828" spans="2:13" x14ac:dyDescent="0.2">
      <c r="B1828" s="10"/>
      <c r="C1828" s="7"/>
      <c r="D1828" s="11"/>
      <c r="E1828" s="6"/>
      <c r="F1828" s="12" t="str">
        <f t="shared" si="56"/>
        <v/>
      </c>
      <c r="G1828" s="13" t="str">
        <f t="shared" si="57"/>
        <v/>
      </c>
      <c r="H1828" s="9"/>
      <c r="I1828" s="9"/>
      <c r="J1828" s="14" t="str">
        <f>IF(E1828="","",IFERROR(VLOOKUP(E1828,TabProd,5,FALSE),0)+SUMIFS($H$5:H1828,$E$5:E1828,E1828)-SUMIFS($I$5:I1828,$E$5:E1828,E1828))</f>
        <v/>
      </c>
      <c r="K1828" s="7"/>
      <c r="L1828" s="7"/>
      <c r="M1828" s="1" t="str">
        <f>IF(E1828="","",E1828&amp;"|"&amp;COUNTIF($E$5:E1828,E1828))</f>
        <v/>
      </c>
    </row>
    <row r="1829" spans="2:13" x14ac:dyDescent="0.2">
      <c r="B1829" s="10"/>
      <c r="C1829" s="7"/>
      <c r="D1829" s="11"/>
      <c r="E1829" s="6"/>
      <c r="F1829" s="12" t="str">
        <f t="shared" si="56"/>
        <v/>
      </c>
      <c r="G1829" s="13" t="str">
        <f t="shared" si="57"/>
        <v/>
      </c>
      <c r="H1829" s="9"/>
      <c r="I1829" s="9"/>
      <c r="J1829" s="14" t="str">
        <f>IF(E1829="","",IFERROR(VLOOKUP(E1829,TabProd,5,FALSE),0)+SUMIFS($H$5:H1829,$E$5:E1829,E1829)-SUMIFS($I$5:I1829,$E$5:E1829,E1829))</f>
        <v/>
      </c>
      <c r="K1829" s="7"/>
      <c r="L1829" s="7"/>
      <c r="M1829" s="1" t="str">
        <f>IF(E1829="","",E1829&amp;"|"&amp;COUNTIF($E$5:E1829,E1829))</f>
        <v/>
      </c>
    </row>
    <row r="1830" spans="2:13" x14ac:dyDescent="0.2">
      <c r="B1830" s="10"/>
      <c r="C1830" s="7"/>
      <c r="D1830" s="11"/>
      <c r="E1830" s="6"/>
      <c r="F1830" s="12" t="str">
        <f t="shared" si="56"/>
        <v/>
      </c>
      <c r="G1830" s="13" t="str">
        <f t="shared" si="57"/>
        <v/>
      </c>
      <c r="H1830" s="9"/>
      <c r="I1830" s="9"/>
      <c r="J1830" s="14" t="str">
        <f>IF(E1830="","",IFERROR(VLOOKUP(E1830,TabProd,5,FALSE),0)+SUMIFS($H$5:H1830,$E$5:E1830,E1830)-SUMIFS($I$5:I1830,$E$5:E1830,E1830))</f>
        <v/>
      </c>
      <c r="K1830" s="7"/>
      <c r="L1830" s="7"/>
      <c r="M1830" s="1" t="str">
        <f>IF(E1830="","",E1830&amp;"|"&amp;COUNTIF($E$5:E1830,E1830))</f>
        <v/>
      </c>
    </row>
    <row r="1831" spans="2:13" x14ac:dyDescent="0.2">
      <c r="B1831" s="10"/>
      <c r="C1831" s="7"/>
      <c r="D1831" s="11"/>
      <c r="E1831" s="6"/>
      <c r="F1831" s="12" t="str">
        <f t="shared" si="56"/>
        <v/>
      </c>
      <c r="G1831" s="13" t="str">
        <f t="shared" si="57"/>
        <v/>
      </c>
      <c r="H1831" s="9"/>
      <c r="I1831" s="9"/>
      <c r="J1831" s="14" t="str">
        <f>IF(E1831="","",IFERROR(VLOOKUP(E1831,TabProd,5,FALSE),0)+SUMIFS($H$5:H1831,$E$5:E1831,E1831)-SUMIFS($I$5:I1831,$E$5:E1831,E1831))</f>
        <v/>
      </c>
      <c r="K1831" s="7"/>
      <c r="L1831" s="7"/>
      <c r="M1831" s="1" t="str">
        <f>IF(E1831="","",E1831&amp;"|"&amp;COUNTIF($E$5:E1831,E1831))</f>
        <v/>
      </c>
    </row>
    <row r="1832" spans="2:13" x14ac:dyDescent="0.2">
      <c r="B1832" s="10"/>
      <c r="C1832" s="7"/>
      <c r="D1832" s="11"/>
      <c r="E1832" s="6"/>
      <c r="F1832" s="12" t="str">
        <f t="shared" si="56"/>
        <v/>
      </c>
      <c r="G1832" s="13" t="str">
        <f t="shared" si="57"/>
        <v/>
      </c>
      <c r="H1832" s="9"/>
      <c r="I1832" s="9"/>
      <c r="J1832" s="14" t="str">
        <f>IF(E1832="","",IFERROR(VLOOKUP(E1832,TabProd,5,FALSE),0)+SUMIFS($H$5:H1832,$E$5:E1832,E1832)-SUMIFS($I$5:I1832,$E$5:E1832,E1832))</f>
        <v/>
      </c>
      <c r="K1832" s="7"/>
      <c r="L1832" s="7"/>
      <c r="M1832" s="1" t="str">
        <f>IF(E1832="","",E1832&amp;"|"&amp;COUNTIF($E$5:E1832,E1832))</f>
        <v/>
      </c>
    </row>
    <row r="1833" spans="2:13" x14ac:dyDescent="0.2">
      <c r="B1833" s="10"/>
      <c r="C1833" s="7"/>
      <c r="D1833" s="11"/>
      <c r="E1833" s="6"/>
      <c r="F1833" s="12" t="str">
        <f t="shared" si="56"/>
        <v/>
      </c>
      <c r="G1833" s="13" t="str">
        <f t="shared" si="57"/>
        <v/>
      </c>
      <c r="H1833" s="9"/>
      <c r="I1833" s="9"/>
      <c r="J1833" s="14" t="str">
        <f>IF(E1833="","",IFERROR(VLOOKUP(E1833,TabProd,5,FALSE),0)+SUMIFS($H$5:H1833,$E$5:E1833,E1833)-SUMIFS($I$5:I1833,$E$5:E1833,E1833))</f>
        <v/>
      </c>
      <c r="K1833" s="7"/>
      <c r="L1833" s="7"/>
      <c r="M1833" s="1" t="str">
        <f>IF(E1833="","",E1833&amp;"|"&amp;COUNTIF($E$5:E1833,E1833))</f>
        <v/>
      </c>
    </row>
    <row r="1834" spans="2:13" x14ac:dyDescent="0.2">
      <c r="B1834" s="10"/>
      <c r="C1834" s="7"/>
      <c r="D1834" s="11"/>
      <c r="E1834" s="6"/>
      <c r="F1834" s="12" t="str">
        <f t="shared" si="56"/>
        <v/>
      </c>
      <c r="G1834" s="13" t="str">
        <f t="shared" si="57"/>
        <v/>
      </c>
      <c r="H1834" s="9"/>
      <c r="I1834" s="9"/>
      <c r="J1834" s="14" t="str">
        <f>IF(E1834="","",IFERROR(VLOOKUP(E1834,TabProd,5,FALSE),0)+SUMIFS($H$5:H1834,$E$5:E1834,E1834)-SUMIFS($I$5:I1834,$E$5:E1834,E1834))</f>
        <v/>
      </c>
      <c r="K1834" s="7"/>
      <c r="L1834" s="7"/>
      <c r="M1834" s="1" t="str">
        <f>IF(E1834="","",E1834&amp;"|"&amp;COUNTIF($E$5:E1834,E1834))</f>
        <v/>
      </c>
    </row>
    <row r="1835" spans="2:13" x14ac:dyDescent="0.2">
      <c r="B1835" s="10"/>
      <c r="C1835" s="7"/>
      <c r="D1835" s="11"/>
      <c r="E1835" s="6"/>
      <c r="F1835" s="12" t="str">
        <f t="shared" si="56"/>
        <v/>
      </c>
      <c r="G1835" s="13" t="str">
        <f t="shared" si="57"/>
        <v/>
      </c>
      <c r="H1835" s="9"/>
      <c r="I1835" s="9"/>
      <c r="J1835" s="14" t="str">
        <f>IF(E1835="","",IFERROR(VLOOKUP(E1835,TabProd,5,FALSE),0)+SUMIFS($H$5:H1835,$E$5:E1835,E1835)-SUMIFS($I$5:I1835,$E$5:E1835,E1835))</f>
        <v/>
      </c>
      <c r="K1835" s="7"/>
      <c r="L1835" s="7"/>
      <c r="M1835" s="1" t="str">
        <f>IF(E1835="","",E1835&amp;"|"&amp;COUNTIF($E$5:E1835,E1835))</f>
        <v/>
      </c>
    </row>
    <row r="1836" spans="2:13" x14ac:dyDescent="0.2">
      <c r="B1836" s="10"/>
      <c r="C1836" s="7"/>
      <c r="D1836" s="11"/>
      <c r="E1836" s="6"/>
      <c r="F1836" s="12" t="str">
        <f t="shared" si="56"/>
        <v/>
      </c>
      <c r="G1836" s="13" t="str">
        <f t="shared" si="57"/>
        <v/>
      </c>
      <c r="H1836" s="9"/>
      <c r="I1836" s="9"/>
      <c r="J1836" s="14" t="str">
        <f>IF(E1836="","",IFERROR(VLOOKUP(E1836,TabProd,5,FALSE),0)+SUMIFS($H$5:H1836,$E$5:E1836,E1836)-SUMIFS($I$5:I1836,$E$5:E1836,E1836))</f>
        <v/>
      </c>
      <c r="K1836" s="7"/>
      <c r="L1836" s="7"/>
      <c r="M1836" s="1" t="str">
        <f>IF(E1836="","",E1836&amp;"|"&amp;COUNTIF($E$5:E1836,E1836))</f>
        <v/>
      </c>
    </row>
    <row r="1837" spans="2:13" x14ac:dyDescent="0.2">
      <c r="B1837" s="10"/>
      <c r="C1837" s="7"/>
      <c r="D1837" s="11"/>
      <c r="E1837" s="6"/>
      <c r="F1837" s="12" t="str">
        <f t="shared" si="56"/>
        <v/>
      </c>
      <c r="G1837" s="13" t="str">
        <f t="shared" si="57"/>
        <v/>
      </c>
      <c r="H1837" s="9"/>
      <c r="I1837" s="9"/>
      <c r="J1837" s="14" t="str">
        <f>IF(E1837="","",IFERROR(VLOOKUP(E1837,TabProd,5,FALSE),0)+SUMIFS($H$5:H1837,$E$5:E1837,E1837)-SUMIFS($I$5:I1837,$E$5:E1837,E1837))</f>
        <v/>
      </c>
      <c r="K1837" s="7"/>
      <c r="L1837" s="7"/>
      <c r="M1837" s="1" t="str">
        <f>IF(E1837="","",E1837&amp;"|"&amp;COUNTIF($E$5:E1837,E1837))</f>
        <v/>
      </c>
    </row>
    <row r="1838" spans="2:13" x14ac:dyDescent="0.2">
      <c r="B1838" s="10"/>
      <c r="C1838" s="7"/>
      <c r="D1838" s="11"/>
      <c r="E1838" s="6"/>
      <c r="F1838" s="12" t="str">
        <f t="shared" si="56"/>
        <v/>
      </c>
      <c r="G1838" s="13" t="str">
        <f t="shared" si="57"/>
        <v/>
      </c>
      <c r="H1838" s="9"/>
      <c r="I1838" s="9"/>
      <c r="J1838" s="14" t="str">
        <f>IF(E1838="","",IFERROR(VLOOKUP(E1838,TabProd,5,FALSE),0)+SUMIFS($H$5:H1838,$E$5:E1838,E1838)-SUMIFS($I$5:I1838,$E$5:E1838,E1838))</f>
        <v/>
      </c>
      <c r="K1838" s="7"/>
      <c r="L1838" s="7"/>
      <c r="M1838" s="1" t="str">
        <f>IF(E1838="","",E1838&amp;"|"&amp;COUNTIF($E$5:E1838,E1838))</f>
        <v/>
      </c>
    </row>
    <row r="1839" spans="2:13" x14ac:dyDescent="0.2">
      <c r="B1839" s="10"/>
      <c r="C1839" s="7"/>
      <c r="D1839" s="11"/>
      <c r="E1839" s="6"/>
      <c r="F1839" s="12" t="str">
        <f t="shared" si="56"/>
        <v/>
      </c>
      <c r="G1839" s="13" t="str">
        <f t="shared" si="57"/>
        <v/>
      </c>
      <c r="H1839" s="9"/>
      <c r="I1839" s="9"/>
      <c r="J1839" s="14" t="str">
        <f>IF(E1839="","",IFERROR(VLOOKUP(E1839,TabProd,5,FALSE),0)+SUMIFS($H$5:H1839,$E$5:E1839,E1839)-SUMIFS($I$5:I1839,$E$5:E1839,E1839))</f>
        <v/>
      </c>
      <c r="K1839" s="7"/>
      <c r="L1839" s="7"/>
      <c r="M1839" s="1" t="str">
        <f>IF(E1839="","",E1839&amp;"|"&amp;COUNTIF($E$5:E1839,E1839))</f>
        <v/>
      </c>
    </row>
    <row r="1840" spans="2:13" x14ac:dyDescent="0.2">
      <c r="B1840" s="10"/>
      <c r="C1840" s="7"/>
      <c r="D1840" s="11"/>
      <c r="E1840" s="6"/>
      <c r="F1840" s="12" t="str">
        <f t="shared" si="56"/>
        <v/>
      </c>
      <c r="G1840" s="13" t="str">
        <f t="shared" si="57"/>
        <v/>
      </c>
      <c r="H1840" s="9"/>
      <c r="I1840" s="9"/>
      <c r="J1840" s="14" t="str">
        <f>IF(E1840="","",IFERROR(VLOOKUP(E1840,TabProd,5,FALSE),0)+SUMIFS($H$5:H1840,$E$5:E1840,E1840)-SUMIFS($I$5:I1840,$E$5:E1840,E1840))</f>
        <v/>
      </c>
      <c r="K1840" s="7"/>
      <c r="L1840" s="7"/>
      <c r="M1840" s="1" t="str">
        <f>IF(E1840="","",E1840&amp;"|"&amp;COUNTIF($E$5:E1840,E1840))</f>
        <v/>
      </c>
    </row>
    <row r="1841" spans="2:13" x14ac:dyDescent="0.2">
      <c r="B1841" s="10"/>
      <c r="C1841" s="7"/>
      <c r="D1841" s="11"/>
      <c r="E1841" s="6"/>
      <c r="F1841" s="12" t="str">
        <f t="shared" si="56"/>
        <v/>
      </c>
      <c r="G1841" s="13" t="str">
        <f t="shared" si="57"/>
        <v/>
      </c>
      <c r="H1841" s="9"/>
      <c r="I1841" s="9"/>
      <c r="J1841" s="14" t="str">
        <f>IF(E1841="","",IFERROR(VLOOKUP(E1841,TabProd,5,FALSE),0)+SUMIFS($H$5:H1841,$E$5:E1841,E1841)-SUMIFS($I$5:I1841,$E$5:E1841,E1841))</f>
        <v/>
      </c>
      <c r="K1841" s="7"/>
      <c r="L1841" s="7"/>
      <c r="M1841" s="1" t="str">
        <f>IF(E1841="","",E1841&amp;"|"&amp;COUNTIF($E$5:E1841,E1841))</f>
        <v/>
      </c>
    </row>
    <row r="1842" spans="2:13" x14ac:dyDescent="0.2">
      <c r="B1842" s="10"/>
      <c r="C1842" s="7"/>
      <c r="D1842" s="11"/>
      <c r="E1842" s="6"/>
      <c r="F1842" s="12" t="str">
        <f t="shared" si="56"/>
        <v/>
      </c>
      <c r="G1842" s="13" t="str">
        <f t="shared" si="57"/>
        <v/>
      </c>
      <c r="H1842" s="9"/>
      <c r="I1842" s="9"/>
      <c r="J1842" s="14" t="str">
        <f>IF(E1842="","",IFERROR(VLOOKUP(E1842,TabProd,5,FALSE),0)+SUMIFS($H$5:H1842,$E$5:E1842,E1842)-SUMIFS($I$5:I1842,$E$5:E1842,E1842))</f>
        <v/>
      </c>
      <c r="K1842" s="7"/>
      <c r="L1842" s="7"/>
      <c r="M1842" s="1" t="str">
        <f>IF(E1842="","",E1842&amp;"|"&amp;COUNTIF($E$5:E1842,E1842))</f>
        <v/>
      </c>
    </row>
    <row r="1843" spans="2:13" x14ac:dyDescent="0.2">
      <c r="B1843" s="10"/>
      <c r="C1843" s="7"/>
      <c r="D1843" s="11"/>
      <c r="E1843" s="6"/>
      <c r="F1843" s="12" t="str">
        <f t="shared" si="56"/>
        <v/>
      </c>
      <c r="G1843" s="13" t="str">
        <f t="shared" si="57"/>
        <v/>
      </c>
      <c r="H1843" s="9"/>
      <c r="I1843" s="9"/>
      <c r="J1843" s="14" t="str">
        <f>IF(E1843="","",IFERROR(VLOOKUP(E1843,TabProd,5,FALSE),0)+SUMIFS($H$5:H1843,$E$5:E1843,E1843)-SUMIFS($I$5:I1843,$E$5:E1843,E1843))</f>
        <v/>
      </c>
      <c r="K1843" s="7"/>
      <c r="L1843" s="7"/>
      <c r="M1843" s="1" t="str">
        <f>IF(E1843="","",E1843&amp;"|"&amp;COUNTIF($E$5:E1843,E1843))</f>
        <v/>
      </c>
    </row>
    <row r="1844" spans="2:13" x14ac:dyDescent="0.2">
      <c r="B1844" s="10"/>
      <c r="C1844" s="7"/>
      <c r="D1844" s="11"/>
      <c r="E1844" s="6"/>
      <c r="F1844" s="12" t="str">
        <f t="shared" si="56"/>
        <v/>
      </c>
      <c r="G1844" s="13" t="str">
        <f t="shared" si="57"/>
        <v/>
      </c>
      <c r="H1844" s="9"/>
      <c r="I1844" s="9"/>
      <c r="J1844" s="14" t="str">
        <f>IF(E1844="","",IFERROR(VLOOKUP(E1844,TabProd,5,FALSE),0)+SUMIFS($H$5:H1844,$E$5:E1844,E1844)-SUMIFS($I$5:I1844,$E$5:E1844,E1844))</f>
        <v/>
      </c>
      <c r="K1844" s="7"/>
      <c r="L1844" s="7"/>
      <c r="M1844" s="1" t="str">
        <f>IF(E1844="","",E1844&amp;"|"&amp;COUNTIF($E$5:E1844,E1844))</f>
        <v/>
      </c>
    </row>
    <row r="1845" spans="2:13" x14ac:dyDescent="0.2">
      <c r="B1845" s="10"/>
      <c r="C1845" s="7"/>
      <c r="D1845" s="11"/>
      <c r="E1845" s="6"/>
      <c r="F1845" s="12" t="str">
        <f t="shared" si="56"/>
        <v/>
      </c>
      <c r="G1845" s="13" t="str">
        <f t="shared" si="57"/>
        <v/>
      </c>
      <c r="H1845" s="9"/>
      <c r="I1845" s="9"/>
      <c r="J1845" s="14" t="str">
        <f>IF(E1845="","",IFERROR(VLOOKUP(E1845,TabProd,5,FALSE),0)+SUMIFS($H$5:H1845,$E$5:E1845,E1845)-SUMIFS($I$5:I1845,$E$5:E1845,E1845))</f>
        <v/>
      </c>
      <c r="K1845" s="7"/>
      <c r="L1845" s="7"/>
      <c r="M1845" s="1" t="str">
        <f>IF(E1845="","",E1845&amp;"|"&amp;COUNTIF($E$5:E1845,E1845))</f>
        <v/>
      </c>
    </row>
    <row r="1846" spans="2:13" x14ac:dyDescent="0.2">
      <c r="B1846" s="10"/>
      <c r="C1846" s="7"/>
      <c r="D1846" s="11"/>
      <c r="E1846" s="6"/>
      <c r="F1846" s="12" t="str">
        <f t="shared" si="56"/>
        <v/>
      </c>
      <c r="G1846" s="13" t="str">
        <f t="shared" si="57"/>
        <v/>
      </c>
      <c r="H1846" s="9"/>
      <c r="I1846" s="9"/>
      <c r="J1846" s="14" t="str">
        <f>IF(E1846="","",IFERROR(VLOOKUP(E1846,TabProd,5,FALSE),0)+SUMIFS($H$5:H1846,$E$5:E1846,E1846)-SUMIFS($I$5:I1846,$E$5:E1846,E1846))</f>
        <v/>
      </c>
      <c r="K1846" s="7"/>
      <c r="L1846" s="7"/>
      <c r="M1846" s="1" t="str">
        <f>IF(E1846="","",E1846&amp;"|"&amp;COUNTIF($E$5:E1846,E1846))</f>
        <v/>
      </c>
    </row>
    <row r="1847" spans="2:13" x14ac:dyDescent="0.2">
      <c r="B1847" s="10"/>
      <c r="C1847" s="7"/>
      <c r="D1847" s="11"/>
      <c r="E1847" s="6"/>
      <c r="F1847" s="12" t="str">
        <f t="shared" si="56"/>
        <v/>
      </c>
      <c r="G1847" s="13" t="str">
        <f t="shared" si="57"/>
        <v/>
      </c>
      <c r="H1847" s="9"/>
      <c r="I1847" s="9"/>
      <c r="J1847" s="14" t="str">
        <f>IF(E1847="","",IFERROR(VLOOKUP(E1847,TabProd,5,FALSE),0)+SUMIFS($H$5:H1847,$E$5:E1847,E1847)-SUMIFS($I$5:I1847,$E$5:E1847,E1847))</f>
        <v/>
      </c>
      <c r="K1847" s="7"/>
      <c r="L1847" s="7"/>
      <c r="M1847" s="1" t="str">
        <f>IF(E1847="","",E1847&amp;"|"&amp;COUNTIF($E$5:E1847,E1847))</f>
        <v/>
      </c>
    </row>
    <row r="1848" spans="2:13" x14ac:dyDescent="0.2">
      <c r="B1848" s="10"/>
      <c r="C1848" s="7"/>
      <c r="D1848" s="11"/>
      <c r="E1848" s="6"/>
      <c r="F1848" s="12" t="str">
        <f t="shared" si="56"/>
        <v/>
      </c>
      <c r="G1848" s="13" t="str">
        <f t="shared" si="57"/>
        <v/>
      </c>
      <c r="H1848" s="9"/>
      <c r="I1848" s="9"/>
      <c r="J1848" s="14" t="str">
        <f>IF(E1848="","",IFERROR(VLOOKUP(E1848,TabProd,5,FALSE),0)+SUMIFS($H$5:H1848,$E$5:E1848,E1848)-SUMIFS($I$5:I1848,$E$5:E1848,E1848))</f>
        <v/>
      </c>
      <c r="K1848" s="7"/>
      <c r="L1848" s="7"/>
      <c r="M1848" s="1" t="str">
        <f>IF(E1848="","",E1848&amp;"|"&amp;COUNTIF($E$5:E1848,E1848))</f>
        <v/>
      </c>
    </row>
    <row r="1849" spans="2:13" x14ac:dyDescent="0.2">
      <c r="B1849" s="10"/>
      <c r="C1849" s="7"/>
      <c r="D1849" s="11"/>
      <c r="E1849" s="6"/>
      <c r="F1849" s="12" t="str">
        <f t="shared" si="56"/>
        <v/>
      </c>
      <c r="G1849" s="13" t="str">
        <f t="shared" si="57"/>
        <v/>
      </c>
      <c r="H1849" s="9"/>
      <c r="I1849" s="9"/>
      <c r="J1849" s="14" t="str">
        <f>IF(E1849="","",IFERROR(VLOOKUP(E1849,TabProd,5,FALSE),0)+SUMIFS($H$5:H1849,$E$5:E1849,E1849)-SUMIFS($I$5:I1849,$E$5:E1849,E1849))</f>
        <v/>
      </c>
      <c r="K1849" s="7"/>
      <c r="L1849" s="7"/>
      <c r="M1849" s="1" t="str">
        <f>IF(E1849="","",E1849&amp;"|"&amp;COUNTIF($E$5:E1849,E1849))</f>
        <v/>
      </c>
    </row>
    <row r="1850" spans="2:13" x14ac:dyDescent="0.2">
      <c r="B1850" s="10"/>
      <c r="C1850" s="7"/>
      <c r="D1850" s="11"/>
      <c r="E1850" s="6"/>
      <c r="F1850" s="12" t="str">
        <f t="shared" si="56"/>
        <v/>
      </c>
      <c r="G1850" s="13" t="str">
        <f t="shared" si="57"/>
        <v/>
      </c>
      <c r="H1850" s="9"/>
      <c r="I1850" s="9"/>
      <c r="J1850" s="14" t="str">
        <f>IF(E1850="","",IFERROR(VLOOKUP(E1850,TabProd,5,FALSE),0)+SUMIFS($H$5:H1850,$E$5:E1850,E1850)-SUMIFS($I$5:I1850,$E$5:E1850,E1850))</f>
        <v/>
      </c>
      <c r="K1850" s="7"/>
      <c r="L1850" s="7"/>
      <c r="M1850" s="1" t="str">
        <f>IF(E1850="","",E1850&amp;"|"&amp;COUNTIF($E$5:E1850,E1850))</f>
        <v/>
      </c>
    </row>
    <row r="1851" spans="2:13" x14ac:dyDescent="0.2">
      <c r="B1851" s="10"/>
      <c r="C1851" s="7"/>
      <c r="D1851" s="11"/>
      <c r="E1851" s="6"/>
      <c r="F1851" s="12" t="str">
        <f t="shared" si="56"/>
        <v/>
      </c>
      <c r="G1851" s="13" t="str">
        <f t="shared" si="57"/>
        <v/>
      </c>
      <c r="H1851" s="9"/>
      <c r="I1851" s="9"/>
      <c r="J1851" s="14" t="str">
        <f>IF(E1851="","",IFERROR(VLOOKUP(E1851,TabProd,5,FALSE),0)+SUMIFS($H$5:H1851,$E$5:E1851,E1851)-SUMIFS($I$5:I1851,$E$5:E1851,E1851))</f>
        <v/>
      </c>
      <c r="K1851" s="7"/>
      <c r="L1851" s="7"/>
      <c r="M1851" s="1" t="str">
        <f>IF(E1851="","",E1851&amp;"|"&amp;COUNTIF($E$5:E1851,E1851))</f>
        <v/>
      </c>
    </row>
    <row r="1852" spans="2:13" x14ac:dyDescent="0.2">
      <c r="B1852" s="10"/>
      <c r="C1852" s="7"/>
      <c r="D1852" s="11"/>
      <c r="E1852" s="6"/>
      <c r="F1852" s="12" t="str">
        <f t="shared" si="56"/>
        <v/>
      </c>
      <c r="G1852" s="13" t="str">
        <f t="shared" si="57"/>
        <v/>
      </c>
      <c r="H1852" s="9"/>
      <c r="I1852" s="9"/>
      <c r="J1852" s="14" t="str">
        <f>IF(E1852="","",IFERROR(VLOOKUP(E1852,TabProd,5,FALSE),0)+SUMIFS($H$5:H1852,$E$5:E1852,E1852)-SUMIFS($I$5:I1852,$E$5:E1852,E1852))</f>
        <v/>
      </c>
      <c r="K1852" s="7"/>
      <c r="L1852" s="7"/>
      <c r="M1852" s="1" t="str">
        <f>IF(E1852="","",E1852&amp;"|"&amp;COUNTIF($E$5:E1852,E1852))</f>
        <v/>
      </c>
    </row>
    <row r="1853" spans="2:13" x14ac:dyDescent="0.2">
      <c r="B1853" s="10"/>
      <c r="C1853" s="7"/>
      <c r="D1853" s="11"/>
      <c r="E1853" s="6"/>
      <c r="F1853" s="12" t="str">
        <f t="shared" si="56"/>
        <v/>
      </c>
      <c r="G1853" s="13" t="str">
        <f t="shared" si="57"/>
        <v/>
      </c>
      <c r="H1853" s="9"/>
      <c r="I1853" s="9"/>
      <c r="J1853" s="14" t="str">
        <f>IF(E1853="","",IFERROR(VLOOKUP(E1853,TabProd,5,FALSE),0)+SUMIFS($H$5:H1853,$E$5:E1853,E1853)-SUMIFS($I$5:I1853,$E$5:E1853,E1853))</f>
        <v/>
      </c>
      <c r="K1853" s="7"/>
      <c r="L1853" s="7"/>
      <c r="M1853" s="1" t="str">
        <f>IF(E1853="","",E1853&amp;"|"&amp;COUNTIF($E$5:E1853,E1853))</f>
        <v/>
      </c>
    </row>
    <row r="1854" spans="2:13" x14ac:dyDescent="0.2">
      <c r="B1854" s="10"/>
      <c r="C1854" s="7"/>
      <c r="D1854" s="11"/>
      <c r="E1854" s="6"/>
      <c r="F1854" s="12" t="str">
        <f t="shared" si="56"/>
        <v/>
      </c>
      <c r="G1854" s="13" t="str">
        <f t="shared" si="57"/>
        <v/>
      </c>
      <c r="H1854" s="9"/>
      <c r="I1854" s="9"/>
      <c r="J1854" s="14" t="str">
        <f>IF(E1854="","",IFERROR(VLOOKUP(E1854,TabProd,5,FALSE),0)+SUMIFS($H$5:H1854,$E$5:E1854,E1854)-SUMIFS($I$5:I1854,$E$5:E1854,E1854))</f>
        <v/>
      </c>
      <c r="K1854" s="7"/>
      <c r="L1854" s="7"/>
      <c r="M1854" s="1" t="str">
        <f>IF(E1854="","",E1854&amp;"|"&amp;COUNTIF($E$5:E1854,E1854))</f>
        <v/>
      </c>
    </row>
    <row r="1855" spans="2:13" x14ac:dyDescent="0.2">
      <c r="B1855" s="10"/>
      <c r="C1855" s="7"/>
      <c r="D1855" s="11"/>
      <c r="E1855" s="6"/>
      <c r="F1855" s="12" t="str">
        <f t="shared" si="56"/>
        <v/>
      </c>
      <c r="G1855" s="13" t="str">
        <f t="shared" si="57"/>
        <v/>
      </c>
      <c r="H1855" s="9"/>
      <c r="I1855" s="9"/>
      <c r="J1855" s="14" t="str">
        <f>IF(E1855="","",IFERROR(VLOOKUP(E1855,TabProd,5,FALSE),0)+SUMIFS($H$5:H1855,$E$5:E1855,E1855)-SUMIFS($I$5:I1855,$E$5:E1855,E1855))</f>
        <v/>
      </c>
      <c r="K1855" s="7"/>
      <c r="L1855" s="7"/>
      <c r="M1855" s="1" t="str">
        <f>IF(E1855="","",E1855&amp;"|"&amp;COUNTIF($E$5:E1855,E1855))</f>
        <v/>
      </c>
    </row>
    <row r="1856" spans="2:13" x14ac:dyDescent="0.2">
      <c r="B1856" s="10"/>
      <c r="C1856" s="7"/>
      <c r="D1856" s="11"/>
      <c r="E1856" s="6"/>
      <c r="F1856" s="12" t="str">
        <f t="shared" si="56"/>
        <v/>
      </c>
      <c r="G1856" s="13" t="str">
        <f t="shared" si="57"/>
        <v/>
      </c>
      <c r="H1856" s="9"/>
      <c r="I1856" s="9"/>
      <c r="J1856" s="14" t="str">
        <f>IF(E1856="","",IFERROR(VLOOKUP(E1856,TabProd,5,FALSE),0)+SUMIFS($H$5:H1856,$E$5:E1856,E1856)-SUMIFS($I$5:I1856,$E$5:E1856,E1856))</f>
        <v/>
      </c>
      <c r="K1856" s="7"/>
      <c r="L1856" s="7"/>
      <c r="M1856" s="1" t="str">
        <f>IF(E1856="","",E1856&amp;"|"&amp;COUNTIF($E$5:E1856,E1856))</f>
        <v/>
      </c>
    </row>
    <row r="1857" spans="2:13" x14ac:dyDescent="0.2">
      <c r="B1857" s="10"/>
      <c r="C1857" s="7"/>
      <c r="D1857" s="11"/>
      <c r="E1857" s="6"/>
      <c r="F1857" s="12" t="str">
        <f t="shared" si="56"/>
        <v/>
      </c>
      <c r="G1857" s="13" t="str">
        <f t="shared" si="57"/>
        <v/>
      </c>
      <c r="H1857" s="9"/>
      <c r="I1857" s="9"/>
      <c r="J1857" s="14" t="str">
        <f>IF(E1857="","",IFERROR(VLOOKUP(E1857,TabProd,5,FALSE),0)+SUMIFS($H$5:H1857,$E$5:E1857,E1857)-SUMIFS($I$5:I1857,$E$5:E1857,E1857))</f>
        <v/>
      </c>
      <c r="K1857" s="7"/>
      <c r="L1857" s="7"/>
      <c r="M1857" s="1" t="str">
        <f>IF(E1857="","",E1857&amp;"|"&amp;COUNTIF($E$5:E1857,E1857))</f>
        <v/>
      </c>
    </row>
    <row r="1858" spans="2:13" x14ac:dyDescent="0.2">
      <c r="B1858" s="10"/>
      <c r="C1858" s="7"/>
      <c r="D1858" s="11"/>
      <c r="E1858" s="6"/>
      <c r="F1858" s="12" t="str">
        <f t="shared" si="56"/>
        <v/>
      </c>
      <c r="G1858" s="13" t="str">
        <f t="shared" si="57"/>
        <v/>
      </c>
      <c r="H1858" s="9"/>
      <c r="I1858" s="9"/>
      <c r="J1858" s="14" t="str">
        <f>IF(E1858="","",IFERROR(VLOOKUP(E1858,TabProd,5,FALSE),0)+SUMIFS($H$5:H1858,$E$5:E1858,E1858)-SUMIFS($I$5:I1858,$E$5:E1858,E1858))</f>
        <v/>
      </c>
      <c r="K1858" s="7"/>
      <c r="L1858" s="7"/>
      <c r="M1858" s="1" t="str">
        <f>IF(E1858="","",E1858&amp;"|"&amp;COUNTIF($E$5:E1858,E1858))</f>
        <v/>
      </c>
    </row>
    <row r="1859" spans="2:13" x14ac:dyDescent="0.2">
      <c r="B1859" s="10"/>
      <c r="C1859" s="7"/>
      <c r="D1859" s="11"/>
      <c r="E1859" s="6"/>
      <c r="F1859" s="12" t="str">
        <f t="shared" si="56"/>
        <v/>
      </c>
      <c r="G1859" s="13" t="str">
        <f t="shared" si="57"/>
        <v/>
      </c>
      <c r="H1859" s="9"/>
      <c r="I1859" s="9"/>
      <c r="J1859" s="14" t="str">
        <f>IF(E1859="","",IFERROR(VLOOKUP(E1859,TabProd,5,FALSE),0)+SUMIFS($H$5:H1859,$E$5:E1859,E1859)-SUMIFS($I$5:I1859,$E$5:E1859,E1859))</f>
        <v/>
      </c>
      <c r="K1859" s="7"/>
      <c r="L1859" s="7"/>
      <c r="M1859" s="1" t="str">
        <f>IF(E1859="","",E1859&amp;"|"&amp;COUNTIF($E$5:E1859,E1859))</f>
        <v/>
      </c>
    </row>
    <row r="1860" spans="2:13" x14ac:dyDescent="0.2">
      <c r="B1860" s="10"/>
      <c r="C1860" s="7"/>
      <c r="D1860" s="11"/>
      <c r="E1860" s="6"/>
      <c r="F1860" s="12" t="str">
        <f t="shared" si="56"/>
        <v/>
      </c>
      <c r="G1860" s="13" t="str">
        <f t="shared" si="57"/>
        <v/>
      </c>
      <c r="H1860" s="9"/>
      <c r="I1860" s="9"/>
      <c r="J1860" s="14" t="str">
        <f>IF(E1860="","",IFERROR(VLOOKUP(E1860,TabProd,5,FALSE),0)+SUMIFS($H$5:H1860,$E$5:E1860,E1860)-SUMIFS($I$5:I1860,$E$5:E1860,E1860))</f>
        <v/>
      </c>
      <c r="K1860" s="7"/>
      <c r="L1860" s="7"/>
      <c r="M1860" s="1" t="str">
        <f>IF(E1860="","",E1860&amp;"|"&amp;COUNTIF($E$5:E1860,E1860))</f>
        <v/>
      </c>
    </row>
    <row r="1861" spans="2:13" x14ac:dyDescent="0.2">
      <c r="B1861" s="10"/>
      <c r="C1861" s="7"/>
      <c r="D1861" s="11"/>
      <c r="E1861" s="6"/>
      <c r="F1861" s="12" t="str">
        <f t="shared" ref="F1861:F1924" si="58">IF(E1861="","",IFERROR(VLOOKUP(E1861,TabProd,2,FALSE),"Cod inexistent"))</f>
        <v/>
      </c>
      <c r="G1861" s="13" t="str">
        <f t="shared" ref="G1861:G1924" si="59">IF(E1861="","",IFERROR(VLOOKUP(E1861,TabProd,3,FALSE),""))</f>
        <v/>
      </c>
      <c r="H1861" s="9"/>
      <c r="I1861" s="9"/>
      <c r="J1861" s="14" t="str">
        <f>IF(E1861="","",IFERROR(VLOOKUP(E1861,TabProd,5,FALSE),0)+SUMIFS($H$5:H1861,$E$5:E1861,E1861)-SUMIFS($I$5:I1861,$E$5:E1861,E1861))</f>
        <v/>
      </c>
      <c r="K1861" s="7"/>
      <c r="L1861" s="7"/>
      <c r="M1861" s="1" t="str">
        <f>IF(E1861="","",E1861&amp;"|"&amp;COUNTIF($E$5:E1861,E1861))</f>
        <v/>
      </c>
    </row>
    <row r="1862" spans="2:13" x14ac:dyDescent="0.2">
      <c r="B1862" s="10"/>
      <c r="C1862" s="7"/>
      <c r="D1862" s="11"/>
      <c r="E1862" s="6"/>
      <c r="F1862" s="12" t="str">
        <f t="shared" si="58"/>
        <v/>
      </c>
      <c r="G1862" s="13" t="str">
        <f t="shared" si="59"/>
        <v/>
      </c>
      <c r="H1862" s="9"/>
      <c r="I1862" s="9"/>
      <c r="J1862" s="14" t="str">
        <f>IF(E1862="","",IFERROR(VLOOKUP(E1862,TabProd,5,FALSE),0)+SUMIFS($H$5:H1862,$E$5:E1862,E1862)-SUMIFS($I$5:I1862,$E$5:E1862,E1862))</f>
        <v/>
      </c>
      <c r="K1862" s="7"/>
      <c r="L1862" s="7"/>
      <c r="M1862" s="1" t="str">
        <f>IF(E1862="","",E1862&amp;"|"&amp;COUNTIF($E$5:E1862,E1862))</f>
        <v/>
      </c>
    </row>
    <row r="1863" spans="2:13" x14ac:dyDescent="0.2">
      <c r="B1863" s="10"/>
      <c r="C1863" s="7"/>
      <c r="D1863" s="11"/>
      <c r="E1863" s="6"/>
      <c r="F1863" s="12" t="str">
        <f t="shared" si="58"/>
        <v/>
      </c>
      <c r="G1863" s="13" t="str">
        <f t="shared" si="59"/>
        <v/>
      </c>
      <c r="H1863" s="9"/>
      <c r="I1863" s="9"/>
      <c r="J1863" s="14" t="str">
        <f>IF(E1863="","",IFERROR(VLOOKUP(E1863,TabProd,5,FALSE),0)+SUMIFS($H$5:H1863,$E$5:E1863,E1863)-SUMIFS($I$5:I1863,$E$5:E1863,E1863))</f>
        <v/>
      </c>
      <c r="K1863" s="7"/>
      <c r="L1863" s="7"/>
      <c r="M1863" s="1" t="str">
        <f>IF(E1863="","",E1863&amp;"|"&amp;COUNTIF($E$5:E1863,E1863))</f>
        <v/>
      </c>
    </row>
    <row r="1864" spans="2:13" x14ac:dyDescent="0.2">
      <c r="B1864" s="10"/>
      <c r="C1864" s="7"/>
      <c r="D1864" s="11"/>
      <c r="E1864" s="6"/>
      <c r="F1864" s="12" t="str">
        <f t="shared" si="58"/>
        <v/>
      </c>
      <c r="G1864" s="13" t="str">
        <f t="shared" si="59"/>
        <v/>
      </c>
      <c r="H1864" s="9"/>
      <c r="I1864" s="9"/>
      <c r="J1864" s="14" t="str">
        <f>IF(E1864="","",IFERROR(VLOOKUP(E1864,TabProd,5,FALSE),0)+SUMIFS($H$5:H1864,$E$5:E1864,E1864)-SUMIFS($I$5:I1864,$E$5:E1864,E1864))</f>
        <v/>
      </c>
      <c r="K1864" s="7"/>
      <c r="L1864" s="7"/>
      <c r="M1864" s="1" t="str">
        <f>IF(E1864="","",E1864&amp;"|"&amp;COUNTIF($E$5:E1864,E1864))</f>
        <v/>
      </c>
    </row>
    <row r="1865" spans="2:13" x14ac:dyDescent="0.2">
      <c r="B1865" s="10"/>
      <c r="C1865" s="7"/>
      <c r="D1865" s="11"/>
      <c r="E1865" s="6"/>
      <c r="F1865" s="12" t="str">
        <f t="shared" si="58"/>
        <v/>
      </c>
      <c r="G1865" s="13" t="str">
        <f t="shared" si="59"/>
        <v/>
      </c>
      <c r="H1865" s="9"/>
      <c r="I1865" s="9"/>
      <c r="J1865" s="14" t="str">
        <f>IF(E1865="","",IFERROR(VLOOKUP(E1865,TabProd,5,FALSE),0)+SUMIFS($H$5:H1865,$E$5:E1865,E1865)-SUMIFS($I$5:I1865,$E$5:E1865,E1865))</f>
        <v/>
      </c>
      <c r="K1865" s="7"/>
      <c r="L1865" s="7"/>
      <c r="M1865" s="1" t="str">
        <f>IF(E1865="","",E1865&amp;"|"&amp;COUNTIF($E$5:E1865,E1865))</f>
        <v/>
      </c>
    </row>
    <row r="1866" spans="2:13" x14ac:dyDescent="0.2">
      <c r="B1866" s="10"/>
      <c r="C1866" s="7"/>
      <c r="D1866" s="11"/>
      <c r="E1866" s="6"/>
      <c r="F1866" s="12" t="str">
        <f t="shared" si="58"/>
        <v/>
      </c>
      <c r="G1866" s="13" t="str">
        <f t="shared" si="59"/>
        <v/>
      </c>
      <c r="H1866" s="9"/>
      <c r="I1866" s="9"/>
      <c r="J1866" s="14" t="str">
        <f>IF(E1866="","",IFERROR(VLOOKUP(E1866,TabProd,5,FALSE),0)+SUMIFS($H$5:H1866,$E$5:E1866,E1866)-SUMIFS($I$5:I1866,$E$5:E1866,E1866))</f>
        <v/>
      </c>
      <c r="K1866" s="7"/>
      <c r="L1866" s="7"/>
      <c r="M1866" s="1" t="str">
        <f>IF(E1866="","",E1866&amp;"|"&amp;COUNTIF($E$5:E1866,E1866))</f>
        <v/>
      </c>
    </row>
    <row r="1867" spans="2:13" x14ac:dyDescent="0.2">
      <c r="B1867" s="10"/>
      <c r="C1867" s="7"/>
      <c r="D1867" s="11"/>
      <c r="E1867" s="6"/>
      <c r="F1867" s="12" t="str">
        <f t="shared" si="58"/>
        <v/>
      </c>
      <c r="G1867" s="13" t="str">
        <f t="shared" si="59"/>
        <v/>
      </c>
      <c r="H1867" s="9"/>
      <c r="I1867" s="9"/>
      <c r="J1867" s="14" t="str">
        <f>IF(E1867="","",IFERROR(VLOOKUP(E1867,TabProd,5,FALSE),0)+SUMIFS($H$5:H1867,$E$5:E1867,E1867)-SUMIFS($I$5:I1867,$E$5:E1867,E1867))</f>
        <v/>
      </c>
      <c r="K1867" s="7"/>
      <c r="L1867" s="7"/>
      <c r="M1867" s="1" t="str">
        <f>IF(E1867="","",E1867&amp;"|"&amp;COUNTIF($E$5:E1867,E1867))</f>
        <v/>
      </c>
    </row>
    <row r="1868" spans="2:13" x14ac:dyDescent="0.2">
      <c r="B1868" s="10"/>
      <c r="C1868" s="7"/>
      <c r="D1868" s="11"/>
      <c r="E1868" s="6"/>
      <c r="F1868" s="12" t="str">
        <f t="shared" si="58"/>
        <v/>
      </c>
      <c r="G1868" s="13" t="str">
        <f t="shared" si="59"/>
        <v/>
      </c>
      <c r="H1868" s="9"/>
      <c r="I1868" s="9"/>
      <c r="J1868" s="14" t="str">
        <f>IF(E1868="","",IFERROR(VLOOKUP(E1868,TabProd,5,FALSE),0)+SUMIFS($H$5:H1868,$E$5:E1868,E1868)-SUMIFS($I$5:I1868,$E$5:E1868,E1868))</f>
        <v/>
      </c>
      <c r="K1868" s="7"/>
      <c r="L1868" s="7"/>
      <c r="M1868" s="1" t="str">
        <f>IF(E1868="","",E1868&amp;"|"&amp;COUNTIF($E$5:E1868,E1868))</f>
        <v/>
      </c>
    </row>
    <row r="1869" spans="2:13" x14ac:dyDescent="0.2">
      <c r="B1869" s="10"/>
      <c r="C1869" s="7"/>
      <c r="D1869" s="11"/>
      <c r="E1869" s="6"/>
      <c r="F1869" s="12" t="str">
        <f t="shared" si="58"/>
        <v/>
      </c>
      <c r="G1869" s="13" t="str">
        <f t="shared" si="59"/>
        <v/>
      </c>
      <c r="H1869" s="9"/>
      <c r="I1869" s="9"/>
      <c r="J1869" s="14" t="str">
        <f>IF(E1869="","",IFERROR(VLOOKUP(E1869,TabProd,5,FALSE),0)+SUMIFS($H$5:H1869,$E$5:E1869,E1869)-SUMIFS($I$5:I1869,$E$5:E1869,E1869))</f>
        <v/>
      </c>
      <c r="K1869" s="7"/>
      <c r="L1869" s="7"/>
      <c r="M1869" s="1" t="str">
        <f>IF(E1869="","",E1869&amp;"|"&amp;COUNTIF($E$5:E1869,E1869))</f>
        <v/>
      </c>
    </row>
    <row r="1870" spans="2:13" x14ac:dyDescent="0.2">
      <c r="B1870" s="10"/>
      <c r="C1870" s="7"/>
      <c r="D1870" s="11"/>
      <c r="E1870" s="6"/>
      <c r="F1870" s="12" t="str">
        <f t="shared" si="58"/>
        <v/>
      </c>
      <c r="G1870" s="13" t="str">
        <f t="shared" si="59"/>
        <v/>
      </c>
      <c r="H1870" s="9"/>
      <c r="I1870" s="9"/>
      <c r="J1870" s="14" t="str">
        <f>IF(E1870="","",IFERROR(VLOOKUP(E1870,TabProd,5,FALSE),0)+SUMIFS($H$5:H1870,$E$5:E1870,E1870)-SUMIFS($I$5:I1870,$E$5:E1870,E1870))</f>
        <v/>
      </c>
      <c r="K1870" s="7"/>
      <c r="L1870" s="7"/>
      <c r="M1870" s="1" t="str">
        <f>IF(E1870="","",E1870&amp;"|"&amp;COUNTIF($E$5:E1870,E1870))</f>
        <v/>
      </c>
    </row>
    <row r="1871" spans="2:13" x14ac:dyDescent="0.2">
      <c r="B1871" s="10"/>
      <c r="C1871" s="7"/>
      <c r="D1871" s="11"/>
      <c r="E1871" s="6"/>
      <c r="F1871" s="12" t="str">
        <f t="shared" si="58"/>
        <v/>
      </c>
      <c r="G1871" s="13" t="str">
        <f t="shared" si="59"/>
        <v/>
      </c>
      <c r="H1871" s="9"/>
      <c r="I1871" s="9"/>
      <c r="J1871" s="14" t="str">
        <f>IF(E1871="","",IFERROR(VLOOKUP(E1871,TabProd,5,FALSE),0)+SUMIFS($H$5:H1871,$E$5:E1871,E1871)-SUMIFS($I$5:I1871,$E$5:E1871,E1871))</f>
        <v/>
      </c>
      <c r="K1871" s="7"/>
      <c r="L1871" s="7"/>
      <c r="M1871" s="1" t="str">
        <f>IF(E1871="","",E1871&amp;"|"&amp;COUNTIF($E$5:E1871,E1871))</f>
        <v/>
      </c>
    </row>
    <row r="1872" spans="2:13" x14ac:dyDescent="0.2">
      <c r="B1872" s="10"/>
      <c r="C1872" s="7"/>
      <c r="D1872" s="11"/>
      <c r="E1872" s="6"/>
      <c r="F1872" s="12" t="str">
        <f t="shared" si="58"/>
        <v/>
      </c>
      <c r="G1872" s="13" t="str">
        <f t="shared" si="59"/>
        <v/>
      </c>
      <c r="H1872" s="9"/>
      <c r="I1872" s="9"/>
      <c r="J1872" s="14" t="str">
        <f>IF(E1872="","",IFERROR(VLOOKUP(E1872,TabProd,5,FALSE),0)+SUMIFS($H$5:H1872,$E$5:E1872,E1872)-SUMIFS($I$5:I1872,$E$5:E1872,E1872))</f>
        <v/>
      </c>
      <c r="K1872" s="7"/>
      <c r="L1872" s="7"/>
      <c r="M1872" s="1" t="str">
        <f>IF(E1872="","",E1872&amp;"|"&amp;COUNTIF($E$5:E1872,E1872))</f>
        <v/>
      </c>
    </row>
    <row r="1873" spans="2:13" x14ac:dyDescent="0.2">
      <c r="B1873" s="10"/>
      <c r="C1873" s="7"/>
      <c r="D1873" s="11"/>
      <c r="E1873" s="6"/>
      <c r="F1873" s="12" t="str">
        <f t="shared" si="58"/>
        <v/>
      </c>
      <c r="G1873" s="13" t="str">
        <f t="shared" si="59"/>
        <v/>
      </c>
      <c r="H1873" s="9"/>
      <c r="I1873" s="9"/>
      <c r="J1873" s="14" t="str">
        <f>IF(E1873="","",IFERROR(VLOOKUP(E1873,TabProd,5,FALSE),0)+SUMIFS($H$5:H1873,$E$5:E1873,E1873)-SUMIFS($I$5:I1873,$E$5:E1873,E1873))</f>
        <v/>
      </c>
      <c r="K1873" s="7"/>
      <c r="L1873" s="7"/>
      <c r="M1873" s="1" t="str">
        <f>IF(E1873="","",E1873&amp;"|"&amp;COUNTIF($E$5:E1873,E1873))</f>
        <v/>
      </c>
    </row>
    <row r="1874" spans="2:13" x14ac:dyDescent="0.2">
      <c r="B1874" s="10"/>
      <c r="C1874" s="7"/>
      <c r="D1874" s="11"/>
      <c r="E1874" s="6"/>
      <c r="F1874" s="12" t="str">
        <f t="shared" si="58"/>
        <v/>
      </c>
      <c r="G1874" s="13" t="str">
        <f t="shared" si="59"/>
        <v/>
      </c>
      <c r="H1874" s="9"/>
      <c r="I1874" s="9"/>
      <c r="J1874" s="14" t="str">
        <f>IF(E1874="","",IFERROR(VLOOKUP(E1874,TabProd,5,FALSE),0)+SUMIFS($H$5:H1874,$E$5:E1874,E1874)-SUMIFS($I$5:I1874,$E$5:E1874,E1874))</f>
        <v/>
      </c>
      <c r="K1874" s="7"/>
      <c r="L1874" s="7"/>
      <c r="M1874" s="1" t="str">
        <f>IF(E1874="","",E1874&amp;"|"&amp;COUNTIF($E$5:E1874,E1874))</f>
        <v/>
      </c>
    </row>
    <row r="1875" spans="2:13" x14ac:dyDescent="0.2">
      <c r="B1875" s="10"/>
      <c r="C1875" s="7"/>
      <c r="D1875" s="11"/>
      <c r="E1875" s="6"/>
      <c r="F1875" s="12" t="str">
        <f t="shared" si="58"/>
        <v/>
      </c>
      <c r="G1875" s="13" t="str">
        <f t="shared" si="59"/>
        <v/>
      </c>
      <c r="H1875" s="9"/>
      <c r="I1875" s="9"/>
      <c r="J1875" s="14" t="str">
        <f>IF(E1875="","",IFERROR(VLOOKUP(E1875,TabProd,5,FALSE),0)+SUMIFS($H$5:H1875,$E$5:E1875,E1875)-SUMIFS($I$5:I1875,$E$5:E1875,E1875))</f>
        <v/>
      </c>
      <c r="K1875" s="7"/>
      <c r="L1875" s="7"/>
      <c r="M1875" s="1" t="str">
        <f>IF(E1875="","",E1875&amp;"|"&amp;COUNTIF($E$5:E1875,E1875))</f>
        <v/>
      </c>
    </row>
    <row r="1876" spans="2:13" x14ac:dyDescent="0.2">
      <c r="B1876" s="10"/>
      <c r="C1876" s="7"/>
      <c r="D1876" s="11"/>
      <c r="E1876" s="6"/>
      <c r="F1876" s="12" t="str">
        <f t="shared" si="58"/>
        <v/>
      </c>
      <c r="G1876" s="13" t="str">
        <f t="shared" si="59"/>
        <v/>
      </c>
      <c r="H1876" s="9"/>
      <c r="I1876" s="9"/>
      <c r="J1876" s="14" t="str">
        <f>IF(E1876="","",IFERROR(VLOOKUP(E1876,TabProd,5,FALSE),0)+SUMIFS($H$5:H1876,$E$5:E1876,E1876)-SUMIFS($I$5:I1876,$E$5:E1876,E1876))</f>
        <v/>
      </c>
      <c r="K1876" s="7"/>
      <c r="L1876" s="7"/>
      <c r="M1876" s="1" t="str">
        <f>IF(E1876="","",E1876&amp;"|"&amp;COUNTIF($E$5:E1876,E1876))</f>
        <v/>
      </c>
    </row>
    <row r="1877" spans="2:13" x14ac:dyDescent="0.2">
      <c r="B1877" s="10"/>
      <c r="C1877" s="7"/>
      <c r="D1877" s="11"/>
      <c r="E1877" s="6"/>
      <c r="F1877" s="12" t="str">
        <f t="shared" si="58"/>
        <v/>
      </c>
      <c r="G1877" s="13" t="str">
        <f t="shared" si="59"/>
        <v/>
      </c>
      <c r="H1877" s="9"/>
      <c r="I1877" s="9"/>
      <c r="J1877" s="14" t="str">
        <f>IF(E1877="","",IFERROR(VLOOKUP(E1877,TabProd,5,FALSE),0)+SUMIFS($H$5:H1877,$E$5:E1877,E1877)-SUMIFS($I$5:I1877,$E$5:E1877,E1877))</f>
        <v/>
      </c>
      <c r="K1877" s="7"/>
      <c r="L1877" s="7"/>
      <c r="M1877" s="1" t="str">
        <f>IF(E1877="","",E1877&amp;"|"&amp;COUNTIF($E$5:E1877,E1877))</f>
        <v/>
      </c>
    </row>
    <row r="1878" spans="2:13" x14ac:dyDescent="0.2">
      <c r="B1878" s="10"/>
      <c r="C1878" s="7"/>
      <c r="D1878" s="11"/>
      <c r="E1878" s="6"/>
      <c r="F1878" s="12" t="str">
        <f t="shared" si="58"/>
        <v/>
      </c>
      <c r="G1878" s="13" t="str">
        <f t="shared" si="59"/>
        <v/>
      </c>
      <c r="H1878" s="9"/>
      <c r="I1878" s="9"/>
      <c r="J1878" s="14" t="str">
        <f>IF(E1878="","",IFERROR(VLOOKUP(E1878,TabProd,5,FALSE),0)+SUMIFS($H$5:H1878,$E$5:E1878,E1878)-SUMIFS($I$5:I1878,$E$5:E1878,E1878))</f>
        <v/>
      </c>
      <c r="K1878" s="7"/>
      <c r="L1878" s="7"/>
      <c r="M1878" s="1" t="str">
        <f>IF(E1878="","",E1878&amp;"|"&amp;COUNTIF($E$5:E1878,E1878))</f>
        <v/>
      </c>
    </row>
    <row r="1879" spans="2:13" x14ac:dyDescent="0.2">
      <c r="B1879" s="10"/>
      <c r="C1879" s="7"/>
      <c r="D1879" s="11"/>
      <c r="E1879" s="6"/>
      <c r="F1879" s="12" t="str">
        <f t="shared" si="58"/>
        <v/>
      </c>
      <c r="G1879" s="13" t="str">
        <f t="shared" si="59"/>
        <v/>
      </c>
      <c r="H1879" s="9"/>
      <c r="I1879" s="9"/>
      <c r="J1879" s="14" t="str">
        <f>IF(E1879="","",IFERROR(VLOOKUP(E1879,TabProd,5,FALSE),0)+SUMIFS($H$5:H1879,$E$5:E1879,E1879)-SUMIFS($I$5:I1879,$E$5:E1879,E1879))</f>
        <v/>
      </c>
      <c r="K1879" s="7"/>
      <c r="L1879" s="7"/>
      <c r="M1879" s="1" t="str">
        <f>IF(E1879="","",E1879&amp;"|"&amp;COUNTIF($E$5:E1879,E1879))</f>
        <v/>
      </c>
    </row>
    <row r="1880" spans="2:13" x14ac:dyDescent="0.2">
      <c r="B1880" s="10"/>
      <c r="C1880" s="7"/>
      <c r="D1880" s="11"/>
      <c r="E1880" s="6"/>
      <c r="F1880" s="12" t="str">
        <f t="shared" si="58"/>
        <v/>
      </c>
      <c r="G1880" s="13" t="str">
        <f t="shared" si="59"/>
        <v/>
      </c>
      <c r="H1880" s="9"/>
      <c r="I1880" s="9"/>
      <c r="J1880" s="14" t="str">
        <f>IF(E1880="","",IFERROR(VLOOKUP(E1880,TabProd,5,FALSE),0)+SUMIFS($H$5:H1880,$E$5:E1880,E1880)-SUMIFS($I$5:I1880,$E$5:E1880,E1880))</f>
        <v/>
      </c>
      <c r="K1880" s="7"/>
      <c r="L1880" s="7"/>
      <c r="M1880" s="1" t="str">
        <f>IF(E1880="","",E1880&amp;"|"&amp;COUNTIF($E$5:E1880,E1880))</f>
        <v/>
      </c>
    </row>
    <row r="1881" spans="2:13" x14ac:dyDescent="0.2">
      <c r="B1881" s="10"/>
      <c r="C1881" s="7"/>
      <c r="D1881" s="11"/>
      <c r="E1881" s="6"/>
      <c r="F1881" s="12" t="str">
        <f t="shared" si="58"/>
        <v/>
      </c>
      <c r="G1881" s="13" t="str">
        <f t="shared" si="59"/>
        <v/>
      </c>
      <c r="H1881" s="9"/>
      <c r="I1881" s="9"/>
      <c r="J1881" s="14" t="str">
        <f>IF(E1881="","",IFERROR(VLOOKUP(E1881,TabProd,5,FALSE),0)+SUMIFS($H$5:H1881,$E$5:E1881,E1881)-SUMIFS($I$5:I1881,$E$5:E1881,E1881))</f>
        <v/>
      </c>
      <c r="K1881" s="7"/>
      <c r="L1881" s="7"/>
      <c r="M1881" s="1" t="str">
        <f>IF(E1881="","",E1881&amp;"|"&amp;COUNTIF($E$5:E1881,E1881))</f>
        <v/>
      </c>
    </row>
    <row r="1882" spans="2:13" x14ac:dyDescent="0.2">
      <c r="B1882" s="10"/>
      <c r="C1882" s="7"/>
      <c r="D1882" s="11"/>
      <c r="E1882" s="6"/>
      <c r="F1882" s="12" t="str">
        <f t="shared" si="58"/>
        <v/>
      </c>
      <c r="G1882" s="13" t="str">
        <f t="shared" si="59"/>
        <v/>
      </c>
      <c r="H1882" s="9"/>
      <c r="I1882" s="9"/>
      <c r="J1882" s="14" t="str">
        <f>IF(E1882="","",IFERROR(VLOOKUP(E1882,TabProd,5,FALSE),0)+SUMIFS($H$5:H1882,$E$5:E1882,E1882)-SUMIFS($I$5:I1882,$E$5:E1882,E1882))</f>
        <v/>
      </c>
      <c r="K1882" s="7"/>
      <c r="L1882" s="7"/>
      <c r="M1882" s="1" t="str">
        <f>IF(E1882="","",E1882&amp;"|"&amp;COUNTIF($E$5:E1882,E1882))</f>
        <v/>
      </c>
    </row>
    <row r="1883" spans="2:13" x14ac:dyDescent="0.2">
      <c r="B1883" s="10"/>
      <c r="C1883" s="7"/>
      <c r="D1883" s="11"/>
      <c r="E1883" s="6"/>
      <c r="F1883" s="12" t="str">
        <f t="shared" si="58"/>
        <v/>
      </c>
      <c r="G1883" s="13" t="str">
        <f t="shared" si="59"/>
        <v/>
      </c>
      <c r="H1883" s="9"/>
      <c r="I1883" s="9"/>
      <c r="J1883" s="14" t="str">
        <f>IF(E1883="","",IFERROR(VLOOKUP(E1883,TabProd,5,FALSE),0)+SUMIFS($H$5:H1883,$E$5:E1883,E1883)-SUMIFS($I$5:I1883,$E$5:E1883,E1883))</f>
        <v/>
      </c>
      <c r="K1883" s="7"/>
      <c r="L1883" s="7"/>
      <c r="M1883" s="1" t="str">
        <f>IF(E1883="","",E1883&amp;"|"&amp;COUNTIF($E$5:E1883,E1883))</f>
        <v/>
      </c>
    </row>
    <row r="1884" spans="2:13" x14ac:dyDescent="0.2">
      <c r="B1884" s="10"/>
      <c r="C1884" s="7"/>
      <c r="D1884" s="11"/>
      <c r="E1884" s="6"/>
      <c r="F1884" s="12" t="str">
        <f t="shared" si="58"/>
        <v/>
      </c>
      <c r="G1884" s="13" t="str">
        <f t="shared" si="59"/>
        <v/>
      </c>
      <c r="H1884" s="9"/>
      <c r="I1884" s="9"/>
      <c r="J1884" s="14" t="str">
        <f>IF(E1884="","",IFERROR(VLOOKUP(E1884,TabProd,5,FALSE),0)+SUMIFS($H$5:H1884,$E$5:E1884,E1884)-SUMIFS($I$5:I1884,$E$5:E1884,E1884))</f>
        <v/>
      </c>
      <c r="K1884" s="7"/>
      <c r="L1884" s="7"/>
      <c r="M1884" s="1" t="str">
        <f>IF(E1884="","",E1884&amp;"|"&amp;COUNTIF($E$5:E1884,E1884))</f>
        <v/>
      </c>
    </row>
    <row r="1885" spans="2:13" x14ac:dyDescent="0.2">
      <c r="B1885" s="10"/>
      <c r="C1885" s="7"/>
      <c r="D1885" s="11"/>
      <c r="E1885" s="6"/>
      <c r="F1885" s="12" t="str">
        <f t="shared" si="58"/>
        <v/>
      </c>
      <c r="G1885" s="13" t="str">
        <f t="shared" si="59"/>
        <v/>
      </c>
      <c r="H1885" s="9"/>
      <c r="I1885" s="9"/>
      <c r="J1885" s="14" t="str">
        <f>IF(E1885="","",IFERROR(VLOOKUP(E1885,TabProd,5,FALSE),0)+SUMIFS($H$5:H1885,$E$5:E1885,E1885)-SUMIFS($I$5:I1885,$E$5:E1885,E1885))</f>
        <v/>
      </c>
      <c r="K1885" s="7"/>
      <c r="L1885" s="7"/>
      <c r="M1885" s="1" t="str">
        <f>IF(E1885="","",E1885&amp;"|"&amp;COUNTIF($E$5:E1885,E1885))</f>
        <v/>
      </c>
    </row>
    <row r="1886" spans="2:13" x14ac:dyDescent="0.2">
      <c r="B1886" s="10"/>
      <c r="C1886" s="7"/>
      <c r="D1886" s="11"/>
      <c r="E1886" s="6"/>
      <c r="F1886" s="12" t="str">
        <f t="shared" si="58"/>
        <v/>
      </c>
      <c r="G1886" s="13" t="str">
        <f t="shared" si="59"/>
        <v/>
      </c>
      <c r="H1886" s="9"/>
      <c r="I1886" s="9"/>
      <c r="J1886" s="14" t="str">
        <f>IF(E1886="","",IFERROR(VLOOKUP(E1886,TabProd,5,FALSE),0)+SUMIFS($H$5:H1886,$E$5:E1886,E1886)-SUMIFS($I$5:I1886,$E$5:E1886,E1886))</f>
        <v/>
      </c>
      <c r="K1886" s="7"/>
      <c r="L1886" s="7"/>
      <c r="M1886" s="1" t="str">
        <f>IF(E1886="","",E1886&amp;"|"&amp;COUNTIF($E$5:E1886,E1886))</f>
        <v/>
      </c>
    </row>
    <row r="1887" spans="2:13" x14ac:dyDescent="0.2">
      <c r="B1887" s="10"/>
      <c r="C1887" s="7"/>
      <c r="D1887" s="11"/>
      <c r="E1887" s="6"/>
      <c r="F1887" s="12" t="str">
        <f t="shared" si="58"/>
        <v/>
      </c>
      <c r="G1887" s="13" t="str">
        <f t="shared" si="59"/>
        <v/>
      </c>
      <c r="H1887" s="9"/>
      <c r="I1887" s="9"/>
      <c r="J1887" s="14" t="str">
        <f>IF(E1887="","",IFERROR(VLOOKUP(E1887,TabProd,5,FALSE),0)+SUMIFS($H$5:H1887,$E$5:E1887,E1887)-SUMIFS($I$5:I1887,$E$5:E1887,E1887))</f>
        <v/>
      </c>
      <c r="K1887" s="7"/>
      <c r="L1887" s="7"/>
      <c r="M1887" s="1" t="str">
        <f>IF(E1887="","",E1887&amp;"|"&amp;COUNTIF($E$5:E1887,E1887))</f>
        <v/>
      </c>
    </row>
    <row r="1888" spans="2:13" x14ac:dyDescent="0.2">
      <c r="B1888" s="10"/>
      <c r="C1888" s="7"/>
      <c r="D1888" s="11"/>
      <c r="E1888" s="6"/>
      <c r="F1888" s="12" t="str">
        <f t="shared" si="58"/>
        <v/>
      </c>
      <c r="G1888" s="13" t="str">
        <f t="shared" si="59"/>
        <v/>
      </c>
      <c r="H1888" s="9"/>
      <c r="I1888" s="9"/>
      <c r="J1888" s="14" t="str">
        <f>IF(E1888="","",IFERROR(VLOOKUP(E1888,TabProd,5,FALSE),0)+SUMIFS($H$5:H1888,$E$5:E1888,E1888)-SUMIFS($I$5:I1888,$E$5:E1888,E1888))</f>
        <v/>
      </c>
      <c r="K1888" s="7"/>
      <c r="L1888" s="7"/>
      <c r="M1888" s="1" t="str">
        <f>IF(E1888="","",E1888&amp;"|"&amp;COUNTIF($E$5:E1888,E1888))</f>
        <v/>
      </c>
    </row>
    <row r="1889" spans="2:13" x14ac:dyDescent="0.2">
      <c r="B1889" s="10"/>
      <c r="C1889" s="7"/>
      <c r="D1889" s="11"/>
      <c r="E1889" s="6"/>
      <c r="F1889" s="12" t="str">
        <f t="shared" si="58"/>
        <v/>
      </c>
      <c r="G1889" s="13" t="str">
        <f t="shared" si="59"/>
        <v/>
      </c>
      <c r="H1889" s="9"/>
      <c r="I1889" s="9"/>
      <c r="J1889" s="14" t="str">
        <f>IF(E1889="","",IFERROR(VLOOKUP(E1889,TabProd,5,FALSE),0)+SUMIFS($H$5:H1889,$E$5:E1889,E1889)-SUMIFS($I$5:I1889,$E$5:E1889,E1889))</f>
        <v/>
      </c>
      <c r="K1889" s="7"/>
      <c r="L1889" s="7"/>
      <c r="M1889" s="1" t="str">
        <f>IF(E1889="","",E1889&amp;"|"&amp;COUNTIF($E$5:E1889,E1889))</f>
        <v/>
      </c>
    </row>
    <row r="1890" spans="2:13" x14ac:dyDescent="0.2">
      <c r="B1890" s="10"/>
      <c r="C1890" s="7"/>
      <c r="D1890" s="11"/>
      <c r="E1890" s="6"/>
      <c r="F1890" s="12" t="str">
        <f t="shared" si="58"/>
        <v/>
      </c>
      <c r="G1890" s="13" t="str">
        <f t="shared" si="59"/>
        <v/>
      </c>
      <c r="H1890" s="9"/>
      <c r="I1890" s="9"/>
      <c r="J1890" s="14" t="str">
        <f>IF(E1890="","",IFERROR(VLOOKUP(E1890,TabProd,5,FALSE),0)+SUMIFS($H$5:H1890,$E$5:E1890,E1890)-SUMIFS($I$5:I1890,$E$5:E1890,E1890))</f>
        <v/>
      </c>
      <c r="K1890" s="7"/>
      <c r="L1890" s="7"/>
      <c r="M1890" s="1" t="str">
        <f>IF(E1890="","",E1890&amp;"|"&amp;COUNTIF($E$5:E1890,E1890))</f>
        <v/>
      </c>
    </row>
    <row r="1891" spans="2:13" x14ac:dyDescent="0.2">
      <c r="B1891" s="10"/>
      <c r="C1891" s="7"/>
      <c r="D1891" s="11"/>
      <c r="E1891" s="6"/>
      <c r="F1891" s="12" t="str">
        <f t="shared" si="58"/>
        <v/>
      </c>
      <c r="G1891" s="13" t="str">
        <f t="shared" si="59"/>
        <v/>
      </c>
      <c r="H1891" s="9"/>
      <c r="I1891" s="9"/>
      <c r="J1891" s="14" t="str">
        <f>IF(E1891="","",IFERROR(VLOOKUP(E1891,TabProd,5,FALSE),0)+SUMIFS($H$5:H1891,$E$5:E1891,E1891)-SUMIFS($I$5:I1891,$E$5:E1891,E1891))</f>
        <v/>
      </c>
      <c r="K1891" s="7"/>
      <c r="L1891" s="7"/>
      <c r="M1891" s="1" t="str">
        <f>IF(E1891="","",E1891&amp;"|"&amp;COUNTIF($E$5:E1891,E1891))</f>
        <v/>
      </c>
    </row>
    <row r="1892" spans="2:13" x14ac:dyDescent="0.2">
      <c r="B1892" s="10"/>
      <c r="C1892" s="7"/>
      <c r="D1892" s="11"/>
      <c r="E1892" s="6"/>
      <c r="F1892" s="12" t="str">
        <f t="shared" si="58"/>
        <v/>
      </c>
      <c r="G1892" s="13" t="str">
        <f t="shared" si="59"/>
        <v/>
      </c>
      <c r="H1892" s="9"/>
      <c r="I1892" s="9"/>
      <c r="J1892" s="14" t="str">
        <f>IF(E1892="","",IFERROR(VLOOKUP(E1892,TabProd,5,FALSE),0)+SUMIFS($H$5:H1892,$E$5:E1892,E1892)-SUMIFS($I$5:I1892,$E$5:E1892,E1892))</f>
        <v/>
      </c>
      <c r="K1892" s="7"/>
      <c r="L1892" s="7"/>
      <c r="M1892" s="1" t="str">
        <f>IF(E1892="","",E1892&amp;"|"&amp;COUNTIF($E$5:E1892,E1892))</f>
        <v/>
      </c>
    </row>
    <row r="1893" spans="2:13" x14ac:dyDescent="0.2">
      <c r="B1893" s="10"/>
      <c r="C1893" s="7"/>
      <c r="D1893" s="11"/>
      <c r="E1893" s="6"/>
      <c r="F1893" s="12" t="str">
        <f t="shared" si="58"/>
        <v/>
      </c>
      <c r="G1893" s="13" t="str">
        <f t="shared" si="59"/>
        <v/>
      </c>
      <c r="H1893" s="9"/>
      <c r="I1893" s="9"/>
      <c r="J1893" s="14" t="str">
        <f>IF(E1893="","",IFERROR(VLOOKUP(E1893,TabProd,5,FALSE),0)+SUMIFS($H$5:H1893,$E$5:E1893,E1893)-SUMIFS($I$5:I1893,$E$5:E1893,E1893))</f>
        <v/>
      </c>
      <c r="K1893" s="7"/>
      <c r="L1893" s="7"/>
      <c r="M1893" s="1" t="str">
        <f>IF(E1893="","",E1893&amp;"|"&amp;COUNTIF($E$5:E1893,E1893))</f>
        <v/>
      </c>
    </row>
    <row r="1894" spans="2:13" x14ac:dyDescent="0.2">
      <c r="B1894" s="10"/>
      <c r="C1894" s="7"/>
      <c r="D1894" s="11"/>
      <c r="E1894" s="6"/>
      <c r="F1894" s="12" t="str">
        <f t="shared" si="58"/>
        <v/>
      </c>
      <c r="G1894" s="13" t="str">
        <f t="shared" si="59"/>
        <v/>
      </c>
      <c r="H1894" s="9"/>
      <c r="I1894" s="9"/>
      <c r="J1894" s="14" t="str">
        <f>IF(E1894="","",IFERROR(VLOOKUP(E1894,TabProd,5,FALSE),0)+SUMIFS($H$5:H1894,$E$5:E1894,E1894)-SUMIFS($I$5:I1894,$E$5:E1894,E1894))</f>
        <v/>
      </c>
      <c r="K1894" s="7"/>
      <c r="L1894" s="7"/>
      <c r="M1894" s="1" t="str">
        <f>IF(E1894="","",E1894&amp;"|"&amp;COUNTIF($E$5:E1894,E1894))</f>
        <v/>
      </c>
    </row>
    <row r="1895" spans="2:13" x14ac:dyDescent="0.2">
      <c r="B1895" s="10"/>
      <c r="C1895" s="7"/>
      <c r="D1895" s="11"/>
      <c r="E1895" s="6"/>
      <c r="F1895" s="12" t="str">
        <f t="shared" si="58"/>
        <v/>
      </c>
      <c r="G1895" s="13" t="str">
        <f t="shared" si="59"/>
        <v/>
      </c>
      <c r="H1895" s="9"/>
      <c r="I1895" s="9"/>
      <c r="J1895" s="14" t="str">
        <f>IF(E1895="","",IFERROR(VLOOKUP(E1895,TabProd,5,FALSE),0)+SUMIFS($H$5:H1895,$E$5:E1895,E1895)-SUMIFS($I$5:I1895,$E$5:E1895,E1895))</f>
        <v/>
      </c>
      <c r="K1895" s="7"/>
      <c r="L1895" s="7"/>
      <c r="M1895" s="1" t="str">
        <f>IF(E1895="","",E1895&amp;"|"&amp;COUNTIF($E$5:E1895,E1895))</f>
        <v/>
      </c>
    </row>
    <row r="1896" spans="2:13" x14ac:dyDescent="0.2">
      <c r="B1896" s="10"/>
      <c r="C1896" s="7"/>
      <c r="D1896" s="11"/>
      <c r="E1896" s="6"/>
      <c r="F1896" s="12" t="str">
        <f t="shared" si="58"/>
        <v/>
      </c>
      <c r="G1896" s="13" t="str">
        <f t="shared" si="59"/>
        <v/>
      </c>
      <c r="H1896" s="9"/>
      <c r="I1896" s="9"/>
      <c r="J1896" s="14" t="str">
        <f>IF(E1896="","",IFERROR(VLOOKUP(E1896,TabProd,5,FALSE),0)+SUMIFS($H$5:H1896,$E$5:E1896,E1896)-SUMIFS($I$5:I1896,$E$5:E1896,E1896))</f>
        <v/>
      </c>
      <c r="K1896" s="7"/>
      <c r="L1896" s="7"/>
      <c r="M1896" s="1" t="str">
        <f>IF(E1896="","",E1896&amp;"|"&amp;COUNTIF($E$5:E1896,E1896))</f>
        <v/>
      </c>
    </row>
    <row r="1897" spans="2:13" x14ac:dyDescent="0.2">
      <c r="B1897" s="10"/>
      <c r="C1897" s="7"/>
      <c r="D1897" s="11"/>
      <c r="E1897" s="6"/>
      <c r="F1897" s="12" t="str">
        <f t="shared" si="58"/>
        <v/>
      </c>
      <c r="G1897" s="13" t="str">
        <f t="shared" si="59"/>
        <v/>
      </c>
      <c r="H1897" s="9"/>
      <c r="I1897" s="9"/>
      <c r="J1897" s="14" t="str">
        <f>IF(E1897="","",IFERROR(VLOOKUP(E1897,TabProd,5,FALSE),0)+SUMIFS($H$5:H1897,$E$5:E1897,E1897)-SUMIFS($I$5:I1897,$E$5:E1897,E1897))</f>
        <v/>
      </c>
      <c r="K1897" s="7"/>
      <c r="L1897" s="7"/>
      <c r="M1897" s="1" t="str">
        <f>IF(E1897="","",E1897&amp;"|"&amp;COUNTIF($E$5:E1897,E1897))</f>
        <v/>
      </c>
    </row>
    <row r="1898" spans="2:13" x14ac:dyDescent="0.2">
      <c r="B1898" s="10"/>
      <c r="C1898" s="7"/>
      <c r="D1898" s="11"/>
      <c r="E1898" s="6"/>
      <c r="F1898" s="12" t="str">
        <f t="shared" si="58"/>
        <v/>
      </c>
      <c r="G1898" s="13" t="str">
        <f t="shared" si="59"/>
        <v/>
      </c>
      <c r="H1898" s="9"/>
      <c r="I1898" s="9"/>
      <c r="J1898" s="14" t="str">
        <f>IF(E1898="","",IFERROR(VLOOKUP(E1898,TabProd,5,FALSE),0)+SUMIFS($H$5:H1898,$E$5:E1898,E1898)-SUMIFS($I$5:I1898,$E$5:E1898,E1898))</f>
        <v/>
      </c>
      <c r="K1898" s="7"/>
      <c r="L1898" s="7"/>
      <c r="M1898" s="1" t="str">
        <f>IF(E1898="","",E1898&amp;"|"&amp;COUNTIF($E$5:E1898,E1898))</f>
        <v/>
      </c>
    </row>
    <row r="1899" spans="2:13" x14ac:dyDescent="0.2">
      <c r="B1899" s="10"/>
      <c r="C1899" s="7"/>
      <c r="D1899" s="11"/>
      <c r="E1899" s="6"/>
      <c r="F1899" s="12" t="str">
        <f t="shared" si="58"/>
        <v/>
      </c>
      <c r="G1899" s="13" t="str">
        <f t="shared" si="59"/>
        <v/>
      </c>
      <c r="H1899" s="9"/>
      <c r="I1899" s="9"/>
      <c r="J1899" s="14" t="str">
        <f>IF(E1899="","",IFERROR(VLOOKUP(E1899,TabProd,5,FALSE),0)+SUMIFS($H$5:H1899,$E$5:E1899,E1899)-SUMIFS($I$5:I1899,$E$5:E1899,E1899))</f>
        <v/>
      </c>
      <c r="K1899" s="7"/>
      <c r="L1899" s="7"/>
      <c r="M1899" s="1" t="str">
        <f>IF(E1899="","",E1899&amp;"|"&amp;COUNTIF($E$5:E1899,E1899))</f>
        <v/>
      </c>
    </row>
    <row r="1900" spans="2:13" x14ac:dyDescent="0.2">
      <c r="B1900" s="10"/>
      <c r="C1900" s="7"/>
      <c r="D1900" s="11"/>
      <c r="E1900" s="6"/>
      <c r="F1900" s="12" t="str">
        <f t="shared" si="58"/>
        <v/>
      </c>
      <c r="G1900" s="13" t="str">
        <f t="shared" si="59"/>
        <v/>
      </c>
      <c r="H1900" s="9"/>
      <c r="I1900" s="9"/>
      <c r="J1900" s="14" t="str">
        <f>IF(E1900="","",IFERROR(VLOOKUP(E1900,TabProd,5,FALSE),0)+SUMIFS($H$5:H1900,$E$5:E1900,E1900)-SUMIFS($I$5:I1900,$E$5:E1900,E1900))</f>
        <v/>
      </c>
      <c r="K1900" s="7"/>
      <c r="L1900" s="7"/>
      <c r="M1900" s="1" t="str">
        <f>IF(E1900="","",E1900&amp;"|"&amp;COUNTIF($E$5:E1900,E1900))</f>
        <v/>
      </c>
    </row>
    <row r="1901" spans="2:13" x14ac:dyDescent="0.2">
      <c r="B1901" s="10"/>
      <c r="C1901" s="7"/>
      <c r="D1901" s="11"/>
      <c r="E1901" s="6"/>
      <c r="F1901" s="12" t="str">
        <f t="shared" si="58"/>
        <v/>
      </c>
      <c r="G1901" s="13" t="str">
        <f t="shared" si="59"/>
        <v/>
      </c>
      <c r="H1901" s="9"/>
      <c r="I1901" s="9"/>
      <c r="J1901" s="14" t="str">
        <f>IF(E1901="","",IFERROR(VLOOKUP(E1901,TabProd,5,FALSE),0)+SUMIFS($H$5:H1901,$E$5:E1901,E1901)-SUMIFS($I$5:I1901,$E$5:E1901,E1901))</f>
        <v/>
      </c>
      <c r="K1901" s="7"/>
      <c r="L1901" s="7"/>
      <c r="M1901" s="1" t="str">
        <f>IF(E1901="","",E1901&amp;"|"&amp;COUNTIF($E$5:E1901,E1901))</f>
        <v/>
      </c>
    </row>
    <row r="1902" spans="2:13" x14ac:dyDescent="0.2">
      <c r="B1902" s="10"/>
      <c r="C1902" s="7"/>
      <c r="D1902" s="11"/>
      <c r="E1902" s="6"/>
      <c r="F1902" s="12" t="str">
        <f t="shared" si="58"/>
        <v/>
      </c>
      <c r="G1902" s="13" t="str">
        <f t="shared" si="59"/>
        <v/>
      </c>
      <c r="H1902" s="9"/>
      <c r="I1902" s="9"/>
      <c r="J1902" s="14" t="str">
        <f>IF(E1902="","",IFERROR(VLOOKUP(E1902,TabProd,5,FALSE),0)+SUMIFS($H$5:H1902,$E$5:E1902,E1902)-SUMIFS($I$5:I1902,$E$5:E1902,E1902))</f>
        <v/>
      </c>
      <c r="K1902" s="7"/>
      <c r="L1902" s="7"/>
      <c r="M1902" s="1" t="str">
        <f>IF(E1902="","",E1902&amp;"|"&amp;COUNTIF($E$5:E1902,E1902))</f>
        <v/>
      </c>
    </row>
    <row r="1903" spans="2:13" x14ac:dyDescent="0.2">
      <c r="B1903" s="10"/>
      <c r="C1903" s="7"/>
      <c r="D1903" s="11"/>
      <c r="E1903" s="6"/>
      <c r="F1903" s="12" t="str">
        <f t="shared" si="58"/>
        <v/>
      </c>
      <c r="G1903" s="13" t="str">
        <f t="shared" si="59"/>
        <v/>
      </c>
      <c r="H1903" s="9"/>
      <c r="I1903" s="9"/>
      <c r="J1903" s="14" t="str">
        <f>IF(E1903="","",IFERROR(VLOOKUP(E1903,TabProd,5,FALSE),0)+SUMIFS($H$5:H1903,$E$5:E1903,E1903)-SUMIFS($I$5:I1903,$E$5:E1903,E1903))</f>
        <v/>
      </c>
      <c r="K1903" s="7"/>
      <c r="L1903" s="7"/>
      <c r="M1903" s="1" t="str">
        <f>IF(E1903="","",E1903&amp;"|"&amp;COUNTIF($E$5:E1903,E1903))</f>
        <v/>
      </c>
    </row>
    <row r="1904" spans="2:13" x14ac:dyDescent="0.2">
      <c r="B1904" s="10"/>
      <c r="C1904" s="7"/>
      <c r="D1904" s="11"/>
      <c r="E1904" s="6"/>
      <c r="F1904" s="12" t="str">
        <f t="shared" si="58"/>
        <v/>
      </c>
      <c r="G1904" s="13" t="str">
        <f t="shared" si="59"/>
        <v/>
      </c>
      <c r="H1904" s="9"/>
      <c r="I1904" s="9"/>
      <c r="J1904" s="14" t="str">
        <f>IF(E1904="","",IFERROR(VLOOKUP(E1904,TabProd,5,FALSE),0)+SUMIFS($H$5:H1904,$E$5:E1904,E1904)-SUMIFS($I$5:I1904,$E$5:E1904,E1904))</f>
        <v/>
      </c>
      <c r="K1904" s="7"/>
      <c r="L1904" s="7"/>
      <c r="M1904" s="1" t="str">
        <f>IF(E1904="","",E1904&amp;"|"&amp;COUNTIF($E$5:E1904,E1904))</f>
        <v/>
      </c>
    </row>
    <row r="1905" spans="2:13" x14ac:dyDescent="0.2">
      <c r="B1905" s="10"/>
      <c r="C1905" s="7"/>
      <c r="D1905" s="11"/>
      <c r="E1905" s="6"/>
      <c r="F1905" s="12" t="str">
        <f t="shared" si="58"/>
        <v/>
      </c>
      <c r="G1905" s="13" t="str">
        <f t="shared" si="59"/>
        <v/>
      </c>
      <c r="H1905" s="9"/>
      <c r="I1905" s="9"/>
      <c r="J1905" s="14" t="str">
        <f>IF(E1905="","",IFERROR(VLOOKUP(E1905,TabProd,5,FALSE),0)+SUMIFS($H$5:H1905,$E$5:E1905,E1905)-SUMIFS($I$5:I1905,$E$5:E1905,E1905))</f>
        <v/>
      </c>
      <c r="K1905" s="7"/>
      <c r="L1905" s="7"/>
      <c r="M1905" s="1" t="str">
        <f>IF(E1905="","",E1905&amp;"|"&amp;COUNTIF($E$5:E1905,E1905))</f>
        <v/>
      </c>
    </row>
    <row r="1906" spans="2:13" x14ac:dyDescent="0.2">
      <c r="B1906" s="10"/>
      <c r="C1906" s="7"/>
      <c r="D1906" s="11"/>
      <c r="E1906" s="6"/>
      <c r="F1906" s="12" t="str">
        <f t="shared" si="58"/>
        <v/>
      </c>
      <c r="G1906" s="13" t="str">
        <f t="shared" si="59"/>
        <v/>
      </c>
      <c r="H1906" s="9"/>
      <c r="I1906" s="9"/>
      <c r="J1906" s="14" t="str">
        <f>IF(E1906="","",IFERROR(VLOOKUP(E1906,TabProd,5,FALSE),0)+SUMIFS($H$5:H1906,$E$5:E1906,E1906)-SUMIFS($I$5:I1906,$E$5:E1906,E1906))</f>
        <v/>
      </c>
      <c r="K1906" s="7"/>
      <c r="L1906" s="7"/>
      <c r="M1906" s="1" t="str">
        <f>IF(E1906="","",E1906&amp;"|"&amp;COUNTIF($E$5:E1906,E1906))</f>
        <v/>
      </c>
    </row>
    <row r="1907" spans="2:13" x14ac:dyDescent="0.2">
      <c r="B1907" s="10"/>
      <c r="C1907" s="7"/>
      <c r="D1907" s="11"/>
      <c r="E1907" s="6"/>
      <c r="F1907" s="12" t="str">
        <f t="shared" si="58"/>
        <v/>
      </c>
      <c r="G1907" s="13" t="str">
        <f t="shared" si="59"/>
        <v/>
      </c>
      <c r="H1907" s="9"/>
      <c r="I1907" s="9"/>
      <c r="J1907" s="14" t="str">
        <f>IF(E1907="","",IFERROR(VLOOKUP(E1907,TabProd,5,FALSE),0)+SUMIFS($H$5:H1907,$E$5:E1907,E1907)-SUMIFS($I$5:I1907,$E$5:E1907,E1907))</f>
        <v/>
      </c>
      <c r="K1907" s="7"/>
      <c r="L1907" s="7"/>
      <c r="M1907" s="1" t="str">
        <f>IF(E1907="","",E1907&amp;"|"&amp;COUNTIF($E$5:E1907,E1907))</f>
        <v/>
      </c>
    </row>
    <row r="1908" spans="2:13" x14ac:dyDescent="0.2">
      <c r="B1908" s="10"/>
      <c r="C1908" s="7"/>
      <c r="D1908" s="11"/>
      <c r="E1908" s="6"/>
      <c r="F1908" s="12" t="str">
        <f t="shared" si="58"/>
        <v/>
      </c>
      <c r="G1908" s="13" t="str">
        <f t="shared" si="59"/>
        <v/>
      </c>
      <c r="H1908" s="9"/>
      <c r="I1908" s="9"/>
      <c r="J1908" s="14" t="str">
        <f>IF(E1908="","",IFERROR(VLOOKUP(E1908,TabProd,5,FALSE),0)+SUMIFS($H$5:H1908,$E$5:E1908,E1908)-SUMIFS($I$5:I1908,$E$5:E1908,E1908))</f>
        <v/>
      </c>
      <c r="K1908" s="7"/>
      <c r="L1908" s="7"/>
      <c r="M1908" s="1" t="str">
        <f>IF(E1908="","",E1908&amp;"|"&amp;COUNTIF($E$5:E1908,E1908))</f>
        <v/>
      </c>
    </row>
    <row r="1909" spans="2:13" x14ac:dyDescent="0.2">
      <c r="B1909" s="10"/>
      <c r="C1909" s="7"/>
      <c r="D1909" s="11"/>
      <c r="E1909" s="6"/>
      <c r="F1909" s="12" t="str">
        <f t="shared" si="58"/>
        <v/>
      </c>
      <c r="G1909" s="13" t="str">
        <f t="shared" si="59"/>
        <v/>
      </c>
      <c r="H1909" s="9"/>
      <c r="I1909" s="9"/>
      <c r="J1909" s="14" t="str">
        <f>IF(E1909="","",IFERROR(VLOOKUP(E1909,TabProd,5,FALSE),0)+SUMIFS($H$5:H1909,$E$5:E1909,E1909)-SUMIFS($I$5:I1909,$E$5:E1909,E1909))</f>
        <v/>
      </c>
      <c r="K1909" s="7"/>
      <c r="L1909" s="7"/>
      <c r="M1909" s="1" t="str">
        <f>IF(E1909="","",E1909&amp;"|"&amp;COUNTIF($E$5:E1909,E1909))</f>
        <v/>
      </c>
    </row>
    <row r="1910" spans="2:13" x14ac:dyDescent="0.2">
      <c r="B1910" s="10"/>
      <c r="C1910" s="7"/>
      <c r="D1910" s="11"/>
      <c r="E1910" s="6"/>
      <c r="F1910" s="12" t="str">
        <f t="shared" si="58"/>
        <v/>
      </c>
      <c r="G1910" s="13" t="str">
        <f t="shared" si="59"/>
        <v/>
      </c>
      <c r="H1910" s="9"/>
      <c r="I1910" s="9"/>
      <c r="J1910" s="14" t="str">
        <f>IF(E1910="","",IFERROR(VLOOKUP(E1910,TabProd,5,FALSE),0)+SUMIFS($H$5:H1910,$E$5:E1910,E1910)-SUMIFS($I$5:I1910,$E$5:E1910,E1910))</f>
        <v/>
      </c>
      <c r="K1910" s="7"/>
      <c r="L1910" s="7"/>
      <c r="M1910" s="1" t="str">
        <f>IF(E1910="","",E1910&amp;"|"&amp;COUNTIF($E$5:E1910,E1910))</f>
        <v/>
      </c>
    </row>
    <row r="1911" spans="2:13" x14ac:dyDescent="0.2">
      <c r="B1911" s="10"/>
      <c r="C1911" s="7"/>
      <c r="D1911" s="11"/>
      <c r="E1911" s="6"/>
      <c r="F1911" s="12" t="str">
        <f t="shared" si="58"/>
        <v/>
      </c>
      <c r="G1911" s="13" t="str">
        <f t="shared" si="59"/>
        <v/>
      </c>
      <c r="H1911" s="9"/>
      <c r="I1911" s="9"/>
      <c r="J1911" s="14" t="str">
        <f>IF(E1911="","",IFERROR(VLOOKUP(E1911,TabProd,5,FALSE),0)+SUMIFS($H$5:H1911,$E$5:E1911,E1911)-SUMIFS($I$5:I1911,$E$5:E1911,E1911))</f>
        <v/>
      </c>
      <c r="K1911" s="7"/>
      <c r="L1911" s="7"/>
      <c r="M1911" s="1" t="str">
        <f>IF(E1911="","",E1911&amp;"|"&amp;COUNTIF($E$5:E1911,E1911))</f>
        <v/>
      </c>
    </row>
    <row r="1912" spans="2:13" x14ac:dyDescent="0.2">
      <c r="B1912" s="10"/>
      <c r="C1912" s="7"/>
      <c r="D1912" s="11"/>
      <c r="E1912" s="6"/>
      <c r="F1912" s="12" t="str">
        <f t="shared" si="58"/>
        <v/>
      </c>
      <c r="G1912" s="13" t="str">
        <f t="shared" si="59"/>
        <v/>
      </c>
      <c r="H1912" s="9"/>
      <c r="I1912" s="9"/>
      <c r="J1912" s="14" t="str">
        <f>IF(E1912="","",IFERROR(VLOOKUP(E1912,TabProd,5,FALSE),0)+SUMIFS($H$5:H1912,$E$5:E1912,E1912)-SUMIFS($I$5:I1912,$E$5:E1912,E1912))</f>
        <v/>
      </c>
      <c r="K1912" s="7"/>
      <c r="L1912" s="7"/>
      <c r="M1912" s="1" t="str">
        <f>IF(E1912="","",E1912&amp;"|"&amp;COUNTIF($E$5:E1912,E1912))</f>
        <v/>
      </c>
    </row>
    <row r="1913" spans="2:13" x14ac:dyDescent="0.2">
      <c r="B1913" s="10"/>
      <c r="C1913" s="7"/>
      <c r="D1913" s="11"/>
      <c r="E1913" s="6"/>
      <c r="F1913" s="12" t="str">
        <f t="shared" si="58"/>
        <v/>
      </c>
      <c r="G1913" s="13" t="str">
        <f t="shared" si="59"/>
        <v/>
      </c>
      <c r="H1913" s="9"/>
      <c r="I1913" s="9"/>
      <c r="J1913" s="14" t="str">
        <f>IF(E1913="","",IFERROR(VLOOKUP(E1913,TabProd,5,FALSE),0)+SUMIFS($H$5:H1913,$E$5:E1913,E1913)-SUMIFS($I$5:I1913,$E$5:E1913,E1913))</f>
        <v/>
      </c>
      <c r="K1913" s="7"/>
      <c r="L1913" s="7"/>
      <c r="M1913" s="1" t="str">
        <f>IF(E1913="","",E1913&amp;"|"&amp;COUNTIF($E$5:E1913,E1913))</f>
        <v/>
      </c>
    </row>
    <row r="1914" spans="2:13" x14ac:dyDescent="0.2">
      <c r="B1914" s="10"/>
      <c r="C1914" s="7"/>
      <c r="D1914" s="11"/>
      <c r="E1914" s="6"/>
      <c r="F1914" s="12" t="str">
        <f t="shared" si="58"/>
        <v/>
      </c>
      <c r="G1914" s="13" t="str">
        <f t="shared" si="59"/>
        <v/>
      </c>
      <c r="H1914" s="9"/>
      <c r="I1914" s="9"/>
      <c r="J1914" s="14" t="str">
        <f>IF(E1914="","",IFERROR(VLOOKUP(E1914,TabProd,5,FALSE),0)+SUMIFS($H$5:H1914,$E$5:E1914,E1914)-SUMIFS($I$5:I1914,$E$5:E1914,E1914))</f>
        <v/>
      </c>
      <c r="K1914" s="7"/>
      <c r="L1914" s="7"/>
      <c r="M1914" s="1" t="str">
        <f>IF(E1914="","",E1914&amp;"|"&amp;COUNTIF($E$5:E1914,E1914))</f>
        <v/>
      </c>
    </row>
    <row r="1915" spans="2:13" x14ac:dyDescent="0.2">
      <c r="B1915" s="10"/>
      <c r="C1915" s="7"/>
      <c r="D1915" s="11"/>
      <c r="E1915" s="6"/>
      <c r="F1915" s="12" t="str">
        <f t="shared" si="58"/>
        <v/>
      </c>
      <c r="G1915" s="13" t="str">
        <f t="shared" si="59"/>
        <v/>
      </c>
      <c r="H1915" s="9"/>
      <c r="I1915" s="9"/>
      <c r="J1915" s="14" t="str">
        <f>IF(E1915="","",IFERROR(VLOOKUP(E1915,TabProd,5,FALSE),0)+SUMIFS($H$5:H1915,$E$5:E1915,E1915)-SUMIFS($I$5:I1915,$E$5:E1915,E1915))</f>
        <v/>
      </c>
      <c r="K1915" s="7"/>
      <c r="L1915" s="7"/>
      <c r="M1915" s="1" t="str">
        <f>IF(E1915="","",E1915&amp;"|"&amp;COUNTIF($E$5:E1915,E1915))</f>
        <v/>
      </c>
    </row>
    <row r="1916" spans="2:13" x14ac:dyDescent="0.2">
      <c r="B1916" s="10"/>
      <c r="C1916" s="7"/>
      <c r="D1916" s="11"/>
      <c r="E1916" s="6"/>
      <c r="F1916" s="12" t="str">
        <f t="shared" si="58"/>
        <v/>
      </c>
      <c r="G1916" s="13" t="str">
        <f t="shared" si="59"/>
        <v/>
      </c>
      <c r="H1916" s="9"/>
      <c r="I1916" s="9"/>
      <c r="J1916" s="14" t="str">
        <f>IF(E1916="","",IFERROR(VLOOKUP(E1916,TabProd,5,FALSE),0)+SUMIFS($H$5:H1916,$E$5:E1916,E1916)-SUMIFS($I$5:I1916,$E$5:E1916,E1916))</f>
        <v/>
      </c>
      <c r="K1916" s="7"/>
      <c r="L1916" s="7"/>
      <c r="M1916" s="1" t="str">
        <f>IF(E1916="","",E1916&amp;"|"&amp;COUNTIF($E$5:E1916,E1916))</f>
        <v/>
      </c>
    </row>
    <row r="1917" spans="2:13" x14ac:dyDescent="0.2">
      <c r="B1917" s="10"/>
      <c r="C1917" s="7"/>
      <c r="D1917" s="11"/>
      <c r="E1917" s="6"/>
      <c r="F1917" s="12" t="str">
        <f t="shared" si="58"/>
        <v/>
      </c>
      <c r="G1917" s="13" t="str">
        <f t="shared" si="59"/>
        <v/>
      </c>
      <c r="H1917" s="9"/>
      <c r="I1917" s="9"/>
      <c r="J1917" s="14" t="str">
        <f>IF(E1917="","",IFERROR(VLOOKUP(E1917,TabProd,5,FALSE),0)+SUMIFS($H$5:H1917,$E$5:E1917,E1917)-SUMIFS($I$5:I1917,$E$5:E1917,E1917))</f>
        <v/>
      </c>
      <c r="K1917" s="7"/>
      <c r="L1917" s="7"/>
      <c r="M1917" s="1" t="str">
        <f>IF(E1917="","",E1917&amp;"|"&amp;COUNTIF($E$5:E1917,E1917))</f>
        <v/>
      </c>
    </row>
    <row r="1918" spans="2:13" x14ac:dyDescent="0.2">
      <c r="B1918" s="10"/>
      <c r="C1918" s="7"/>
      <c r="D1918" s="11"/>
      <c r="E1918" s="6"/>
      <c r="F1918" s="12" t="str">
        <f t="shared" si="58"/>
        <v/>
      </c>
      <c r="G1918" s="13" t="str">
        <f t="shared" si="59"/>
        <v/>
      </c>
      <c r="H1918" s="9"/>
      <c r="I1918" s="9"/>
      <c r="J1918" s="14" t="str">
        <f>IF(E1918="","",IFERROR(VLOOKUP(E1918,TabProd,5,FALSE),0)+SUMIFS($H$5:H1918,$E$5:E1918,E1918)-SUMIFS($I$5:I1918,$E$5:E1918,E1918))</f>
        <v/>
      </c>
      <c r="K1918" s="7"/>
      <c r="L1918" s="7"/>
      <c r="M1918" s="1" t="str">
        <f>IF(E1918="","",E1918&amp;"|"&amp;COUNTIF($E$5:E1918,E1918))</f>
        <v/>
      </c>
    </row>
    <row r="1919" spans="2:13" x14ac:dyDescent="0.2">
      <c r="B1919" s="10"/>
      <c r="C1919" s="7"/>
      <c r="D1919" s="11"/>
      <c r="E1919" s="6"/>
      <c r="F1919" s="12" t="str">
        <f t="shared" si="58"/>
        <v/>
      </c>
      <c r="G1919" s="13" t="str">
        <f t="shared" si="59"/>
        <v/>
      </c>
      <c r="H1919" s="9"/>
      <c r="I1919" s="9"/>
      <c r="J1919" s="14" t="str">
        <f>IF(E1919="","",IFERROR(VLOOKUP(E1919,TabProd,5,FALSE),0)+SUMIFS($H$5:H1919,$E$5:E1919,E1919)-SUMIFS($I$5:I1919,$E$5:E1919,E1919))</f>
        <v/>
      </c>
      <c r="K1919" s="7"/>
      <c r="L1919" s="7"/>
      <c r="M1919" s="1" t="str">
        <f>IF(E1919="","",E1919&amp;"|"&amp;COUNTIF($E$5:E1919,E1919))</f>
        <v/>
      </c>
    </row>
    <row r="1920" spans="2:13" x14ac:dyDescent="0.2">
      <c r="B1920" s="10"/>
      <c r="C1920" s="7"/>
      <c r="D1920" s="11"/>
      <c r="E1920" s="6"/>
      <c r="F1920" s="12" t="str">
        <f t="shared" si="58"/>
        <v/>
      </c>
      <c r="G1920" s="13" t="str">
        <f t="shared" si="59"/>
        <v/>
      </c>
      <c r="H1920" s="9"/>
      <c r="I1920" s="9"/>
      <c r="J1920" s="14" t="str">
        <f>IF(E1920="","",IFERROR(VLOOKUP(E1920,TabProd,5,FALSE),0)+SUMIFS($H$5:H1920,$E$5:E1920,E1920)-SUMIFS($I$5:I1920,$E$5:E1920,E1920))</f>
        <v/>
      </c>
      <c r="K1920" s="7"/>
      <c r="L1920" s="7"/>
      <c r="M1920" s="1" t="str">
        <f>IF(E1920="","",E1920&amp;"|"&amp;COUNTIF($E$5:E1920,E1920))</f>
        <v/>
      </c>
    </row>
    <row r="1921" spans="2:13" x14ac:dyDescent="0.2">
      <c r="B1921" s="10"/>
      <c r="C1921" s="7"/>
      <c r="D1921" s="11"/>
      <c r="E1921" s="6"/>
      <c r="F1921" s="12" t="str">
        <f t="shared" si="58"/>
        <v/>
      </c>
      <c r="G1921" s="13" t="str">
        <f t="shared" si="59"/>
        <v/>
      </c>
      <c r="H1921" s="9"/>
      <c r="I1921" s="9"/>
      <c r="J1921" s="14" t="str">
        <f>IF(E1921="","",IFERROR(VLOOKUP(E1921,TabProd,5,FALSE),0)+SUMIFS($H$5:H1921,$E$5:E1921,E1921)-SUMIFS($I$5:I1921,$E$5:E1921,E1921))</f>
        <v/>
      </c>
      <c r="K1921" s="7"/>
      <c r="L1921" s="7"/>
      <c r="M1921" s="1" t="str">
        <f>IF(E1921="","",E1921&amp;"|"&amp;COUNTIF($E$5:E1921,E1921))</f>
        <v/>
      </c>
    </row>
    <row r="1922" spans="2:13" x14ac:dyDescent="0.2">
      <c r="B1922" s="10"/>
      <c r="C1922" s="7"/>
      <c r="D1922" s="11"/>
      <c r="E1922" s="6"/>
      <c r="F1922" s="12" t="str">
        <f t="shared" si="58"/>
        <v/>
      </c>
      <c r="G1922" s="13" t="str">
        <f t="shared" si="59"/>
        <v/>
      </c>
      <c r="H1922" s="9"/>
      <c r="I1922" s="9"/>
      <c r="J1922" s="14" t="str">
        <f>IF(E1922="","",IFERROR(VLOOKUP(E1922,TabProd,5,FALSE),0)+SUMIFS($H$5:H1922,$E$5:E1922,E1922)-SUMIFS($I$5:I1922,$E$5:E1922,E1922))</f>
        <v/>
      </c>
      <c r="K1922" s="7"/>
      <c r="L1922" s="7"/>
      <c r="M1922" s="1" t="str">
        <f>IF(E1922="","",E1922&amp;"|"&amp;COUNTIF($E$5:E1922,E1922))</f>
        <v/>
      </c>
    </row>
    <row r="1923" spans="2:13" x14ac:dyDescent="0.2">
      <c r="B1923" s="10"/>
      <c r="C1923" s="7"/>
      <c r="D1923" s="11"/>
      <c r="E1923" s="6"/>
      <c r="F1923" s="12" t="str">
        <f t="shared" si="58"/>
        <v/>
      </c>
      <c r="G1923" s="13" t="str">
        <f t="shared" si="59"/>
        <v/>
      </c>
      <c r="H1923" s="9"/>
      <c r="I1923" s="9"/>
      <c r="J1923" s="14" t="str">
        <f>IF(E1923="","",IFERROR(VLOOKUP(E1923,TabProd,5,FALSE),0)+SUMIFS($H$5:H1923,$E$5:E1923,E1923)-SUMIFS($I$5:I1923,$E$5:E1923,E1923))</f>
        <v/>
      </c>
      <c r="K1923" s="7"/>
      <c r="L1923" s="7"/>
      <c r="M1923" s="1" t="str">
        <f>IF(E1923="","",E1923&amp;"|"&amp;COUNTIF($E$5:E1923,E1923))</f>
        <v/>
      </c>
    </row>
    <row r="1924" spans="2:13" x14ac:dyDescent="0.2">
      <c r="B1924" s="10"/>
      <c r="C1924" s="7"/>
      <c r="D1924" s="11"/>
      <c r="E1924" s="6"/>
      <c r="F1924" s="12" t="str">
        <f t="shared" si="58"/>
        <v/>
      </c>
      <c r="G1924" s="13" t="str">
        <f t="shared" si="59"/>
        <v/>
      </c>
      <c r="H1924" s="9"/>
      <c r="I1924" s="9"/>
      <c r="J1924" s="14" t="str">
        <f>IF(E1924="","",IFERROR(VLOOKUP(E1924,TabProd,5,FALSE),0)+SUMIFS($H$5:H1924,$E$5:E1924,E1924)-SUMIFS($I$5:I1924,$E$5:E1924,E1924))</f>
        <v/>
      </c>
      <c r="K1924" s="7"/>
      <c r="L1924" s="7"/>
      <c r="M1924" s="1" t="str">
        <f>IF(E1924="","",E1924&amp;"|"&amp;COUNTIF($E$5:E1924,E1924))</f>
        <v/>
      </c>
    </row>
    <row r="1925" spans="2:13" x14ac:dyDescent="0.2">
      <c r="B1925" s="10"/>
      <c r="C1925" s="7"/>
      <c r="D1925" s="11"/>
      <c r="E1925" s="6"/>
      <c r="F1925" s="12" t="str">
        <f t="shared" ref="F1925:F1988" si="60">IF(E1925="","",IFERROR(VLOOKUP(E1925,TabProd,2,FALSE),"Cod inexistent"))</f>
        <v/>
      </c>
      <c r="G1925" s="13" t="str">
        <f t="shared" ref="G1925:G1988" si="61">IF(E1925="","",IFERROR(VLOOKUP(E1925,TabProd,3,FALSE),""))</f>
        <v/>
      </c>
      <c r="H1925" s="9"/>
      <c r="I1925" s="9"/>
      <c r="J1925" s="14" t="str">
        <f>IF(E1925="","",IFERROR(VLOOKUP(E1925,TabProd,5,FALSE),0)+SUMIFS($H$5:H1925,$E$5:E1925,E1925)-SUMIFS($I$5:I1925,$E$5:E1925,E1925))</f>
        <v/>
      </c>
      <c r="K1925" s="7"/>
      <c r="L1925" s="7"/>
      <c r="M1925" s="1" t="str">
        <f>IF(E1925="","",E1925&amp;"|"&amp;COUNTIF($E$5:E1925,E1925))</f>
        <v/>
      </c>
    </row>
    <row r="1926" spans="2:13" x14ac:dyDescent="0.2">
      <c r="B1926" s="10"/>
      <c r="C1926" s="7"/>
      <c r="D1926" s="11"/>
      <c r="E1926" s="6"/>
      <c r="F1926" s="12" t="str">
        <f t="shared" si="60"/>
        <v/>
      </c>
      <c r="G1926" s="13" t="str">
        <f t="shared" si="61"/>
        <v/>
      </c>
      <c r="H1926" s="9"/>
      <c r="I1926" s="9"/>
      <c r="J1926" s="14" t="str">
        <f>IF(E1926="","",IFERROR(VLOOKUP(E1926,TabProd,5,FALSE),0)+SUMIFS($H$5:H1926,$E$5:E1926,E1926)-SUMIFS($I$5:I1926,$E$5:E1926,E1926))</f>
        <v/>
      </c>
      <c r="K1926" s="7"/>
      <c r="L1926" s="7"/>
      <c r="M1926" s="1" t="str">
        <f>IF(E1926="","",E1926&amp;"|"&amp;COUNTIF($E$5:E1926,E1926))</f>
        <v/>
      </c>
    </row>
    <row r="1927" spans="2:13" x14ac:dyDescent="0.2">
      <c r="B1927" s="10"/>
      <c r="C1927" s="7"/>
      <c r="D1927" s="11"/>
      <c r="E1927" s="6"/>
      <c r="F1927" s="12" t="str">
        <f t="shared" si="60"/>
        <v/>
      </c>
      <c r="G1927" s="13" t="str">
        <f t="shared" si="61"/>
        <v/>
      </c>
      <c r="H1927" s="9"/>
      <c r="I1927" s="9"/>
      <c r="J1927" s="14" t="str">
        <f>IF(E1927="","",IFERROR(VLOOKUP(E1927,TabProd,5,FALSE),0)+SUMIFS($H$5:H1927,$E$5:E1927,E1927)-SUMIFS($I$5:I1927,$E$5:E1927,E1927))</f>
        <v/>
      </c>
      <c r="K1927" s="7"/>
      <c r="L1927" s="7"/>
      <c r="M1927" s="1" t="str">
        <f>IF(E1927="","",E1927&amp;"|"&amp;COUNTIF($E$5:E1927,E1927))</f>
        <v/>
      </c>
    </row>
    <row r="1928" spans="2:13" x14ac:dyDescent="0.2">
      <c r="B1928" s="10"/>
      <c r="C1928" s="7"/>
      <c r="D1928" s="11"/>
      <c r="E1928" s="6"/>
      <c r="F1928" s="12" t="str">
        <f t="shared" si="60"/>
        <v/>
      </c>
      <c r="G1928" s="13" t="str">
        <f t="shared" si="61"/>
        <v/>
      </c>
      <c r="H1928" s="9"/>
      <c r="I1928" s="9"/>
      <c r="J1928" s="14" t="str">
        <f>IF(E1928="","",IFERROR(VLOOKUP(E1928,TabProd,5,FALSE),0)+SUMIFS($H$5:H1928,$E$5:E1928,E1928)-SUMIFS($I$5:I1928,$E$5:E1928,E1928))</f>
        <v/>
      </c>
      <c r="K1928" s="7"/>
      <c r="L1928" s="7"/>
      <c r="M1928" s="1" t="str">
        <f>IF(E1928="","",E1928&amp;"|"&amp;COUNTIF($E$5:E1928,E1928))</f>
        <v/>
      </c>
    </row>
    <row r="1929" spans="2:13" x14ac:dyDescent="0.2">
      <c r="B1929" s="10"/>
      <c r="C1929" s="7"/>
      <c r="D1929" s="11"/>
      <c r="E1929" s="6"/>
      <c r="F1929" s="12" t="str">
        <f t="shared" si="60"/>
        <v/>
      </c>
      <c r="G1929" s="13" t="str">
        <f t="shared" si="61"/>
        <v/>
      </c>
      <c r="H1929" s="9"/>
      <c r="I1929" s="9"/>
      <c r="J1929" s="14" t="str">
        <f>IF(E1929="","",IFERROR(VLOOKUP(E1929,TabProd,5,FALSE),0)+SUMIFS($H$5:H1929,$E$5:E1929,E1929)-SUMIFS($I$5:I1929,$E$5:E1929,E1929))</f>
        <v/>
      </c>
      <c r="K1929" s="7"/>
      <c r="L1929" s="7"/>
      <c r="M1929" s="1" t="str">
        <f>IF(E1929="","",E1929&amp;"|"&amp;COUNTIF($E$5:E1929,E1929))</f>
        <v/>
      </c>
    </row>
    <row r="1930" spans="2:13" x14ac:dyDescent="0.2">
      <c r="B1930" s="10"/>
      <c r="C1930" s="7"/>
      <c r="D1930" s="11"/>
      <c r="E1930" s="6"/>
      <c r="F1930" s="12" t="str">
        <f t="shared" si="60"/>
        <v/>
      </c>
      <c r="G1930" s="13" t="str">
        <f t="shared" si="61"/>
        <v/>
      </c>
      <c r="H1930" s="9"/>
      <c r="I1930" s="9"/>
      <c r="J1930" s="14" t="str">
        <f>IF(E1930="","",IFERROR(VLOOKUP(E1930,TabProd,5,FALSE),0)+SUMIFS($H$5:H1930,$E$5:E1930,E1930)-SUMIFS($I$5:I1930,$E$5:E1930,E1930))</f>
        <v/>
      </c>
      <c r="K1930" s="7"/>
      <c r="L1930" s="7"/>
      <c r="M1930" s="1" t="str">
        <f>IF(E1930="","",E1930&amp;"|"&amp;COUNTIF($E$5:E1930,E1930))</f>
        <v/>
      </c>
    </row>
    <row r="1931" spans="2:13" x14ac:dyDescent="0.2">
      <c r="B1931" s="10"/>
      <c r="C1931" s="7"/>
      <c r="D1931" s="11"/>
      <c r="E1931" s="6"/>
      <c r="F1931" s="12" t="str">
        <f t="shared" si="60"/>
        <v/>
      </c>
      <c r="G1931" s="13" t="str">
        <f t="shared" si="61"/>
        <v/>
      </c>
      <c r="H1931" s="9"/>
      <c r="I1931" s="9"/>
      <c r="J1931" s="14" t="str">
        <f>IF(E1931="","",IFERROR(VLOOKUP(E1931,TabProd,5,FALSE),0)+SUMIFS($H$5:H1931,$E$5:E1931,E1931)-SUMIFS($I$5:I1931,$E$5:E1931,E1931))</f>
        <v/>
      </c>
      <c r="K1931" s="7"/>
      <c r="L1931" s="7"/>
      <c r="M1931" s="1" t="str">
        <f>IF(E1931="","",E1931&amp;"|"&amp;COUNTIF($E$5:E1931,E1931))</f>
        <v/>
      </c>
    </row>
    <row r="1932" spans="2:13" x14ac:dyDescent="0.2">
      <c r="B1932" s="10"/>
      <c r="C1932" s="7"/>
      <c r="D1932" s="11"/>
      <c r="E1932" s="6"/>
      <c r="F1932" s="12" t="str">
        <f t="shared" si="60"/>
        <v/>
      </c>
      <c r="G1932" s="13" t="str">
        <f t="shared" si="61"/>
        <v/>
      </c>
      <c r="H1932" s="9"/>
      <c r="I1932" s="9"/>
      <c r="J1932" s="14" t="str">
        <f>IF(E1932="","",IFERROR(VLOOKUP(E1932,TabProd,5,FALSE),0)+SUMIFS($H$5:H1932,$E$5:E1932,E1932)-SUMIFS($I$5:I1932,$E$5:E1932,E1932))</f>
        <v/>
      </c>
      <c r="K1932" s="7"/>
      <c r="L1932" s="7"/>
      <c r="M1932" s="1" t="str">
        <f>IF(E1932="","",E1932&amp;"|"&amp;COUNTIF($E$5:E1932,E1932))</f>
        <v/>
      </c>
    </row>
    <row r="1933" spans="2:13" x14ac:dyDescent="0.2">
      <c r="B1933" s="10"/>
      <c r="C1933" s="7"/>
      <c r="D1933" s="11"/>
      <c r="E1933" s="6"/>
      <c r="F1933" s="12" t="str">
        <f t="shared" si="60"/>
        <v/>
      </c>
      <c r="G1933" s="13" t="str">
        <f t="shared" si="61"/>
        <v/>
      </c>
      <c r="H1933" s="9"/>
      <c r="I1933" s="9"/>
      <c r="J1933" s="14" t="str">
        <f>IF(E1933="","",IFERROR(VLOOKUP(E1933,TabProd,5,FALSE),0)+SUMIFS($H$5:H1933,$E$5:E1933,E1933)-SUMIFS($I$5:I1933,$E$5:E1933,E1933))</f>
        <v/>
      </c>
      <c r="K1933" s="7"/>
      <c r="L1933" s="7"/>
      <c r="M1933" s="1" t="str">
        <f>IF(E1933="","",E1933&amp;"|"&amp;COUNTIF($E$5:E1933,E1933))</f>
        <v/>
      </c>
    </row>
    <row r="1934" spans="2:13" x14ac:dyDescent="0.2">
      <c r="B1934" s="10"/>
      <c r="C1934" s="7"/>
      <c r="D1934" s="11"/>
      <c r="E1934" s="6"/>
      <c r="F1934" s="12" t="str">
        <f t="shared" si="60"/>
        <v/>
      </c>
      <c r="G1934" s="13" t="str">
        <f t="shared" si="61"/>
        <v/>
      </c>
      <c r="H1934" s="9"/>
      <c r="I1934" s="9"/>
      <c r="J1934" s="14" t="str">
        <f>IF(E1934="","",IFERROR(VLOOKUP(E1934,TabProd,5,FALSE),0)+SUMIFS($H$5:H1934,$E$5:E1934,E1934)-SUMIFS($I$5:I1934,$E$5:E1934,E1934))</f>
        <v/>
      </c>
      <c r="K1934" s="7"/>
      <c r="L1934" s="7"/>
      <c r="M1934" s="1" t="str">
        <f>IF(E1934="","",E1934&amp;"|"&amp;COUNTIF($E$5:E1934,E1934))</f>
        <v/>
      </c>
    </row>
    <row r="1935" spans="2:13" x14ac:dyDescent="0.2">
      <c r="B1935" s="10"/>
      <c r="C1935" s="7"/>
      <c r="D1935" s="11"/>
      <c r="E1935" s="6"/>
      <c r="F1935" s="12" t="str">
        <f t="shared" si="60"/>
        <v/>
      </c>
      <c r="G1935" s="13" t="str">
        <f t="shared" si="61"/>
        <v/>
      </c>
      <c r="H1935" s="9"/>
      <c r="I1935" s="9"/>
      <c r="J1935" s="14" t="str">
        <f>IF(E1935="","",IFERROR(VLOOKUP(E1935,TabProd,5,FALSE),0)+SUMIFS($H$5:H1935,$E$5:E1935,E1935)-SUMIFS($I$5:I1935,$E$5:E1935,E1935))</f>
        <v/>
      </c>
      <c r="K1935" s="7"/>
      <c r="L1935" s="7"/>
      <c r="M1935" s="1" t="str">
        <f>IF(E1935="","",E1935&amp;"|"&amp;COUNTIF($E$5:E1935,E1935))</f>
        <v/>
      </c>
    </row>
    <row r="1936" spans="2:13" x14ac:dyDescent="0.2">
      <c r="B1936" s="10"/>
      <c r="C1936" s="7"/>
      <c r="D1936" s="11"/>
      <c r="E1936" s="6"/>
      <c r="F1936" s="12" t="str">
        <f t="shared" si="60"/>
        <v/>
      </c>
      <c r="G1936" s="13" t="str">
        <f t="shared" si="61"/>
        <v/>
      </c>
      <c r="H1936" s="9"/>
      <c r="I1936" s="9"/>
      <c r="J1936" s="14" t="str">
        <f>IF(E1936="","",IFERROR(VLOOKUP(E1936,TabProd,5,FALSE),0)+SUMIFS($H$5:H1936,$E$5:E1936,E1936)-SUMIFS($I$5:I1936,$E$5:E1936,E1936))</f>
        <v/>
      </c>
      <c r="K1936" s="7"/>
      <c r="L1936" s="7"/>
      <c r="M1936" s="1" t="str">
        <f>IF(E1936="","",E1936&amp;"|"&amp;COUNTIF($E$5:E1936,E1936))</f>
        <v/>
      </c>
    </row>
    <row r="1937" spans="2:13" x14ac:dyDescent="0.2">
      <c r="B1937" s="10"/>
      <c r="C1937" s="7"/>
      <c r="D1937" s="11"/>
      <c r="E1937" s="6"/>
      <c r="F1937" s="12" t="str">
        <f t="shared" si="60"/>
        <v/>
      </c>
      <c r="G1937" s="13" t="str">
        <f t="shared" si="61"/>
        <v/>
      </c>
      <c r="H1937" s="9"/>
      <c r="I1937" s="9"/>
      <c r="J1937" s="14" t="str">
        <f>IF(E1937="","",IFERROR(VLOOKUP(E1937,TabProd,5,FALSE),0)+SUMIFS($H$5:H1937,$E$5:E1937,E1937)-SUMIFS($I$5:I1937,$E$5:E1937,E1937))</f>
        <v/>
      </c>
      <c r="K1937" s="7"/>
      <c r="L1937" s="7"/>
      <c r="M1937" s="1" t="str">
        <f>IF(E1937="","",E1937&amp;"|"&amp;COUNTIF($E$5:E1937,E1937))</f>
        <v/>
      </c>
    </row>
    <row r="1938" spans="2:13" x14ac:dyDescent="0.2">
      <c r="B1938" s="10"/>
      <c r="C1938" s="7"/>
      <c r="D1938" s="11"/>
      <c r="E1938" s="6"/>
      <c r="F1938" s="12" t="str">
        <f t="shared" si="60"/>
        <v/>
      </c>
      <c r="G1938" s="13" t="str">
        <f t="shared" si="61"/>
        <v/>
      </c>
      <c r="H1938" s="9"/>
      <c r="I1938" s="9"/>
      <c r="J1938" s="14" t="str">
        <f>IF(E1938="","",IFERROR(VLOOKUP(E1938,TabProd,5,FALSE),0)+SUMIFS($H$5:H1938,$E$5:E1938,E1938)-SUMIFS($I$5:I1938,$E$5:E1938,E1938))</f>
        <v/>
      </c>
      <c r="K1938" s="7"/>
      <c r="L1938" s="7"/>
      <c r="M1938" s="1" t="str">
        <f>IF(E1938="","",E1938&amp;"|"&amp;COUNTIF($E$5:E1938,E1938))</f>
        <v/>
      </c>
    </row>
    <row r="1939" spans="2:13" x14ac:dyDescent="0.2">
      <c r="B1939" s="10"/>
      <c r="C1939" s="7"/>
      <c r="D1939" s="11"/>
      <c r="E1939" s="6"/>
      <c r="F1939" s="12" t="str">
        <f t="shared" si="60"/>
        <v/>
      </c>
      <c r="G1939" s="13" t="str">
        <f t="shared" si="61"/>
        <v/>
      </c>
      <c r="H1939" s="9"/>
      <c r="I1939" s="9"/>
      <c r="J1939" s="14" t="str">
        <f>IF(E1939="","",IFERROR(VLOOKUP(E1939,TabProd,5,FALSE),0)+SUMIFS($H$5:H1939,$E$5:E1939,E1939)-SUMIFS($I$5:I1939,$E$5:E1939,E1939))</f>
        <v/>
      </c>
      <c r="K1939" s="7"/>
      <c r="L1939" s="7"/>
      <c r="M1939" s="1" t="str">
        <f>IF(E1939="","",E1939&amp;"|"&amp;COUNTIF($E$5:E1939,E1939))</f>
        <v/>
      </c>
    </row>
    <row r="1940" spans="2:13" x14ac:dyDescent="0.2">
      <c r="B1940" s="10"/>
      <c r="C1940" s="7"/>
      <c r="D1940" s="11"/>
      <c r="E1940" s="6"/>
      <c r="F1940" s="12" t="str">
        <f t="shared" si="60"/>
        <v/>
      </c>
      <c r="G1940" s="13" t="str">
        <f t="shared" si="61"/>
        <v/>
      </c>
      <c r="H1940" s="9"/>
      <c r="I1940" s="9"/>
      <c r="J1940" s="14" t="str">
        <f>IF(E1940="","",IFERROR(VLOOKUP(E1940,TabProd,5,FALSE),0)+SUMIFS($H$5:H1940,$E$5:E1940,E1940)-SUMIFS($I$5:I1940,$E$5:E1940,E1940))</f>
        <v/>
      </c>
      <c r="K1940" s="7"/>
      <c r="L1940" s="7"/>
      <c r="M1940" s="1" t="str">
        <f>IF(E1940="","",E1940&amp;"|"&amp;COUNTIF($E$5:E1940,E1940))</f>
        <v/>
      </c>
    </row>
    <row r="1941" spans="2:13" x14ac:dyDescent="0.2">
      <c r="B1941" s="10"/>
      <c r="C1941" s="7"/>
      <c r="D1941" s="11"/>
      <c r="E1941" s="6"/>
      <c r="F1941" s="12" t="str">
        <f t="shared" si="60"/>
        <v/>
      </c>
      <c r="G1941" s="13" t="str">
        <f t="shared" si="61"/>
        <v/>
      </c>
      <c r="H1941" s="9"/>
      <c r="I1941" s="9"/>
      <c r="J1941" s="14" t="str">
        <f>IF(E1941="","",IFERROR(VLOOKUP(E1941,TabProd,5,FALSE),0)+SUMIFS($H$5:H1941,$E$5:E1941,E1941)-SUMIFS($I$5:I1941,$E$5:E1941,E1941))</f>
        <v/>
      </c>
      <c r="K1941" s="7"/>
      <c r="L1941" s="7"/>
      <c r="M1941" s="1" t="str">
        <f>IF(E1941="","",E1941&amp;"|"&amp;COUNTIF($E$5:E1941,E1941))</f>
        <v/>
      </c>
    </row>
    <row r="1942" spans="2:13" x14ac:dyDescent="0.2">
      <c r="B1942" s="10"/>
      <c r="C1942" s="7"/>
      <c r="D1942" s="11"/>
      <c r="E1942" s="6"/>
      <c r="F1942" s="12" t="str">
        <f t="shared" si="60"/>
        <v/>
      </c>
      <c r="G1942" s="13" t="str">
        <f t="shared" si="61"/>
        <v/>
      </c>
      <c r="H1942" s="9"/>
      <c r="I1942" s="9"/>
      <c r="J1942" s="14" t="str">
        <f>IF(E1942="","",IFERROR(VLOOKUP(E1942,TabProd,5,FALSE),0)+SUMIFS($H$5:H1942,$E$5:E1942,E1942)-SUMIFS($I$5:I1942,$E$5:E1942,E1942))</f>
        <v/>
      </c>
      <c r="K1942" s="7"/>
      <c r="L1942" s="7"/>
      <c r="M1942" s="1" t="str">
        <f>IF(E1942="","",E1942&amp;"|"&amp;COUNTIF($E$5:E1942,E1942))</f>
        <v/>
      </c>
    </row>
    <row r="1943" spans="2:13" x14ac:dyDescent="0.2">
      <c r="B1943" s="10"/>
      <c r="C1943" s="7"/>
      <c r="D1943" s="11"/>
      <c r="E1943" s="6"/>
      <c r="F1943" s="12" t="str">
        <f t="shared" si="60"/>
        <v/>
      </c>
      <c r="G1943" s="13" t="str">
        <f t="shared" si="61"/>
        <v/>
      </c>
      <c r="H1943" s="9"/>
      <c r="I1943" s="9"/>
      <c r="J1943" s="14" t="str">
        <f>IF(E1943="","",IFERROR(VLOOKUP(E1943,TabProd,5,FALSE),0)+SUMIFS($H$5:H1943,$E$5:E1943,E1943)-SUMIFS($I$5:I1943,$E$5:E1943,E1943))</f>
        <v/>
      </c>
      <c r="K1943" s="7"/>
      <c r="L1943" s="7"/>
      <c r="M1943" s="1" t="str">
        <f>IF(E1943="","",E1943&amp;"|"&amp;COUNTIF($E$5:E1943,E1943))</f>
        <v/>
      </c>
    </row>
    <row r="1944" spans="2:13" x14ac:dyDescent="0.2">
      <c r="B1944" s="10"/>
      <c r="C1944" s="7"/>
      <c r="D1944" s="11"/>
      <c r="E1944" s="6"/>
      <c r="F1944" s="12" t="str">
        <f t="shared" si="60"/>
        <v/>
      </c>
      <c r="G1944" s="13" t="str">
        <f t="shared" si="61"/>
        <v/>
      </c>
      <c r="H1944" s="9"/>
      <c r="I1944" s="9"/>
      <c r="J1944" s="14" t="str">
        <f>IF(E1944="","",IFERROR(VLOOKUP(E1944,TabProd,5,FALSE),0)+SUMIFS($H$5:H1944,$E$5:E1944,E1944)-SUMIFS($I$5:I1944,$E$5:E1944,E1944))</f>
        <v/>
      </c>
      <c r="K1944" s="7"/>
      <c r="L1944" s="7"/>
      <c r="M1944" s="1" t="str">
        <f>IF(E1944="","",E1944&amp;"|"&amp;COUNTIF($E$5:E1944,E1944))</f>
        <v/>
      </c>
    </row>
    <row r="1945" spans="2:13" x14ac:dyDescent="0.2">
      <c r="B1945" s="10"/>
      <c r="C1945" s="7"/>
      <c r="D1945" s="11"/>
      <c r="E1945" s="6"/>
      <c r="F1945" s="12" t="str">
        <f t="shared" si="60"/>
        <v/>
      </c>
      <c r="G1945" s="13" t="str">
        <f t="shared" si="61"/>
        <v/>
      </c>
      <c r="H1945" s="9"/>
      <c r="I1945" s="9"/>
      <c r="J1945" s="14" t="str">
        <f>IF(E1945="","",IFERROR(VLOOKUP(E1945,TabProd,5,FALSE),0)+SUMIFS($H$5:H1945,$E$5:E1945,E1945)-SUMIFS($I$5:I1945,$E$5:E1945,E1945))</f>
        <v/>
      </c>
      <c r="K1945" s="7"/>
      <c r="L1945" s="7"/>
      <c r="M1945" s="1" t="str">
        <f>IF(E1945="","",E1945&amp;"|"&amp;COUNTIF($E$5:E1945,E1945))</f>
        <v/>
      </c>
    </row>
    <row r="1946" spans="2:13" x14ac:dyDescent="0.2">
      <c r="B1946" s="10"/>
      <c r="C1946" s="7"/>
      <c r="D1946" s="11"/>
      <c r="E1946" s="6"/>
      <c r="F1946" s="12" t="str">
        <f t="shared" si="60"/>
        <v/>
      </c>
      <c r="G1946" s="13" t="str">
        <f t="shared" si="61"/>
        <v/>
      </c>
      <c r="H1946" s="9"/>
      <c r="I1946" s="9"/>
      <c r="J1946" s="14" t="str">
        <f>IF(E1946="","",IFERROR(VLOOKUP(E1946,TabProd,5,FALSE),0)+SUMIFS($H$5:H1946,$E$5:E1946,E1946)-SUMIFS($I$5:I1946,$E$5:E1946,E1946))</f>
        <v/>
      </c>
      <c r="K1946" s="7"/>
      <c r="L1946" s="7"/>
      <c r="M1946" s="1" t="str">
        <f>IF(E1946="","",E1946&amp;"|"&amp;COUNTIF($E$5:E1946,E1946))</f>
        <v/>
      </c>
    </row>
    <row r="1947" spans="2:13" x14ac:dyDescent="0.2">
      <c r="B1947" s="10"/>
      <c r="C1947" s="7"/>
      <c r="D1947" s="11"/>
      <c r="E1947" s="6"/>
      <c r="F1947" s="12" t="str">
        <f t="shared" si="60"/>
        <v/>
      </c>
      <c r="G1947" s="13" t="str">
        <f t="shared" si="61"/>
        <v/>
      </c>
      <c r="H1947" s="9"/>
      <c r="I1947" s="9"/>
      <c r="J1947" s="14" t="str">
        <f>IF(E1947="","",IFERROR(VLOOKUP(E1947,TabProd,5,FALSE),0)+SUMIFS($H$5:H1947,$E$5:E1947,E1947)-SUMIFS($I$5:I1947,$E$5:E1947,E1947))</f>
        <v/>
      </c>
      <c r="K1947" s="7"/>
      <c r="L1947" s="7"/>
      <c r="M1947" s="1" t="str">
        <f>IF(E1947="","",E1947&amp;"|"&amp;COUNTIF($E$5:E1947,E1947))</f>
        <v/>
      </c>
    </row>
    <row r="1948" spans="2:13" x14ac:dyDescent="0.2">
      <c r="B1948" s="10"/>
      <c r="C1948" s="7"/>
      <c r="D1948" s="11"/>
      <c r="E1948" s="6"/>
      <c r="F1948" s="12" t="str">
        <f t="shared" si="60"/>
        <v/>
      </c>
      <c r="G1948" s="13" t="str">
        <f t="shared" si="61"/>
        <v/>
      </c>
      <c r="H1948" s="9"/>
      <c r="I1948" s="9"/>
      <c r="J1948" s="14" t="str">
        <f>IF(E1948="","",IFERROR(VLOOKUP(E1948,TabProd,5,FALSE),0)+SUMIFS($H$5:H1948,$E$5:E1948,E1948)-SUMIFS($I$5:I1948,$E$5:E1948,E1948))</f>
        <v/>
      </c>
      <c r="K1948" s="7"/>
      <c r="L1948" s="7"/>
      <c r="M1948" s="1" t="str">
        <f>IF(E1948="","",E1948&amp;"|"&amp;COUNTIF($E$5:E1948,E1948))</f>
        <v/>
      </c>
    </row>
    <row r="1949" spans="2:13" x14ac:dyDescent="0.2">
      <c r="B1949" s="10"/>
      <c r="C1949" s="7"/>
      <c r="D1949" s="11"/>
      <c r="E1949" s="6"/>
      <c r="F1949" s="12" t="str">
        <f t="shared" si="60"/>
        <v/>
      </c>
      <c r="G1949" s="13" t="str">
        <f t="shared" si="61"/>
        <v/>
      </c>
      <c r="H1949" s="9"/>
      <c r="I1949" s="9"/>
      <c r="J1949" s="14" t="str">
        <f>IF(E1949="","",IFERROR(VLOOKUP(E1949,TabProd,5,FALSE),0)+SUMIFS($H$5:H1949,$E$5:E1949,E1949)-SUMIFS($I$5:I1949,$E$5:E1949,E1949))</f>
        <v/>
      </c>
      <c r="K1949" s="7"/>
      <c r="L1949" s="7"/>
      <c r="M1949" s="1" t="str">
        <f>IF(E1949="","",E1949&amp;"|"&amp;COUNTIF($E$5:E1949,E1949))</f>
        <v/>
      </c>
    </row>
    <row r="1950" spans="2:13" x14ac:dyDescent="0.2">
      <c r="B1950" s="10"/>
      <c r="C1950" s="7"/>
      <c r="D1950" s="11"/>
      <c r="E1950" s="6"/>
      <c r="F1950" s="12" t="str">
        <f t="shared" si="60"/>
        <v/>
      </c>
      <c r="G1950" s="13" t="str">
        <f t="shared" si="61"/>
        <v/>
      </c>
      <c r="H1950" s="9"/>
      <c r="I1950" s="9"/>
      <c r="J1950" s="14" t="str">
        <f>IF(E1950="","",IFERROR(VLOOKUP(E1950,TabProd,5,FALSE),0)+SUMIFS($H$5:H1950,$E$5:E1950,E1950)-SUMIFS($I$5:I1950,$E$5:E1950,E1950))</f>
        <v/>
      </c>
      <c r="K1950" s="7"/>
      <c r="L1950" s="7"/>
      <c r="M1950" s="1" t="str">
        <f>IF(E1950="","",E1950&amp;"|"&amp;COUNTIF($E$5:E1950,E1950))</f>
        <v/>
      </c>
    </row>
    <row r="1951" spans="2:13" x14ac:dyDescent="0.2">
      <c r="B1951" s="10"/>
      <c r="C1951" s="7"/>
      <c r="D1951" s="11"/>
      <c r="E1951" s="6"/>
      <c r="F1951" s="12" t="str">
        <f t="shared" si="60"/>
        <v/>
      </c>
      <c r="G1951" s="13" t="str">
        <f t="shared" si="61"/>
        <v/>
      </c>
      <c r="H1951" s="9"/>
      <c r="I1951" s="9"/>
      <c r="J1951" s="14" t="str">
        <f>IF(E1951="","",IFERROR(VLOOKUP(E1951,TabProd,5,FALSE),0)+SUMIFS($H$5:H1951,$E$5:E1951,E1951)-SUMIFS($I$5:I1951,$E$5:E1951,E1951))</f>
        <v/>
      </c>
      <c r="K1951" s="7"/>
      <c r="L1951" s="7"/>
      <c r="M1951" s="1" t="str">
        <f>IF(E1951="","",E1951&amp;"|"&amp;COUNTIF($E$5:E1951,E1951))</f>
        <v/>
      </c>
    </row>
    <row r="1952" spans="2:13" x14ac:dyDescent="0.2">
      <c r="B1952" s="10"/>
      <c r="C1952" s="7"/>
      <c r="D1952" s="11"/>
      <c r="E1952" s="6"/>
      <c r="F1952" s="12" t="str">
        <f t="shared" si="60"/>
        <v/>
      </c>
      <c r="G1952" s="13" t="str">
        <f t="shared" si="61"/>
        <v/>
      </c>
      <c r="H1952" s="9"/>
      <c r="I1952" s="9"/>
      <c r="J1952" s="14" t="str">
        <f>IF(E1952="","",IFERROR(VLOOKUP(E1952,TabProd,5,FALSE),0)+SUMIFS($H$5:H1952,$E$5:E1952,E1952)-SUMIFS($I$5:I1952,$E$5:E1952,E1952))</f>
        <v/>
      </c>
      <c r="K1952" s="7"/>
      <c r="L1952" s="7"/>
      <c r="M1952" s="1" t="str">
        <f>IF(E1952="","",E1952&amp;"|"&amp;COUNTIF($E$5:E1952,E1952))</f>
        <v/>
      </c>
    </row>
    <row r="1953" spans="2:13" x14ac:dyDescent="0.2">
      <c r="B1953" s="10"/>
      <c r="C1953" s="7"/>
      <c r="D1953" s="11"/>
      <c r="E1953" s="6"/>
      <c r="F1953" s="12" t="str">
        <f t="shared" si="60"/>
        <v/>
      </c>
      <c r="G1953" s="13" t="str">
        <f t="shared" si="61"/>
        <v/>
      </c>
      <c r="H1953" s="9"/>
      <c r="I1953" s="9"/>
      <c r="J1953" s="14" t="str">
        <f>IF(E1953="","",IFERROR(VLOOKUP(E1953,TabProd,5,FALSE),0)+SUMIFS($H$5:H1953,$E$5:E1953,E1953)-SUMIFS($I$5:I1953,$E$5:E1953,E1953))</f>
        <v/>
      </c>
      <c r="K1953" s="7"/>
      <c r="L1953" s="7"/>
      <c r="M1953" s="1" t="str">
        <f>IF(E1953="","",E1953&amp;"|"&amp;COUNTIF($E$5:E1953,E1953))</f>
        <v/>
      </c>
    </row>
    <row r="1954" spans="2:13" x14ac:dyDescent="0.2">
      <c r="B1954" s="10"/>
      <c r="C1954" s="7"/>
      <c r="D1954" s="11"/>
      <c r="E1954" s="6"/>
      <c r="F1954" s="12" t="str">
        <f t="shared" si="60"/>
        <v/>
      </c>
      <c r="G1954" s="13" t="str">
        <f t="shared" si="61"/>
        <v/>
      </c>
      <c r="H1954" s="9"/>
      <c r="I1954" s="9"/>
      <c r="J1954" s="14" t="str">
        <f>IF(E1954="","",IFERROR(VLOOKUP(E1954,TabProd,5,FALSE),0)+SUMIFS($H$5:H1954,$E$5:E1954,E1954)-SUMIFS($I$5:I1954,$E$5:E1954,E1954))</f>
        <v/>
      </c>
      <c r="K1954" s="7"/>
      <c r="L1954" s="7"/>
      <c r="M1954" s="1" t="str">
        <f>IF(E1954="","",E1954&amp;"|"&amp;COUNTIF($E$5:E1954,E1954))</f>
        <v/>
      </c>
    </row>
    <row r="1955" spans="2:13" x14ac:dyDescent="0.2">
      <c r="B1955" s="10"/>
      <c r="C1955" s="7"/>
      <c r="D1955" s="11"/>
      <c r="E1955" s="6"/>
      <c r="F1955" s="12" t="str">
        <f t="shared" si="60"/>
        <v/>
      </c>
      <c r="G1955" s="13" t="str">
        <f t="shared" si="61"/>
        <v/>
      </c>
      <c r="H1955" s="9"/>
      <c r="I1955" s="9"/>
      <c r="J1955" s="14" t="str">
        <f>IF(E1955="","",IFERROR(VLOOKUP(E1955,TabProd,5,FALSE),0)+SUMIFS($H$5:H1955,$E$5:E1955,E1955)-SUMIFS($I$5:I1955,$E$5:E1955,E1955))</f>
        <v/>
      </c>
      <c r="K1955" s="7"/>
      <c r="L1955" s="7"/>
      <c r="M1955" s="1" t="str">
        <f>IF(E1955="","",E1955&amp;"|"&amp;COUNTIF($E$5:E1955,E1955))</f>
        <v/>
      </c>
    </row>
    <row r="1956" spans="2:13" x14ac:dyDescent="0.2">
      <c r="B1956" s="10"/>
      <c r="C1956" s="7"/>
      <c r="D1956" s="11"/>
      <c r="E1956" s="6"/>
      <c r="F1956" s="12" t="str">
        <f t="shared" si="60"/>
        <v/>
      </c>
      <c r="G1956" s="13" t="str">
        <f t="shared" si="61"/>
        <v/>
      </c>
      <c r="H1956" s="9"/>
      <c r="I1956" s="9"/>
      <c r="J1956" s="14" t="str">
        <f>IF(E1956="","",IFERROR(VLOOKUP(E1956,TabProd,5,FALSE),0)+SUMIFS($H$5:H1956,$E$5:E1956,E1956)-SUMIFS($I$5:I1956,$E$5:E1956,E1956))</f>
        <v/>
      </c>
      <c r="K1956" s="7"/>
      <c r="L1956" s="7"/>
      <c r="M1956" s="1" t="str">
        <f>IF(E1956="","",E1956&amp;"|"&amp;COUNTIF($E$5:E1956,E1956))</f>
        <v/>
      </c>
    </row>
    <row r="1957" spans="2:13" x14ac:dyDescent="0.2">
      <c r="B1957" s="10"/>
      <c r="C1957" s="7"/>
      <c r="D1957" s="11"/>
      <c r="E1957" s="6"/>
      <c r="F1957" s="12" t="str">
        <f t="shared" si="60"/>
        <v/>
      </c>
      <c r="G1957" s="13" t="str">
        <f t="shared" si="61"/>
        <v/>
      </c>
      <c r="H1957" s="9"/>
      <c r="I1957" s="9"/>
      <c r="J1957" s="14" t="str">
        <f>IF(E1957="","",IFERROR(VLOOKUP(E1957,TabProd,5,FALSE),0)+SUMIFS($H$5:H1957,$E$5:E1957,E1957)-SUMIFS($I$5:I1957,$E$5:E1957,E1957))</f>
        <v/>
      </c>
      <c r="K1957" s="7"/>
      <c r="L1957" s="7"/>
      <c r="M1957" s="1" t="str">
        <f>IF(E1957="","",E1957&amp;"|"&amp;COUNTIF($E$5:E1957,E1957))</f>
        <v/>
      </c>
    </row>
    <row r="1958" spans="2:13" x14ac:dyDescent="0.2">
      <c r="B1958" s="10"/>
      <c r="C1958" s="7"/>
      <c r="D1958" s="11"/>
      <c r="E1958" s="6"/>
      <c r="F1958" s="12" t="str">
        <f t="shared" si="60"/>
        <v/>
      </c>
      <c r="G1958" s="13" t="str">
        <f t="shared" si="61"/>
        <v/>
      </c>
      <c r="H1958" s="9"/>
      <c r="I1958" s="9"/>
      <c r="J1958" s="14" t="str">
        <f>IF(E1958="","",IFERROR(VLOOKUP(E1958,TabProd,5,FALSE),0)+SUMIFS($H$5:H1958,$E$5:E1958,E1958)-SUMIFS($I$5:I1958,$E$5:E1958,E1958))</f>
        <v/>
      </c>
      <c r="K1958" s="7"/>
      <c r="L1958" s="7"/>
      <c r="M1958" s="1" t="str">
        <f>IF(E1958="","",E1958&amp;"|"&amp;COUNTIF($E$5:E1958,E1958))</f>
        <v/>
      </c>
    </row>
    <row r="1959" spans="2:13" x14ac:dyDescent="0.2">
      <c r="B1959" s="10"/>
      <c r="C1959" s="7"/>
      <c r="D1959" s="11"/>
      <c r="E1959" s="6"/>
      <c r="F1959" s="12" t="str">
        <f t="shared" si="60"/>
        <v/>
      </c>
      <c r="G1959" s="13" t="str">
        <f t="shared" si="61"/>
        <v/>
      </c>
      <c r="H1959" s="9"/>
      <c r="I1959" s="9"/>
      <c r="J1959" s="14" t="str">
        <f>IF(E1959="","",IFERROR(VLOOKUP(E1959,TabProd,5,FALSE),0)+SUMIFS($H$5:H1959,$E$5:E1959,E1959)-SUMIFS($I$5:I1959,$E$5:E1959,E1959))</f>
        <v/>
      </c>
      <c r="K1959" s="7"/>
      <c r="L1959" s="7"/>
      <c r="M1959" s="1" t="str">
        <f>IF(E1959="","",E1959&amp;"|"&amp;COUNTIF($E$5:E1959,E1959))</f>
        <v/>
      </c>
    </row>
    <row r="1960" spans="2:13" x14ac:dyDescent="0.2">
      <c r="B1960" s="10"/>
      <c r="C1960" s="7"/>
      <c r="D1960" s="11"/>
      <c r="E1960" s="6"/>
      <c r="F1960" s="12" t="str">
        <f t="shared" si="60"/>
        <v/>
      </c>
      <c r="G1960" s="13" t="str">
        <f t="shared" si="61"/>
        <v/>
      </c>
      <c r="H1960" s="9"/>
      <c r="I1960" s="9"/>
      <c r="J1960" s="14" t="str">
        <f>IF(E1960="","",IFERROR(VLOOKUP(E1960,TabProd,5,FALSE),0)+SUMIFS($H$5:H1960,$E$5:E1960,E1960)-SUMIFS($I$5:I1960,$E$5:E1960,E1960))</f>
        <v/>
      </c>
      <c r="K1960" s="7"/>
      <c r="L1960" s="7"/>
      <c r="M1960" s="1" t="str">
        <f>IF(E1960="","",E1960&amp;"|"&amp;COUNTIF($E$5:E1960,E1960))</f>
        <v/>
      </c>
    </row>
    <row r="1961" spans="2:13" x14ac:dyDescent="0.2">
      <c r="B1961" s="10"/>
      <c r="C1961" s="7"/>
      <c r="D1961" s="11"/>
      <c r="E1961" s="6"/>
      <c r="F1961" s="12" t="str">
        <f t="shared" si="60"/>
        <v/>
      </c>
      <c r="G1961" s="13" t="str">
        <f t="shared" si="61"/>
        <v/>
      </c>
      <c r="H1961" s="9"/>
      <c r="I1961" s="9"/>
      <c r="J1961" s="14" t="str">
        <f>IF(E1961="","",IFERROR(VLOOKUP(E1961,TabProd,5,FALSE),0)+SUMIFS($H$5:H1961,$E$5:E1961,E1961)-SUMIFS($I$5:I1961,$E$5:E1961,E1961))</f>
        <v/>
      </c>
      <c r="K1961" s="7"/>
      <c r="L1961" s="7"/>
      <c r="M1961" s="1" t="str">
        <f>IF(E1961="","",E1961&amp;"|"&amp;COUNTIF($E$5:E1961,E1961))</f>
        <v/>
      </c>
    </row>
    <row r="1962" spans="2:13" x14ac:dyDescent="0.2">
      <c r="B1962" s="10"/>
      <c r="C1962" s="7"/>
      <c r="D1962" s="11"/>
      <c r="E1962" s="6"/>
      <c r="F1962" s="12" t="str">
        <f t="shared" si="60"/>
        <v/>
      </c>
      <c r="G1962" s="13" t="str">
        <f t="shared" si="61"/>
        <v/>
      </c>
      <c r="H1962" s="9"/>
      <c r="I1962" s="9"/>
      <c r="J1962" s="14" t="str">
        <f>IF(E1962="","",IFERROR(VLOOKUP(E1962,TabProd,5,FALSE),0)+SUMIFS($H$5:H1962,$E$5:E1962,E1962)-SUMIFS($I$5:I1962,$E$5:E1962,E1962))</f>
        <v/>
      </c>
      <c r="K1962" s="7"/>
      <c r="L1962" s="7"/>
      <c r="M1962" s="1" t="str">
        <f>IF(E1962="","",E1962&amp;"|"&amp;COUNTIF($E$5:E1962,E1962))</f>
        <v/>
      </c>
    </row>
    <row r="1963" spans="2:13" x14ac:dyDescent="0.2">
      <c r="B1963" s="10"/>
      <c r="C1963" s="7"/>
      <c r="D1963" s="11"/>
      <c r="E1963" s="6"/>
      <c r="F1963" s="12" t="str">
        <f t="shared" si="60"/>
        <v/>
      </c>
      <c r="G1963" s="13" t="str">
        <f t="shared" si="61"/>
        <v/>
      </c>
      <c r="H1963" s="9"/>
      <c r="I1963" s="9"/>
      <c r="J1963" s="14" t="str">
        <f>IF(E1963="","",IFERROR(VLOOKUP(E1963,TabProd,5,FALSE),0)+SUMIFS($H$5:H1963,$E$5:E1963,E1963)-SUMIFS($I$5:I1963,$E$5:E1963,E1963))</f>
        <v/>
      </c>
      <c r="K1963" s="7"/>
      <c r="L1963" s="7"/>
      <c r="M1963" s="1" t="str">
        <f>IF(E1963="","",E1963&amp;"|"&amp;COUNTIF($E$5:E1963,E1963))</f>
        <v/>
      </c>
    </row>
    <row r="1964" spans="2:13" x14ac:dyDescent="0.2">
      <c r="B1964" s="10"/>
      <c r="C1964" s="7"/>
      <c r="D1964" s="11"/>
      <c r="E1964" s="6"/>
      <c r="F1964" s="12" t="str">
        <f t="shared" si="60"/>
        <v/>
      </c>
      <c r="G1964" s="13" t="str">
        <f t="shared" si="61"/>
        <v/>
      </c>
      <c r="H1964" s="9"/>
      <c r="I1964" s="9"/>
      <c r="J1964" s="14" t="str">
        <f>IF(E1964="","",IFERROR(VLOOKUP(E1964,TabProd,5,FALSE),0)+SUMIFS($H$5:H1964,$E$5:E1964,E1964)-SUMIFS($I$5:I1964,$E$5:E1964,E1964))</f>
        <v/>
      </c>
      <c r="K1964" s="7"/>
      <c r="L1964" s="7"/>
      <c r="M1964" s="1" t="str">
        <f>IF(E1964="","",E1964&amp;"|"&amp;COUNTIF($E$5:E1964,E1964))</f>
        <v/>
      </c>
    </row>
    <row r="1965" spans="2:13" x14ac:dyDescent="0.2">
      <c r="B1965" s="10"/>
      <c r="C1965" s="7"/>
      <c r="D1965" s="11"/>
      <c r="E1965" s="6"/>
      <c r="F1965" s="12" t="str">
        <f t="shared" si="60"/>
        <v/>
      </c>
      <c r="G1965" s="13" t="str">
        <f t="shared" si="61"/>
        <v/>
      </c>
      <c r="H1965" s="9"/>
      <c r="I1965" s="9"/>
      <c r="J1965" s="14" t="str">
        <f>IF(E1965="","",IFERROR(VLOOKUP(E1965,TabProd,5,FALSE),0)+SUMIFS($H$5:H1965,$E$5:E1965,E1965)-SUMIFS($I$5:I1965,$E$5:E1965,E1965))</f>
        <v/>
      </c>
      <c r="K1965" s="7"/>
      <c r="L1965" s="7"/>
      <c r="M1965" s="1" t="str">
        <f>IF(E1965="","",E1965&amp;"|"&amp;COUNTIF($E$5:E1965,E1965))</f>
        <v/>
      </c>
    </row>
    <row r="1966" spans="2:13" x14ac:dyDescent="0.2">
      <c r="B1966" s="10"/>
      <c r="C1966" s="7"/>
      <c r="D1966" s="11"/>
      <c r="E1966" s="6"/>
      <c r="F1966" s="12" t="str">
        <f t="shared" si="60"/>
        <v/>
      </c>
      <c r="G1966" s="13" t="str">
        <f t="shared" si="61"/>
        <v/>
      </c>
      <c r="H1966" s="9"/>
      <c r="I1966" s="9"/>
      <c r="J1966" s="14" t="str">
        <f>IF(E1966="","",IFERROR(VLOOKUP(E1966,TabProd,5,FALSE),0)+SUMIFS($H$5:H1966,$E$5:E1966,E1966)-SUMIFS($I$5:I1966,$E$5:E1966,E1966))</f>
        <v/>
      </c>
      <c r="K1966" s="7"/>
      <c r="L1966" s="7"/>
      <c r="M1966" s="1" t="str">
        <f>IF(E1966="","",E1966&amp;"|"&amp;COUNTIF($E$5:E1966,E1966))</f>
        <v/>
      </c>
    </row>
    <row r="1967" spans="2:13" x14ac:dyDescent="0.2">
      <c r="B1967" s="10"/>
      <c r="C1967" s="7"/>
      <c r="D1967" s="11"/>
      <c r="E1967" s="6"/>
      <c r="F1967" s="12" t="str">
        <f t="shared" si="60"/>
        <v/>
      </c>
      <c r="G1967" s="13" t="str">
        <f t="shared" si="61"/>
        <v/>
      </c>
      <c r="H1967" s="9"/>
      <c r="I1967" s="9"/>
      <c r="J1967" s="14" t="str">
        <f>IF(E1967="","",IFERROR(VLOOKUP(E1967,TabProd,5,FALSE),0)+SUMIFS($H$5:H1967,$E$5:E1967,E1967)-SUMIFS($I$5:I1967,$E$5:E1967,E1967))</f>
        <v/>
      </c>
      <c r="K1967" s="7"/>
      <c r="L1967" s="7"/>
      <c r="M1967" s="1" t="str">
        <f>IF(E1967="","",E1967&amp;"|"&amp;COUNTIF($E$5:E1967,E1967))</f>
        <v/>
      </c>
    </row>
    <row r="1968" spans="2:13" x14ac:dyDescent="0.2">
      <c r="B1968" s="10"/>
      <c r="C1968" s="7"/>
      <c r="D1968" s="11"/>
      <c r="E1968" s="6"/>
      <c r="F1968" s="12" t="str">
        <f t="shared" si="60"/>
        <v/>
      </c>
      <c r="G1968" s="13" t="str">
        <f t="shared" si="61"/>
        <v/>
      </c>
      <c r="H1968" s="9"/>
      <c r="I1968" s="9"/>
      <c r="J1968" s="14" t="str">
        <f>IF(E1968="","",IFERROR(VLOOKUP(E1968,TabProd,5,FALSE),0)+SUMIFS($H$5:H1968,$E$5:E1968,E1968)-SUMIFS($I$5:I1968,$E$5:E1968,E1968))</f>
        <v/>
      </c>
      <c r="K1968" s="7"/>
      <c r="L1968" s="7"/>
      <c r="M1968" s="1" t="str">
        <f>IF(E1968="","",E1968&amp;"|"&amp;COUNTIF($E$5:E1968,E1968))</f>
        <v/>
      </c>
    </row>
    <row r="1969" spans="2:13" x14ac:dyDescent="0.2">
      <c r="B1969" s="10"/>
      <c r="C1969" s="7"/>
      <c r="D1969" s="11"/>
      <c r="E1969" s="6"/>
      <c r="F1969" s="12" t="str">
        <f t="shared" si="60"/>
        <v/>
      </c>
      <c r="G1969" s="13" t="str">
        <f t="shared" si="61"/>
        <v/>
      </c>
      <c r="H1969" s="9"/>
      <c r="I1969" s="9"/>
      <c r="J1969" s="14" t="str">
        <f>IF(E1969="","",IFERROR(VLOOKUP(E1969,TabProd,5,FALSE),0)+SUMIFS($H$5:H1969,$E$5:E1969,E1969)-SUMIFS($I$5:I1969,$E$5:E1969,E1969))</f>
        <v/>
      </c>
      <c r="K1969" s="7"/>
      <c r="L1969" s="7"/>
      <c r="M1969" s="1" t="str">
        <f>IF(E1969="","",E1969&amp;"|"&amp;COUNTIF($E$5:E1969,E1969))</f>
        <v/>
      </c>
    </row>
    <row r="1970" spans="2:13" x14ac:dyDescent="0.2">
      <c r="B1970" s="10"/>
      <c r="C1970" s="7"/>
      <c r="D1970" s="11"/>
      <c r="E1970" s="6"/>
      <c r="F1970" s="12" t="str">
        <f t="shared" si="60"/>
        <v/>
      </c>
      <c r="G1970" s="13" t="str">
        <f t="shared" si="61"/>
        <v/>
      </c>
      <c r="H1970" s="9"/>
      <c r="I1970" s="9"/>
      <c r="J1970" s="14" t="str">
        <f>IF(E1970="","",IFERROR(VLOOKUP(E1970,TabProd,5,FALSE),0)+SUMIFS($H$5:H1970,$E$5:E1970,E1970)-SUMIFS($I$5:I1970,$E$5:E1970,E1970))</f>
        <v/>
      </c>
      <c r="K1970" s="7"/>
      <c r="L1970" s="7"/>
      <c r="M1970" s="1" t="str">
        <f>IF(E1970="","",E1970&amp;"|"&amp;COUNTIF($E$5:E1970,E1970))</f>
        <v/>
      </c>
    </row>
    <row r="1971" spans="2:13" x14ac:dyDescent="0.2">
      <c r="B1971" s="10"/>
      <c r="C1971" s="7"/>
      <c r="D1971" s="11"/>
      <c r="E1971" s="6"/>
      <c r="F1971" s="12" t="str">
        <f t="shared" si="60"/>
        <v/>
      </c>
      <c r="G1971" s="13" t="str">
        <f t="shared" si="61"/>
        <v/>
      </c>
      <c r="H1971" s="9"/>
      <c r="I1971" s="9"/>
      <c r="J1971" s="14" t="str">
        <f>IF(E1971="","",IFERROR(VLOOKUP(E1971,TabProd,5,FALSE),0)+SUMIFS($H$5:H1971,$E$5:E1971,E1971)-SUMIFS($I$5:I1971,$E$5:E1971,E1971))</f>
        <v/>
      </c>
      <c r="K1971" s="7"/>
      <c r="L1971" s="7"/>
      <c r="M1971" s="1" t="str">
        <f>IF(E1971="","",E1971&amp;"|"&amp;COUNTIF($E$5:E1971,E1971))</f>
        <v/>
      </c>
    </row>
    <row r="1972" spans="2:13" x14ac:dyDescent="0.2">
      <c r="B1972" s="10"/>
      <c r="C1972" s="7"/>
      <c r="D1972" s="11"/>
      <c r="E1972" s="6"/>
      <c r="F1972" s="12" t="str">
        <f t="shared" si="60"/>
        <v/>
      </c>
      <c r="G1972" s="13" t="str">
        <f t="shared" si="61"/>
        <v/>
      </c>
      <c r="H1972" s="9"/>
      <c r="I1972" s="9"/>
      <c r="J1972" s="14" t="str">
        <f>IF(E1972="","",IFERROR(VLOOKUP(E1972,TabProd,5,FALSE),0)+SUMIFS($H$5:H1972,$E$5:E1972,E1972)-SUMIFS($I$5:I1972,$E$5:E1972,E1972))</f>
        <v/>
      </c>
      <c r="K1972" s="7"/>
      <c r="L1972" s="7"/>
      <c r="M1972" s="1" t="str">
        <f>IF(E1972="","",E1972&amp;"|"&amp;COUNTIF($E$5:E1972,E1972))</f>
        <v/>
      </c>
    </row>
    <row r="1973" spans="2:13" x14ac:dyDescent="0.2">
      <c r="B1973" s="10"/>
      <c r="C1973" s="7"/>
      <c r="D1973" s="11"/>
      <c r="E1973" s="6"/>
      <c r="F1973" s="12" t="str">
        <f t="shared" si="60"/>
        <v/>
      </c>
      <c r="G1973" s="13" t="str">
        <f t="shared" si="61"/>
        <v/>
      </c>
      <c r="H1973" s="9"/>
      <c r="I1973" s="9"/>
      <c r="J1973" s="14" t="str">
        <f>IF(E1973="","",IFERROR(VLOOKUP(E1973,TabProd,5,FALSE),0)+SUMIFS($H$5:H1973,$E$5:E1973,E1973)-SUMIFS($I$5:I1973,$E$5:E1973,E1973))</f>
        <v/>
      </c>
      <c r="K1973" s="7"/>
      <c r="L1973" s="7"/>
      <c r="M1973" s="1" t="str">
        <f>IF(E1973="","",E1973&amp;"|"&amp;COUNTIF($E$5:E1973,E1973))</f>
        <v/>
      </c>
    </row>
    <row r="1974" spans="2:13" x14ac:dyDescent="0.2">
      <c r="B1974" s="10"/>
      <c r="C1974" s="7"/>
      <c r="D1974" s="11"/>
      <c r="E1974" s="6"/>
      <c r="F1974" s="12" t="str">
        <f t="shared" si="60"/>
        <v/>
      </c>
      <c r="G1974" s="13" t="str">
        <f t="shared" si="61"/>
        <v/>
      </c>
      <c r="H1974" s="9"/>
      <c r="I1974" s="9"/>
      <c r="J1974" s="14" t="str">
        <f>IF(E1974="","",IFERROR(VLOOKUP(E1974,TabProd,5,FALSE),0)+SUMIFS($H$5:H1974,$E$5:E1974,E1974)-SUMIFS($I$5:I1974,$E$5:E1974,E1974))</f>
        <v/>
      </c>
      <c r="K1974" s="7"/>
      <c r="L1974" s="7"/>
      <c r="M1974" s="1" t="str">
        <f>IF(E1974="","",E1974&amp;"|"&amp;COUNTIF($E$5:E1974,E1974))</f>
        <v/>
      </c>
    </row>
    <row r="1975" spans="2:13" x14ac:dyDescent="0.2">
      <c r="B1975" s="10"/>
      <c r="C1975" s="7"/>
      <c r="D1975" s="11"/>
      <c r="E1975" s="6"/>
      <c r="F1975" s="12" t="str">
        <f t="shared" si="60"/>
        <v/>
      </c>
      <c r="G1975" s="13" t="str">
        <f t="shared" si="61"/>
        <v/>
      </c>
      <c r="H1975" s="9"/>
      <c r="I1975" s="9"/>
      <c r="J1975" s="14" t="str">
        <f>IF(E1975="","",IFERROR(VLOOKUP(E1975,TabProd,5,FALSE),0)+SUMIFS($H$5:H1975,$E$5:E1975,E1975)-SUMIFS($I$5:I1975,$E$5:E1975,E1975))</f>
        <v/>
      </c>
      <c r="K1975" s="7"/>
      <c r="L1975" s="7"/>
      <c r="M1975" s="1" t="str">
        <f>IF(E1975="","",E1975&amp;"|"&amp;COUNTIF($E$5:E1975,E1975))</f>
        <v/>
      </c>
    </row>
    <row r="1976" spans="2:13" x14ac:dyDescent="0.2">
      <c r="B1976" s="10"/>
      <c r="C1976" s="7"/>
      <c r="D1976" s="11"/>
      <c r="E1976" s="6"/>
      <c r="F1976" s="12" t="str">
        <f t="shared" si="60"/>
        <v/>
      </c>
      <c r="G1976" s="13" t="str">
        <f t="shared" si="61"/>
        <v/>
      </c>
      <c r="H1976" s="9"/>
      <c r="I1976" s="9"/>
      <c r="J1976" s="14" t="str">
        <f>IF(E1976="","",IFERROR(VLOOKUP(E1976,TabProd,5,FALSE),0)+SUMIFS($H$5:H1976,$E$5:E1976,E1976)-SUMIFS($I$5:I1976,$E$5:E1976,E1976))</f>
        <v/>
      </c>
      <c r="K1976" s="7"/>
      <c r="L1976" s="7"/>
      <c r="M1976" s="1" t="str">
        <f>IF(E1976="","",E1976&amp;"|"&amp;COUNTIF($E$5:E1976,E1976))</f>
        <v/>
      </c>
    </row>
    <row r="1977" spans="2:13" x14ac:dyDescent="0.2">
      <c r="B1977" s="10"/>
      <c r="C1977" s="7"/>
      <c r="D1977" s="11"/>
      <c r="E1977" s="6"/>
      <c r="F1977" s="12" t="str">
        <f t="shared" si="60"/>
        <v/>
      </c>
      <c r="G1977" s="13" t="str">
        <f t="shared" si="61"/>
        <v/>
      </c>
      <c r="H1977" s="9"/>
      <c r="I1977" s="9"/>
      <c r="J1977" s="14" t="str">
        <f>IF(E1977="","",IFERROR(VLOOKUP(E1977,TabProd,5,FALSE),0)+SUMIFS($H$5:H1977,$E$5:E1977,E1977)-SUMIFS($I$5:I1977,$E$5:E1977,E1977))</f>
        <v/>
      </c>
      <c r="K1977" s="7"/>
      <c r="L1977" s="7"/>
      <c r="M1977" s="1" t="str">
        <f>IF(E1977="","",E1977&amp;"|"&amp;COUNTIF($E$5:E1977,E1977))</f>
        <v/>
      </c>
    </row>
    <row r="1978" spans="2:13" x14ac:dyDescent="0.2">
      <c r="B1978" s="10"/>
      <c r="C1978" s="7"/>
      <c r="D1978" s="11"/>
      <c r="E1978" s="6"/>
      <c r="F1978" s="12" t="str">
        <f t="shared" si="60"/>
        <v/>
      </c>
      <c r="G1978" s="13" t="str">
        <f t="shared" si="61"/>
        <v/>
      </c>
      <c r="H1978" s="9"/>
      <c r="I1978" s="9"/>
      <c r="J1978" s="14" t="str">
        <f>IF(E1978="","",IFERROR(VLOOKUP(E1978,TabProd,5,FALSE),0)+SUMIFS($H$5:H1978,$E$5:E1978,E1978)-SUMIFS($I$5:I1978,$E$5:E1978,E1978))</f>
        <v/>
      </c>
      <c r="K1978" s="7"/>
      <c r="L1978" s="7"/>
      <c r="M1978" s="1" t="str">
        <f>IF(E1978="","",E1978&amp;"|"&amp;COUNTIF($E$5:E1978,E1978))</f>
        <v/>
      </c>
    </row>
    <row r="1979" spans="2:13" x14ac:dyDescent="0.2">
      <c r="B1979" s="10"/>
      <c r="C1979" s="7"/>
      <c r="D1979" s="11"/>
      <c r="E1979" s="6"/>
      <c r="F1979" s="12" t="str">
        <f t="shared" si="60"/>
        <v/>
      </c>
      <c r="G1979" s="13" t="str">
        <f t="shared" si="61"/>
        <v/>
      </c>
      <c r="H1979" s="9"/>
      <c r="I1979" s="9"/>
      <c r="J1979" s="14" t="str">
        <f>IF(E1979="","",IFERROR(VLOOKUP(E1979,TabProd,5,FALSE),0)+SUMIFS($H$5:H1979,$E$5:E1979,E1979)-SUMIFS($I$5:I1979,$E$5:E1979,E1979))</f>
        <v/>
      </c>
      <c r="K1979" s="7"/>
      <c r="L1979" s="7"/>
      <c r="M1979" s="1" t="str">
        <f>IF(E1979="","",E1979&amp;"|"&amp;COUNTIF($E$5:E1979,E1979))</f>
        <v/>
      </c>
    </row>
    <row r="1980" spans="2:13" x14ac:dyDescent="0.2">
      <c r="B1980" s="10"/>
      <c r="C1980" s="7"/>
      <c r="D1980" s="11"/>
      <c r="E1980" s="6"/>
      <c r="F1980" s="12" t="str">
        <f t="shared" si="60"/>
        <v/>
      </c>
      <c r="G1980" s="13" t="str">
        <f t="shared" si="61"/>
        <v/>
      </c>
      <c r="H1980" s="9"/>
      <c r="I1980" s="9"/>
      <c r="J1980" s="14" t="str">
        <f>IF(E1980="","",IFERROR(VLOOKUP(E1980,TabProd,5,FALSE),0)+SUMIFS($H$5:H1980,$E$5:E1980,E1980)-SUMIFS($I$5:I1980,$E$5:E1980,E1980))</f>
        <v/>
      </c>
      <c r="K1980" s="7"/>
      <c r="L1980" s="7"/>
      <c r="M1980" s="1" t="str">
        <f>IF(E1980="","",E1980&amp;"|"&amp;COUNTIF($E$5:E1980,E1980))</f>
        <v/>
      </c>
    </row>
    <row r="1981" spans="2:13" x14ac:dyDescent="0.2">
      <c r="B1981" s="10"/>
      <c r="C1981" s="7"/>
      <c r="D1981" s="11"/>
      <c r="E1981" s="6"/>
      <c r="F1981" s="12" t="str">
        <f t="shared" si="60"/>
        <v/>
      </c>
      <c r="G1981" s="13" t="str">
        <f t="shared" si="61"/>
        <v/>
      </c>
      <c r="H1981" s="9"/>
      <c r="I1981" s="9"/>
      <c r="J1981" s="14" t="str">
        <f>IF(E1981="","",IFERROR(VLOOKUP(E1981,TabProd,5,FALSE),0)+SUMIFS($H$5:H1981,$E$5:E1981,E1981)-SUMIFS($I$5:I1981,$E$5:E1981,E1981))</f>
        <v/>
      </c>
      <c r="K1981" s="7"/>
      <c r="L1981" s="7"/>
      <c r="M1981" s="1" t="str">
        <f>IF(E1981="","",E1981&amp;"|"&amp;COUNTIF($E$5:E1981,E1981))</f>
        <v/>
      </c>
    </row>
    <row r="1982" spans="2:13" x14ac:dyDescent="0.2">
      <c r="B1982" s="10"/>
      <c r="C1982" s="7"/>
      <c r="D1982" s="11"/>
      <c r="E1982" s="6"/>
      <c r="F1982" s="12" t="str">
        <f t="shared" si="60"/>
        <v/>
      </c>
      <c r="G1982" s="13" t="str">
        <f t="shared" si="61"/>
        <v/>
      </c>
      <c r="H1982" s="9"/>
      <c r="I1982" s="9"/>
      <c r="J1982" s="14" t="str">
        <f>IF(E1982="","",IFERROR(VLOOKUP(E1982,TabProd,5,FALSE),0)+SUMIFS($H$5:H1982,$E$5:E1982,E1982)-SUMIFS($I$5:I1982,$E$5:E1982,E1982))</f>
        <v/>
      </c>
      <c r="K1982" s="7"/>
      <c r="L1982" s="7"/>
      <c r="M1982" s="1" t="str">
        <f>IF(E1982="","",E1982&amp;"|"&amp;COUNTIF($E$5:E1982,E1982))</f>
        <v/>
      </c>
    </row>
    <row r="1983" spans="2:13" x14ac:dyDescent="0.2">
      <c r="B1983" s="10"/>
      <c r="C1983" s="7"/>
      <c r="D1983" s="11"/>
      <c r="E1983" s="6"/>
      <c r="F1983" s="12" t="str">
        <f t="shared" si="60"/>
        <v/>
      </c>
      <c r="G1983" s="13" t="str">
        <f t="shared" si="61"/>
        <v/>
      </c>
      <c r="H1983" s="9"/>
      <c r="I1983" s="9"/>
      <c r="J1983" s="14" t="str">
        <f>IF(E1983="","",IFERROR(VLOOKUP(E1983,TabProd,5,FALSE),0)+SUMIFS($H$5:H1983,$E$5:E1983,E1983)-SUMIFS($I$5:I1983,$E$5:E1983,E1983))</f>
        <v/>
      </c>
      <c r="K1983" s="7"/>
      <c r="L1983" s="7"/>
      <c r="M1983" s="1" t="str">
        <f>IF(E1983="","",E1983&amp;"|"&amp;COUNTIF($E$5:E1983,E1983))</f>
        <v/>
      </c>
    </row>
    <row r="1984" spans="2:13" x14ac:dyDescent="0.2">
      <c r="B1984" s="10"/>
      <c r="C1984" s="7"/>
      <c r="D1984" s="11"/>
      <c r="E1984" s="6"/>
      <c r="F1984" s="12" t="str">
        <f t="shared" si="60"/>
        <v/>
      </c>
      <c r="G1984" s="13" t="str">
        <f t="shared" si="61"/>
        <v/>
      </c>
      <c r="H1984" s="9"/>
      <c r="I1984" s="9"/>
      <c r="J1984" s="14" t="str">
        <f>IF(E1984="","",IFERROR(VLOOKUP(E1984,TabProd,5,FALSE),0)+SUMIFS($H$5:H1984,$E$5:E1984,E1984)-SUMIFS($I$5:I1984,$E$5:E1984,E1984))</f>
        <v/>
      </c>
      <c r="K1984" s="7"/>
      <c r="L1984" s="7"/>
      <c r="M1984" s="1" t="str">
        <f>IF(E1984="","",E1984&amp;"|"&amp;COUNTIF($E$5:E1984,E1984))</f>
        <v/>
      </c>
    </row>
    <row r="1985" spans="2:13" x14ac:dyDescent="0.2">
      <c r="B1985" s="10"/>
      <c r="C1985" s="7"/>
      <c r="D1985" s="11"/>
      <c r="E1985" s="6"/>
      <c r="F1985" s="12" t="str">
        <f t="shared" si="60"/>
        <v/>
      </c>
      <c r="G1985" s="13" t="str">
        <f t="shared" si="61"/>
        <v/>
      </c>
      <c r="H1985" s="9"/>
      <c r="I1985" s="9"/>
      <c r="J1985" s="14" t="str">
        <f>IF(E1985="","",IFERROR(VLOOKUP(E1985,TabProd,5,FALSE),0)+SUMIFS($H$5:H1985,$E$5:E1985,E1985)-SUMIFS($I$5:I1985,$E$5:E1985,E1985))</f>
        <v/>
      </c>
      <c r="K1985" s="7"/>
      <c r="L1985" s="7"/>
      <c r="M1985" s="1" t="str">
        <f>IF(E1985="","",E1985&amp;"|"&amp;COUNTIF($E$5:E1985,E1985))</f>
        <v/>
      </c>
    </row>
    <row r="1986" spans="2:13" x14ac:dyDescent="0.2">
      <c r="B1986" s="10"/>
      <c r="C1986" s="7"/>
      <c r="D1986" s="11"/>
      <c r="E1986" s="6"/>
      <c r="F1986" s="12" t="str">
        <f t="shared" si="60"/>
        <v/>
      </c>
      <c r="G1986" s="13" t="str">
        <f t="shared" si="61"/>
        <v/>
      </c>
      <c r="H1986" s="9"/>
      <c r="I1986" s="9"/>
      <c r="J1986" s="14" t="str">
        <f>IF(E1986="","",IFERROR(VLOOKUP(E1986,TabProd,5,FALSE),0)+SUMIFS($H$5:H1986,$E$5:E1986,E1986)-SUMIFS($I$5:I1986,$E$5:E1986,E1986))</f>
        <v/>
      </c>
      <c r="K1986" s="7"/>
      <c r="L1986" s="7"/>
      <c r="M1986" s="1" t="str">
        <f>IF(E1986="","",E1986&amp;"|"&amp;COUNTIF($E$5:E1986,E1986))</f>
        <v/>
      </c>
    </row>
    <row r="1987" spans="2:13" x14ac:dyDescent="0.2">
      <c r="B1987" s="10"/>
      <c r="C1987" s="7"/>
      <c r="D1987" s="11"/>
      <c r="E1987" s="6"/>
      <c r="F1987" s="12" t="str">
        <f t="shared" si="60"/>
        <v/>
      </c>
      <c r="G1987" s="13" t="str">
        <f t="shared" si="61"/>
        <v/>
      </c>
      <c r="H1987" s="9"/>
      <c r="I1987" s="9"/>
      <c r="J1987" s="14" t="str">
        <f>IF(E1987="","",IFERROR(VLOOKUP(E1987,TabProd,5,FALSE),0)+SUMIFS($H$5:H1987,$E$5:E1987,E1987)-SUMIFS($I$5:I1987,$E$5:E1987,E1987))</f>
        <v/>
      </c>
      <c r="K1987" s="7"/>
      <c r="L1987" s="7"/>
      <c r="M1987" s="1" t="str">
        <f>IF(E1987="","",E1987&amp;"|"&amp;COUNTIF($E$5:E1987,E1987))</f>
        <v/>
      </c>
    </row>
    <row r="1988" spans="2:13" x14ac:dyDescent="0.2">
      <c r="B1988" s="10"/>
      <c r="C1988" s="7"/>
      <c r="D1988" s="11"/>
      <c r="E1988" s="6"/>
      <c r="F1988" s="12" t="str">
        <f t="shared" si="60"/>
        <v/>
      </c>
      <c r="G1988" s="13" t="str">
        <f t="shared" si="61"/>
        <v/>
      </c>
      <c r="H1988" s="9"/>
      <c r="I1988" s="9"/>
      <c r="J1988" s="14" t="str">
        <f>IF(E1988="","",IFERROR(VLOOKUP(E1988,TabProd,5,FALSE),0)+SUMIFS($H$5:H1988,$E$5:E1988,E1988)-SUMIFS($I$5:I1988,$E$5:E1988,E1988))</f>
        <v/>
      </c>
      <c r="K1988" s="7"/>
      <c r="L1988" s="7"/>
      <c r="M1988" s="1" t="str">
        <f>IF(E1988="","",E1988&amp;"|"&amp;COUNTIF($E$5:E1988,E1988))</f>
        <v/>
      </c>
    </row>
    <row r="1989" spans="2:13" x14ac:dyDescent="0.2">
      <c r="B1989" s="10"/>
      <c r="C1989" s="7"/>
      <c r="D1989" s="11"/>
      <c r="E1989" s="6"/>
      <c r="F1989" s="12" t="str">
        <f t="shared" ref="F1989:F2052" si="62">IF(E1989="","",IFERROR(VLOOKUP(E1989,TabProd,2,FALSE),"Cod inexistent"))</f>
        <v/>
      </c>
      <c r="G1989" s="13" t="str">
        <f t="shared" ref="G1989:G2004" si="63">IF(E1989="","",IFERROR(VLOOKUP(E1989,TabProd,3,FALSE),""))</f>
        <v/>
      </c>
      <c r="H1989" s="9"/>
      <c r="I1989" s="9"/>
      <c r="J1989" s="14" t="str">
        <f>IF(E1989="","",IFERROR(VLOOKUP(E1989,TabProd,5,FALSE),0)+SUMIFS($H$5:H1989,$E$5:E1989,E1989)-SUMIFS($I$5:I1989,$E$5:E1989,E1989))</f>
        <v/>
      </c>
      <c r="K1989" s="7"/>
      <c r="L1989" s="7"/>
      <c r="M1989" s="1" t="str">
        <f>IF(E1989="","",E1989&amp;"|"&amp;COUNTIF($E$5:E1989,E1989))</f>
        <v/>
      </c>
    </row>
    <row r="1990" spans="2:13" x14ac:dyDescent="0.2">
      <c r="B1990" s="10"/>
      <c r="C1990" s="7"/>
      <c r="D1990" s="11"/>
      <c r="E1990" s="6"/>
      <c r="F1990" s="12" t="str">
        <f t="shared" si="62"/>
        <v/>
      </c>
      <c r="G1990" s="13" t="str">
        <f t="shared" si="63"/>
        <v/>
      </c>
      <c r="H1990" s="9"/>
      <c r="I1990" s="9"/>
      <c r="J1990" s="14" t="str">
        <f>IF(E1990="","",IFERROR(VLOOKUP(E1990,TabProd,5,FALSE),0)+SUMIFS($H$5:H1990,$E$5:E1990,E1990)-SUMIFS($I$5:I1990,$E$5:E1990,E1990))</f>
        <v/>
      </c>
      <c r="K1990" s="7"/>
      <c r="L1990" s="7"/>
      <c r="M1990" s="1" t="str">
        <f>IF(E1990="","",E1990&amp;"|"&amp;COUNTIF($E$5:E1990,E1990))</f>
        <v/>
      </c>
    </row>
    <row r="1991" spans="2:13" x14ac:dyDescent="0.2">
      <c r="B1991" s="10"/>
      <c r="C1991" s="7"/>
      <c r="D1991" s="11"/>
      <c r="E1991" s="6"/>
      <c r="F1991" s="12" t="str">
        <f t="shared" si="62"/>
        <v/>
      </c>
      <c r="G1991" s="13" t="str">
        <f t="shared" si="63"/>
        <v/>
      </c>
      <c r="H1991" s="9"/>
      <c r="I1991" s="9"/>
      <c r="J1991" s="14" t="str">
        <f>IF(E1991="","",IFERROR(VLOOKUP(E1991,TabProd,5,FALSE),0)+SUMIFS($H$5:H1991,$E$5:E1991,E1991)-SUMIFS($I$5:I1991,$E$5:E1991,E1991))</f>
        <v/>
      </c>
      <c r="K1991" s="7"/>
      <c r="L1991" s="7"/>
      <c r="M1991" s="1" t="str">
        <f>IF(E1991="","",E1991&amp;"|"&amp;COUNTIF($E$5:E1991,E1991))</f>
        <v/>
      </c>
    </row>
    <row r="1992" spans="2:13" x14ac:dyDescent="0.2">
      <c r="B1992" s="10"/>
      <c r="C1992" s="7"/>
      <c r="D1992" s="11"/>
      <c r="E1992" s="6"/>
      <c r="F1992" s="12" t="str">
        <f t="shared" si="62"/>
        <v/>
      </c>
      <c r="G1992" s="13" t="str">
        <f t="shared" si="63"/>
        <v/>
      </c>
      <c r="H1992" s="9"/>
      <c r="I1992" s="9"/>
      <c r="J1992" s="14" t="str">
        <f>IF(E1992="","",IFERROR(VLOOKUP(E1992,TabProd,5,FALSE),0)+SUMIFS($H$5:H1992,$E$5:E1992,E1992)-SUMIFS($I$5:I1992,$E$5:E1992,E1992))</f>
        <v/>
      </c>
      <c r="K1992" s="7"/>
      <c r="L1992" s="7"/>
      <c r="M1992" s="1" t="str">
        <f>IF(E1992="","",E1992&amp;"|"&amp;COUNTIF($E$5:E1992,E1992))</f>
        <v/>
      </c>
    </row>
    <row r="1993" spans="2:13" x14ac:dyDescent="0.2">
      <c r="B1993" s="10"/>
      <c r="C1993" s="7"/>
      <c r="D1993" s="11"/>
      <c r="E1993" s="6"/>
      <c r="F1993" s="12" t="str">
        <f t="shared" si="62"/>
        <v/>
      </c>
      <c r="G1993" s="13" t="str">
        <f t="shared" si="63"/>
        <v/>
      </c>
      <c r="H1993" s="9"/>
      <c r="I1993" s="9"/>
      <c r="J1993" s="14" t="str">
        <f>IF(E1993="","",IFERROR(VLOOKUP(E1993,TabProd,5,FALSE),0)+SUMIFS($H$5:H1993,$E$5:E1993,E1993)-SUMIFS($I$5:I1993,$E$5:E1993,E1993))</f>
        <v/>
      </c>
      <c r="K1993" s="7"/>
      <c r="L1993" s="7"/>
      <c r="M1993" s="1" t="str">
        <f>IF(E1993="","",E1993&amp;"|"&amp;COUNTIF($E$5:E1993,E1993))</f>
        <v/>
      </c>
    </row>
    <row r="1994" spans="2:13" x14ac:dyDescent="0.2">
      <c r="B1994" s="10"/>
      <c r="C1994" s="7"/>
      <c r="D1994" s="11"/>
      <c r="E1994" s="6"/>
      <c r="F1994" s="12" t="str">
        <f t="shared" si="62"/>
        <v/>
      </c>
      <c r="G1994" s="13" t="str">
        <f t="shared" si="63"/>
        <v/>
      </c>
      <c r="H1994" s="9"/>
      <c r="I1994" s="9"/>
      <c r="J1994" s="14" t="str">
        <f>IF(E1994="","",IFERROR(VLOOKUP(E1994,TabProd,5,FALSE),0)+SUMIFS($H$5:H1994,$E$5:E1994,E1994)-SUMIFS($I$5:I1994,$E$5:E1994,E1994))</f>
        <v/>
      </c>
      <c r="K1994" s="7"/>
      <c r="L1994" s="7"/>
      <c r="M1994" s="1" t="str">
        <f>IF(E1994="","",E1994&amp;"|"&amp;COUNTIF($E$5:E1994,E1994))</f>
        <v/>
      </c>
    </row>
    <row r="1995" spans="2:13" x14ac:dyDescent="0.2">
      <c r="B1995" s="10"/>
      <c r="C1995" s="7"/>
      <c r="D1995" s="11"/>
      <c r="E1995" s="6"/>
      <c r="F1995" s="12" t="str">
        <f t="shared" si="62"/>
        <v/>
      </c>
      <c r="G1995" s="13" t="str">
        <f t="shared" si="63"/>
        <v/>
      </c>
      <c r="H1995" s="9"/>
      <c r="I1995" s="9"/>
      <c r="J1995" s="14" t="str">
        <f>IF(E1995="","",IFERROR(VLOOKUP(E1995,TabProd,5,FALSE),0)+SUMIFS($H$5:H1995,$E$5:E1995,E1995)-SUMIFS($I$5:I1995,$E$5:E1995,E1995))</f>
        <v/>
      </c>
      <c r="K1995" s="7"/>
      <c r="L1995" s="7"/>
      <c r="M1995" s="1" t="str">
        <f>IF(E1995="","",E1995&amp;"|"&amp;COUNTIF($E$5:E1995,E1995))</f>
        <v/>
      </c>
    </row>
    <row r="1996" spans="2:13" x14ac:dyDescent="0.2">
      <c r="B1996" s="10"/>
      <c r="C1996" s="7"/>
      <c r="D1996" s="11"/>
      <c r="E1996" s="6"/>
      <c r="F1996" s="12" t="str">
        <f t="shared" si="62"/>
        <v/>
      </c>
      <c r="G1996" s="13" t="str">
        <f t="shared" si="63"/>
        <v/>
      </c>
      <c r="H1996" s="9"/>
      <c r="I1996" s="9"/>
      <c r="J1996" s="14" t="str">
        <f>IF(E1996="","",IFERROR(VLOOKUP(E1996,TabProd,5,FALSE),0)+SUMIFS($H$5:H1996,$E$5:E1996,E1996)-SUMIFS($I$5:I1996,$E$5:E1996,E1996))</f>
        <v/>
      </c>
      <c r="K1996" s="7"/>
      <c r="L1996" s="7"/>
      <c r="M1996" s="1" t="str">
        <f>IF(E1996="","",E1996&amp;"|"&amp;COUNTIF($E$5:E1996,E1996))</f>
        <v/>
      </c>
    </row>
    <row r="1997" spans="2:13" x14ac:dyDescent="0.2">
      <c r="B1997" s="10"/>
      <c r="C1997" s="7"/>
      <c r="D1997" s="11"/>
      <c r="E1997" s="6"/>
      <c r="F1997" s="12" t="str">
        <f t="shared" si="62"/>
        <v/>
      </c>
      <c r="G1997" s="13" t="str">
        <f t="shared" si="63"/>
        <v/>
      </c>
      <c r="H1997" s="9"/>
      <c r="I1997" s="9"/>
      <c r="J1997" s="14" t="str">
        <f>IF(E1997="","",IFERROR(VLOOKUP(E1997,TabProd,5,FALSE),0)+SUMIFS($H$5:H1997,$E$5:E1997,E1997)-SUMIFS($I$5:I1997,$E$5:E1997,E1997))</f>
        <v/>
      </c>
      <c r="K1997" s="7"/>
      <c r="L1997" s="7"/>
      <c r="M1997" s="1" t="str">
        <f>IF(E1997="","",E1997&amp;"|"&amp;COUNTIF($E$5:E1997,E1997))</f>
        <v/>
      </c>
    </row>
    <row r="1998" spans="2:13" x14ac:dyDescent="0.2">
      <c r="B1998" s="10"/>
      <c r="C1998" s="7"/>
      <c r="D1998" s="11"/>
      <c r="E1998" s="6"/>
      <c r="F1998" s="12" t="str">
        <f t="shared" si="62"/>
        <v/>
      </c>
      <c r="G1998" s="13" t="str">
        <f t="shared" si="63"/>
        <v/>
      </c>
      <c r="H1998" s="9"/>
      <c r="I1998" s="9"/>
      <c r="J1998" s="14" t="str">
        <f>IF(E1998="","",IFERROR(VLOOKUP(E1998,TabProd,5,FALSE),0)+SUMIFS($H$5:H1998,$E$5:E1998,E1998)-SUMIFS($I$5:I1998,$E$5:E1998,E1998))</f>
        <v/>
      </c>
      <c r="K1998" s="7"/>
      <c r="L1998" s="7"/>
      <c r="M1998" s="1" t="str">
        <f>IF(E1998="","",E1998&amp;"|"&amp;COUNTIF($E$5:E1998,E1998))</f>
        <v/>
      </c>
    </row>
    <row r="1999" spans="2:13" x14ac:dyDescent="0.2">
      <c r="B1999" s="10"/>
      <c r="C1999" s="7"/>
      <c r="D1999" s="11"/>
      <c r="E1999" s="6"/>
      <c r="F1999" s="12" t="str">
        <f t="shared" si="62"/>
        <v/>
      </c>
      <c r="G1999" s="13" t="str">
        <f t="shared" si="63"/>
        <v/>
      </c>
      <c r="H1999" s="9"/>
      <c r="I1999" s="9"/>
      <c r="J1999" s="14" t="str">
        <f>IF(E1999="","",IFERROR(VLOOKUP(E1999,TabProd,5,FALSE),0)+SUMIFS($H$5:H1999,$E$5:E1999,E1999)-SUMIFS($I$5:I1999,$E$5:E1999,E1999))</f>
        <v/>
      </c>
      <c r="K1999" s="7"/>
      <c r="L1999" s="7"/>
      <c r="M1999" s="1" t="str">
        <f>IF(E1999="","",E1999&amp;"|"&amp;COUNTIF($E$5:E1999,E1999))</f>
        <v/>
      </c>
    </row>
    <row r="2000" spans="2:13" x14ac:dyDescent="0.2">
      <c r="B2000" s="10"/>
      <c r="C2000" s="7"/>
      <c r="D2000" s="11"/>
      <c r="E2000" s="6"/>
      <c r="F2000" s="12" t="str">
        <f t="shared" si="62"/>
        <v/>
      </c>
      <c r="G2000" s="13" t="str">
        <f t="shared" si="63"/>
        <v/>
      </c>
      <c r="H2000" s="9"/>
      <c r="I2000" s="9"/>
      <c r="J2000" s="14" t="str">
        <f>IF(E2000="","",IFERROR(VLOOKUP(E2000,TabProd,5,FALSE),0)+SUMIFS($H$5:H2000,$E$5:E2000,E2000)-SUMIFS($I$5:I2000,$E$5:E2000,E2000))</f>
        <v/>
      </c>
      <c r="K2000" s="7"/>
      <c r="L2000" s="7"/>
      <c r="M2000" s="1" t="str">
        <f>IF(E2000="","",E2000&amp;"|"&amp;COUNTIF($E$5:E2000,E2000))</f>
        <v/>
      </c>
    </row>
    <row r="2001" spans="2:13" x14ac:dyDescent="0.2">
      <c r="B2001" s="10"/>
      <c r="C2001" s="7"/>
      <c r="D2001" s="11"/>
      <c r="E2001" s="6"/>
      <c r="F2001" s="12" t="str">
        <f t="shared" si="62"/>
        <v/>
      </c>
      <c r="G2001" s="13" t="str">
        <f t="shared" si="63"/>
        <v/>
      </c>
      <c r="H2001" s="9"/>
      <c r="I2001" s="9"/>
      <c r="J2001" s="14" t="str">
        <f>IF(E2001="","",IFERROR(VLOOKUP(E2001,TabProd,5,FALSE),0)+SUMIFS($H$5:H2001,$E$5:E2001,E2001)-SUMIFS($I$5:I2001,$E$5:E2001,E2001))</f>
        <v/>
      </c>
      <c r="K2001" s="7"/>
      <c r="L2001" s="7"/>
      <c r="M2001" s="1" t="str">
        <f>IF(E2001="","",E2001&amp;"|"&amp;COUNTIF($E$5:E2001,E2001))</f>
        <v/>
      </c>
    </row>
    <row r="2002" spans="2:13" x14ac:dyDescent="0.2">
      <c r="B2002" s="10"/>
      <c r="C2002" s="7"/>
      <c r="D2002" s="11"/>
      <c r="E2002" s="6"/>
      <c r="F2002" s="12" t="str">
        <f t="shared" si="62"/>
        <v/>
      </c>
      <c r="G2002" s="13" t="str">
        <f t="shared" si="63"/>
        <v/>
      </c>
      <c r="H2002" s="9"/>
      <c r="I2002" s="9"/>
      <c r="J2002" s="14" t="str">
        <f>IF(E2002="","",IFERROR(VLOOKUP(E2002,TabProd,5,FALSE),0)+SUMIFS($H$5:H2002,$E$5:E2002,E2002)-SUMIFS($I$5:I2002,$E$5:E2002,E2002))</f>
        <v/>
      </c>
      <c r="K2002" s="7"/>
      <c r="L2002" s="7"/>
      <c r="M2002" s="1" t="str">
        <f>IF(E2002="","",E2002&amp;"|"&amp;COUNTIF($E$5:E2002,E2002))</f>
        <v/>
      </c>
    </row>
    <row r="2003" spans="2:13" x14ac:dyDescent="0.2">
      <c r="B2003" s="10"/>
      <c r="C2003" s="7"/>
      <c r="D2003" s="11"/>
      <c r="E2003" s="6"/>
      <c r="F2003" s="12" t="str">
        <f t="shared" si="62"/>
        <v/>
      </c>
      <c r="G2003" s="13" t="str">
        <f t="shared" si="63"/>
        <v/>
      </c>
      <c r="H2003" s="9"/>
      <c r="I2003" s="9"/>
      <c r="J2003" s="14" t="str">
        <f>IF(E2003="","",IFERROR(VLOOKUP(E2003,TabProd,5,FALSE),0)+SUMIFS($H$5:H2003,$E$5:E2003,E2003)-SUMIFS($I$5:I2003,$E$5:E2003,E2003))</f>
        <v/>
      </c>
      <c r="K2003" s="7"/>
      <c r="L2003" s="7"/>
      <c r="M2003" s="1" t="str">
        <f>IF(E2003="","",E2003&amp;"|"&amp;COUNTIF($E$5:E2003,E2003))</f>
        <v/>
      </c>
    </row>
    <row r="2004" spans="2:13" x14ac:dyDescent="0.2">
      <c r="B2004" s="10"/>
      <c r="C2004" s="7"/>
      <c r="D2004" s="11"/>
      <c r="E2004" s="6"/>
      <c r="F2004" s="12" t="str">
        <f t="shared" si="62"/>
        <v/>
      </c>
      <c r="G2004" s="13" t="str">
        <f t="shared" si="63"/>
        <v/>
      </c>
      <c r="H2004" s="9"/>
      <c r="I2004" s="9"/>
      <c r="J2004" s="14" t="str">
        <f>IF(E2004="","",IFERROR(VLOOKUP(E2004,TabProd,5,FALSE),0)+SUMIFS($H$5:H2004,$E$5:E2004,E2004)-SUMIFS($I$5:I2004,$E$5:E2004,E2004))</f>
        <v/>
      </c>
      <c r="K2004" s="7"/>
      <c r="L2004" s="7"/>
      <c r="M2004" s="1" t="str">
        <f>IF(E2004="","",E2004&amp;"|"&amp;COUNTIF($E$5:E2004,E2004))</f>
        <v/>
      </c>
    </row>
  </sheetData>
  <conditionalFormatting sqref="B5:L2004">
    <cfRule type="expression" dxfId="5" priority="3" stopIfTrue="1">
      <formula>AND($E5&lt;&gt;"",OR($B5="",$C5="",$K5="",AND(N($H5)=0,N($I5)=0),AND(N($H5)&gt;0,N($I5)&gt;0)))</formula>
    </cfRule>
  </conditionalFormatting>
  <conditionalFormatting sqref="F5:F2004">
    <cfRule type="expression" dxfId="4" priority="2" stopIfTrue="1">
      <formula>F5="Cod inexistent"</formula>
    </cfRule>
  </conditionalFormatting>
  <conditionalFormatting sqref="J5:J2004">
    <cfRule type="expression" dxfId="3" priority="1" stopIfTrue="1">
      <formula>AND($E5&lt;&gt;"",N($J5)&lt;0)</formula>
    </cfRule>
  </conditionalFormatting>
  <dataValidations count="2">
    <dataValidation type="list" allowBlank="1" showInputMessage="1" showErrorMessage="1" sqref="C5:C2004" xr:uid="{2CE0ECDE-07B1-4E91-A6FC-1D372A241D7A}">
      <formula1>TipDoc</formula1>
    </dataValidation>
    <dataValidation type="list" allowBlank="1" showInputMessage="1" showErrorMessage="1" sqref="E5:E2004" xr:uid="{1C61D3E8-C5C9-452D-861A-DA4ADAEC76FF}">
      <formula1>CodProd</formula1>
    </dataValidation>
  </dataValidations>
  <pageMargins left="0.7" right="0.7" top="0.75" bottom="0.75" header="0.3" footer="0.3"/>
  <pageSetup scale="64" fitToHeight="0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EEA5D-51A0-498F-A679-989D5FDFA1BC}">
  <sheetPr>
    <pageSetUpPr fitToPage="1"/>
  </sheetPr>
  <dimension ref="B1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7.7109375" style="1" customWidth="1"/>
    <col min="3" max="3" width="32.7109375" style="1" customWidth="1"/>
    <col min="4" max="4" width="6.7109375" style="1" customWidth="1"/>
    <col min="5" max="9" width="9.7109375" style="1" customWidth="1"/>
    <col min="10" max="10" width="13.7109375" style="1" customWidth="1"/>
    <col min="11" max="11" width="11.7109375" style="1" customWidth="1"/>
    <col min="12" max="12" width="9.7109375" style="1" customWidth="1"/>
    <col min="13" max="13" width="22.7109375" style="1" customWidth="1"/>
    <col min="14" max="14" width="0" style="1" hidden="1" customWidth="1"/>
    <col min="15" max="16384" width="11.42578125" style="1"/>
  </cols>
  <sheetData>
    <row r="1" spans="2:14" ht="21" x14ac:dyDescent="0.35">
      <c r="B1" s="2" t="s">
        <v>85</v>
      </c>
    </row>
    <row r="2" spans="2:14" x14ac:dyDescent="0.2">
      <c r="B2" s="3" t="s">
        <v>86</v>
      </c>
    </row>
    <row r="4" spans="2:14" ht="30" customHeight="1" x14ac:dyDescent="0.2">
      <c r="B4" s="5" t="s">
        <v>2</v>
      </c>
      <c r="C4" s="5" t="s">
        <v>38</v>
      </c>
      <c r="D4" s="5" t="s">
        <v>4</v>
      </c>
      <c r="E4" s="5" t="s">
        <v>6</v>
      </c>
      <c r="F4" s="5" t="s">
        <v>87</v>
      </c>
      <c r="G4" s="5" t="s">
        <v>88</v>
      </c>
      <c r="H4" s="5" t="s">
        <v>89</v>
      </c>
      <c r="I4" s="5" t="s">
        <v>7</v>
      </c>
      <c r="J4" s="5" t="s">
        <v>90</v>
      </c>
      <c r="K4" s="5" t="s">
        <v>91</v>
      </c>
      <c r="L4" s="5" t="s">
        <v>92</v>
      </c>
      <c r="M4" s="5" t="s">
        <v>93</v>
      </c>
    </row>
    <row r="5" spans="2:14" x14ac:dyDescent="0.2">
      <c r="B5" s="13" t="str">
        <f>IF(Produse!$B$5="","",Produse!$B$5)</f>
        <v>P01</v>
      </c>
      <c r="C5" s="12" t="str">
        <f>IF($B5="","",Produse!$C$5)</f>
        <v>Cablu electric CYY-F 3×2,5 mm²</v>
      </c>
      <c r="D5" s="13" t="str">
        <f>IF($B5="","",Produse!$D$5)</f>
        <v>m</v>
      </c>
      <c r="E5" s="24">
        <f>IF($B5="","",N(Produse!$F$5))</f>
        <v>400</v>
      </c>
      <c r="F5" s="24">
        <f>IF($B5="","",SUMIFS(Mișcări!$H$5:$H$2004,Mișcări!$E$5:$E$2004,$B5))</f>
        <v>515</v>
      </c>
      <c r="G5" s="24">
        <f>IF($B5="","",SUMIFS(Mișcări!$I$5:$I$2004,Mișcări!$E$5:$E$2004,$B5))</f>
        <v>648</v>
      </c>
      <c r="H5" s="14">
        <f t="shared" ref="H5:H36" si="0">IF($B5="","",E5+F5-G5)</f>
        <v>267</v>
      </c>
      <c r="I5" s="24">
        <f>IF($B5="","",N(Produse!$G$5))</f>
        <v>150</v>
      </c>
      <c r="J5" s="28">
        <f>IF($B5="","",H5*N(Produse!$E$5))</f>
        <v>2082.6</v>
      </c>
      <c r="K5" s="13" t="str">
        <f t="shared" ref="K5:K36" si="1">IF(N(N5)=0,"",RIGHT("0"&amp;DAY(N5),2)&amp;"."&amp;RIGHT("0"&amp;MONTH(N5),2)&amp;"."&amp;YEAR(N5))</f>
        <v>30.10.2026</v>
      </c>
      <c r="L5" s="13">
        <f>IF($B5="","",COUNTIF(Mișcări!$E$5:$E$2004,$B5))</f>
        <v>9</v>
      </c>
      <c r="M5" s="12" t="str">
        <f t="shared" ref="M5:M36" si="2">IF($B5="","",IF(H5&lt;0,"Stoc negativ",IF(H5&lt;I5,"Sub stoc minim – comandă","OK")))</f>
        <v>OK</v>
      </c>
      <c r="N5" s="1">
        <f>IF($B5="","",IFERROR(_xlfn.AGGREGATE(14,6,Mișcări!$B$5:$B$2004/(Mișcări!$E$5:$E$2004=$B5),1),""))</f>
        <v>46325</v>
      </c>
    </row>
    <row r="6" spans="2:14" x14ac:dyDescent="0.2">
      <c r="B6" s="13" t="str">
        <f>IF(Produse!$B$6="","",Produse!$B$6)</f>
        <v>P02</v>
      </c>
      <c r="C6" s="12" t="str">
        <f>IF($B6="","",Produse!$C$6)</f>
        <v>Tub PVC 32 mm (bară 3 m)</v>
      </c>
      <c r="D6" s="13" t="str">
        <f>IF($B6="","",Produse!$D$6)</f>
        <v>buc</v>
      </c>
      <c r="E6" s="24">
        <f>IF($B6="","",N(Produse!$F$6))</f>
        <v>120</v>
      </c>
      <c r="F6" s="24">
        <f>IF($B6="","",SUMIFS(Mișcări!$H$5:$H$2004,Mișcări!$E$5:$E$2004,$B6))</f>
        <v>60</v>
      </c>
      <c r="G6" s="24">
        <f>IF($B6="","",SUMIFS(Mișcări!$I$5:$I$2004,Mișcări!$E$5:$E$2004,$B6))</f>
        <v>95</v>
      </c>
      <c r="H6" s="14">
        <f t="shared" si="0"/>
        <v>85</v>
      </c>
      <c r="I6" s="24">
        <f>IF($B6="","",N(Produse!$G$6))</f>
        <v>40</v>
      </c>
      <c r="J6" s="28">
        <f>IF($B6="","",H6*N(Produse!$E$6))</f>
        <v>1062.5</v>
      </c>
      <c r="K6" s="13" t="str">
        <f t="shared" si="1"/>
        <v>22.10.2026</v>
      </c>
      <c r="L6" s="13">
        <f>IF($B6="","",COUNTIF(Mișcări!$E$5:$E$2004,$B6))</f>
        <v>3</v>
      </c>
      <c r="M6" s="12" t="str">
        <f t="shared" si="2"/>
        <v>OK</v>
      </c>
      <c r="N6" s="1">
        <f>IF($B6="","",IFERROR(_xlfn.AGGREGATE(14,6,Mișcări!$B$5:$B$2004/(Mișcări!$E$5:$E$2004=$B6),1),""))</f>
        <v>46317</v>
      </c>
    </row>
    <row r="7" spans="2:14" x14ac:dyDescent="0.2">
      <c r="B7" s="13" t="str">
        <f>IF(Produse!$B$7="","",Produse!$B$7)</f>
        <v>P03</v>
      </c>
      <c r="C7" s="12" t="str">
        <f>IF($B7="","",Produse!$C$7)</f>
        <v>Doză aparent IP65</v>
      </c>
      <c r="D7" s="13" t="str">
        <f>IF($B7="","",Produse!$D$7)</f>
        <v>buc</v>
      </c>
      <c r="E7" s="24">
        <f>IF($B7="","",N(Produse!$F$7))</f>
        <v>60</v>
      </c>
      <c r="F7" s="24">
        <f>IF($B7="","",SUMIFS(Mișcări!$H$5:$H$2004,Mișcări!$E$5:$E$2004,$B7))</f>
        <v>50</v>
      </c>
      <c r="G7" s="24">
        <f>IF($B7="","",SUMIFS(Mișcări!$I$5:$I$2004,Mișcări!$E$5:$E$2004,$B7))</f>
        <v>18</v>
      </c>
      <c r="H7" s="14">
        <f t="shared" si="0"/>
        <v>92</v>
      </c>
      <c r="I7" s="24">
        <f>IF($B7="","",N(Produse!$G$7))</f>
        <v>30</v>
      </c>
      <c r="J7" s="28">
        <f>IF($B7="","",H7*N(Produse!$E$7))</f>
        <v>846.4</v>
      </c>
      <c r="K7" s="13" t="str">
        <f t="shared" si="1"/>
        <v>12.10.2026</v>
      </c>
      <c r="L7" s="13">
        <f>IF($B7="","",COUNTIF(Mișcări!$E$5:$E$2004,$B7))</f>
        <v>2</v>
      </c>
      <c r="M7" s="12" t="str">
        <f t="shared" si="2"/>
        <v>OK</v>
      </c>
      <c r="N7" s="1">
        <f>IF($B7="","",IFERROR(_xlfn.AGGREGATE(14,6,Mișcări!$B$5:$B$2004/(Mișcări!$E$5:$E$2004=$B7),1),""))</f>
        <v>46307</v>
      </c>
    </row>
    <row r="8" spans="2:14" x14ac:dyDescent="0.2">
      <c r="B8" s="13" t="str">
        <f>IF(Produse!$B$8="","",Produse!$B$8)</f>
        <v>P04</v>
      </c>
      <c r="C8" s="12" t="str">
        <f>IF($B8="","",Produse!$C$8)</f>
        <v>Siguranță automată 16 A</v>
      </c>
      <c r="D8" s="13" t="str">
        <f>IF($B8="","",Produse!$D$8)</f>
        <v>buc</v>
      </c>
      <c r="E8" s="24">
        <f>IF($B8="","",N(Produse!$F$8))</f>
        <v>35</v>
      </c>
      <c r="F8" s="24">
        <f>IF($B8="","",SUMIFS(Mișcări!$H$5:$H$2004,Mișcări!$E$5:$E$2004,$B8))</f>
        <v>0</v>
      </c>
      <c r="G8" s="24">
        <f>IF($B8="","",SUMIFS(Mișcări!$I$5:$I$2004,Mișcări!$E$5:$E$2004,$B8))</f>
        <v>20</v>
      </c>
      <c r="H8" s="14">
        <f t="shared" si="0"/>
        <v>15</v>
      </c>
      <c r="I8" s="24">
        <f>IF($B8="","",N(Produse!$G$8))</f>
        <v>20</v>
      </c>
      <c r="J8" s="28">
        <f>IF($B8="","",H8*N(Produse!$E$8))</f>
        <v>360</v>
      </c>
      <c r="K8" s="13" t="str">
        <f t="shared" si="1"/>
        <v>15.10.2026</v>
      </c>
      <c r="L8" s="13">
        <f>IF($B8="","",COUNTIF(Mișcări!$E$5:$E$2004,$B8))</f>
        <v>2</v>
      </c>
      <c r="M8" s="12" t="str">
        <f t="shared" si="2"/>
        <v>Sub stoc minim – comandă</v>
      </c>
      <c r="N8" s="1">
        <f>IF($B8="","",IFERROR(_xlfn.AGGREGATE(14,6,Mișcări!$B$5:$B$2004/(Mișcări!$E$5:$E$2004=$B8),1),""))</f>
        <v>46310</v>
      </c>
    </row>
    <row r="9" spans="2:14" x14ac:dyDescent="0.2">
      <c r="B9" s="13" t="str">
        <f>IF(Produse!$B$9="","",Produse!$B$9)</f>
        <v>P05</v>
      </c>
      <c r="C9" s="12" t="str">
        <f>IF($B9="","",Produse!$C$9)</f>
        <v>Bandă izolatoare</v>
      </c>
      <c r="D9" s="13" t="str">
        <f>IF($B9="","",Produse!$D$9)</f>
        <v>rolă</v>
      </c>
      <c r="E9" s="24">
        <f>IF($B9="","",N(Produse!$F$9))</f>
        <v>80</v>
      </c>
      <c r="F9" s="24">
        <f>IF($B9="","",SUMIFS(Mișcări!$H$5:$H$2004,Mișcări!$E$5:$E$2004,$B9))</f>
        <v>0</v>
      </c>
      <c r="G9" s="24">
        <f>IF($B9="","",SUMIFS(Mișcări!$I$5:$I$2004,Mișcări!$E$5:$E$2004,$B9))</f>
        <v>55</v>
      </c>
      <c r="H9" s="14">
        <f t="shared" si="0"/>
        <v>25</v>
      </c>
      <c r="I9" s="24">
        <f>IF($B9="","",N(Produse!$G$9))</f>
        <v>25</v>
      </c>
      <c r="J9" s="28">
        <f>IF($B9="","",H9*N(Produse!$E$9))</f>
        <v>112.5</v>
      </c>
      <c r="K9" s="13" t="str">
        <f t="shared" si="1"/>
        <v>20.10.2026</v>
      </c>
      <c r="L9" s="13">
        <f>IF($B9="","",COUNTIF(Mișcări!$E$5:$E$2004,$B9))</f>
        <v>2</v>
      </c>
      <c r="M9" s="12" t="str">
        <f t="shared" si="2"/>
        <v>OK</v>
      </c>
      <c r="N9" s="1">
        <f>IF($B9="","",IFERROR(_xlfn.AGGREGATE(14,6,Mișcări!$B$5:$B$2004/(Mișcări!$E$5:$E$2004=$B9),1),""))</f>
        <v>46315</v>
      </c>
    </row>
    <row r="10" spans="2:14" x14ac:dyDescent="0.2">
      <c r="B10" s="13" t="str">
        <f>IF(Produse!$B$10="","",Produse!$B$10)</f>
        <v>P06</v>
      </c>
      <c r="C10" s="12" t="str">
        <f>IF($B10="","",Produse!$C$10)</f>
        <v>Priză dublă aparentă</v>
      </c>
      <c r="D10" s="13" t="str">
        <f>IF($B10="","",Produse!$D$10)</f>
        <v>buc</v>
      </c>
      <c r="E10" s="24">
        <f>IF($B10="","",N(Produse!$F$10))</f>
        <v>25</v>
      </c>
      <c r="F10" s="24">
        <f>IF($B10="","",SUMIFS(Mișcări!$H$5:$H$2004,Mișcări!$E$5:$E$2004,$B10))</f>
        <v>0</v>
      </c>
      <c r="G10" s="24">
        <f>IF($B10="","",SUMIFS(Mișcări!$I$5:$I$2004,Mișcări!$E$5:$E$2004,$B10))</f>
        <v>14</v>
      </c>
      <c r="H10" s="14">
        <f t="shared" si="0"/>
        <v>11</v>
      </c>
      <c r="I10" s="24">
        <f>IF($B10="","",N(Produse!$G$10))</f>
        <v>15</v>
      </c>
      <c r="J10" s="28">
        <f>IF($B10="","",H10*N(Produse!$E$10))</f>
        <v>207.89999999999998</v>
      </c>
      <c r="K10" s="13" t="str">
        <f t="shared" si="1"/>
        <v>13.10.2026</v>
      </c>
      <c r="L10" s="13">
        <f>IF($B10="","",COUNTIF(Mișcări!$E$5:$E$2004,$B10))</f>
        <v>1</v>
      </c>
      <c r="M10" s="12" t="str">
        <f t="shared" si="2"/>
        <v>Sub stoc minim – comandă</v>
      </c>
      <c r="N10" s="1">
        <f>IF($B10="","",IFERROR(_xlfn.AGGREGATE(14,6,Mișcări!$B$5:$B$2004/(Mișcări!$E$5:$E$2004=$B10),1),""))</f>
        <v>46308</v>
      </c>
    </row>
    <row r="11" spans="2:14" x14ac:dyDescent="0.2">
      <c r="B11" s="13" t="str">
        <f>IF(Produse!$B$11="","",Produse!$B$11)</f>
        <v/>
      </c>
      <c r="C11" s="12" t="str">
        <f>IF($B11="","",Produse!$C$11)</f>
        <v/>
      </c>
      <c r="D11" s="13" t="str">
        <f>IF($B11="","",Produse!$D$11)</f>
        <v/>
      </c>
      <c r="E11" s="24" t="str">
        <f>IF($B11="","",N(Produse!$F$11))</f>
        <v/>
      </c>
      <c r="F11" s="24" t="str">
        <f>IF($B11="","",SUMIFS(Mișcări!$H$5:$H$2004,Mișcări!$E$5:$E$2004,$B11))</f>
        <v/>
      </c>
      <c r="G11" s="24" t="str">
        <f>IF($B11="","",SUMIFS(Mișcări!$I$5:$I$2004,Mișcări!$E$5:$E$2004,$B11))</f>
        <v/>
      </c>
      <c r="H11" s="14" t="str">
        <f t="shared" si="0"/>
        <v/>
      </c>
      <c r="I11" s="24" t="str">
        <f>IF($B11="","",N(Produse!$G$11))</f>
        <v/>
      </c>
      <c r="J11" s="28" t="str">
        <f>IF($B11="","",H11*N(Produse!$E$11))</f>
        <v/>
      </c>
      <c r="K11" s="13" t="str">
        <f t="shared" si="1"/>
        <v/>
      </c>
      <c r="L11" s="13" t="str">
        <f>IF($B11="","",COUNTIF(Mișcări!$E$5:$E$2004,$B11))</f>
        <v/>
      </c>
      <c r="M11" s="12" t="str">
        <f t="shared" si="2"/>
        <v/>
      </c>
      <c r="N11" s="1" t="str">
        <f>IF($B11="","",IFERROR(_xlfn.AGGREGATE(14,6,Mișcări!$B$5:$B$2004/(Mișcări!$E$5:$E$2004=$B11),1),""))</f>
        <v/>
      </c>
    </row>
    <row r="12" spans="2:14" x14ac:dyDescent="0.2">
      <c r="B12" s="13" t="str">
        <f>IF(Produse!$B$12="","",Produse!$B$12)</f>
        <v/>
      </c>
      <c r="C12" s="12" t="str">
        <f>IF($B12="","",Produse!$C$12)</f>
        <v/>
      </c>
      <c r="D12" s="13" t="str">
        <f>IF($B12="","",Produse!$D$12)</f>
        <v/>
      </c>
      <c r="E12" s="24" t="str">
        <f>IF($B12="","",N(Produse!$F$12))</f>
        <v/>
      </c>
      <c r="F12" s="24" t="str">
        <f>IF($B12="","",SUMIFS(Mișcări!$H$5:$H$2004,Mișcări!$E$5:$E$2004,$B12))</f>
        <v/>
      </c>
      <c r="G12" s="24" t="str">
        <f>IF($B12="","",SUMIFS(Mișcări!$I$5:$I$2004,Mișcări!$E$5:$E$2004,$B12))</f>
        <v/>
      </c>
      <c r="H12" s="14" t="str">
        <f t="shared" si="0"/>
        <v/>
      </c>
      <c r="I12" s="24" t="str">
        <f>IF($B12="","",N(Produse!$G$12))</f>
        <v/>
      </c>
      <c r="J12" s="28" t="str">
        <f>IF($B12="","",H12*N(Produse!$E$12))</f>
        <v/>
      </c>
      <c r="K12" s="13" t="str">
        <f t="shared" si="1"/>
        <v/>
      </c>
      <c r="L12" s="13" t="str">
        <f>IF($B12="","",COUNTIF(Mișcări!$E$5:$E$2004,$B12))</f>
        <v/>
      </c>
      <c r="M12" s="12" t="str">
        <f t="shared" si="2"/>
        <v/>
      </c>
      <c r="N12" s="1" t="str">
        <f>IF($B12="","",IFERROR(_xlfn.AGGREGATE(14,6,Mișcări!$B$5:$B$2004/(Mișcări!$E$5:$E$2004=$B12),1),""))</f>
        <v/>
      </c>
    </row>
    <row r="13" spans="2:14" x14ac:dyDescent="0.2">
      <c r="B13" s="13" t="str">
        <f>IF(Produse!$B$13="","",Produse!$B$13)</f>
        <v/>
      </c>
      <c r="C13" s="12" t="str">
        <f>IF($B13="","",Produse!$C$13)</f>
        <v/>
      </c>
      <c r="D13" s="13" t="str">
        <f>IF($B13="","",Produse!$D$13)</f>
        <v/>
      </c>
      <c r="E13" s="24" t="str">
        <f>IF($B13="","",N(Produse!$F$13))</f>
        <v/>
      </c>
      <c r="F13" s="24" t="str">
        <f>IF($B13="","",SUMIFS(Mișcări!$H$5:$H$2004,Mișcări!$E$5:$E$2004,$B13))</f>
        <v/>
      </c>
      <c r="G13" s="24" t="str">
        <f>IF($B13="","",SUMIFS(Mișcări!$I$5:$I$2004,Mișcări!$E$5:$E$2004,$B13))</f>
        <v/>
      </c>
      <c r="H13" s="14" t="str">
        <f t="shared" si="0"/>
        <v/>
      </c>
      <c r="I13" s="24" t="str">
        <f>IF($B13="","",N(Produse!$G$13))</f>
        <v/>
      </c>
      <c r="J13" s="28" t="str">
        <f>IF($B13="","",H13*N(Produse!$E$13))</f>
        <v/>
      </c>
      <c r="K13" s="13" t="str">
        <f t="shared" si="1"/>
        <v/>
      </c>
      <c r="L13" s="13" t="str">
        <f>IF($B13="","",COUNTIF(Mișcări!$E$5:$E$2004,$B13))</f>
        <v/>
      </c>
      <c r="M13" s="12" t="str">
        <f t="shared" si="2"/>
        <v/>
      </c>
      <c r="N13" s="1" t="str">
        <f>IF($B13="","",IFERROR(_xlfn.AGGREGATE(14,6,Mișcări!$B$5:$B$2004/(Mișcări!$E$5:$E$2004=$B13),1),""))</f>
        <v/>
      </c>
    </row>
    <row r="14" spans="2:14" x14ac:dyDescent="0.2">
      <c r="B14" s="13" t="str">
        <f>IF(Produse!$B$14="","",Produse!$B$14)</f>
        <v/>
      </c>
      <c r="C14" s="12" t="str">
        <f>IF($B14="","",Produse!$C$14)</f>
        <v/>
      </c>
      <c r="D14" s="13" t="str">
        <f>IF($B14="","",Produse!$D$14)</f>
        <v/>
      </c>
      <c r="E14" s="24" t="str">
        <f>IF($B14="","",N(Produse!$F$14))</f>
        <v/>
      </c>
      <c r="F14" s="24" t="str">
        <f>IF($B14="","",SUMIFS(Mișcări!$H$5:$H$2004,Mișcări!$E$5:$E$2004,$B14))</f>
        <v/>
      </c>
      <c r="G14" s="24" t="str">
        <f>IF($B14="","",SUMIFS(Mișcări!$I$5:$I$2004,Mișcări!$E$5:$E$2004,$B14))</f>
        <v/>
      </c>
      <c r="H14" s="14" t="str">
        <f t="shared" si="0"/>
        <v/>
      </c>
      <c r="I14" s="24" t="str">
        <f>IF($B14="","",N(Produse!$G$14))</f>
        <v/>
      </c>
      <c r="J14" s="28" t="str">
        <f>IF($B14="","",H14*N(Produse!$E$14))</f>
        <v/>
      </c>
      <c r="K14" s="13" t="str">
        <f t="shared" si="1"/>
        <v/>
      </c>
      <c r="L14" s="13" t="str">
        <f>IF($B14="","",COUNTIF(Mișcări!$E$5:$E$2004,$B14))</f>
        <v/>
      </c>
      <c r="M14" s="12" t="str">
        <f t="shared" si="2"/>
        <v/>
      </c>
      <c r="N14" s="1" t="str">
        <f>IF($B14="","",IFERROR(_xlfn.AGGREGATE(14,6,Mișcări!$B$5:$B$2004/(Mișcări!$E$5:$E$2004=$B14),1),""))</f>
        <v/>
      </c>
    </row>
    <row r="15" spans="2:14" x14ac:dyDescent="0.2">
      <c r="B15" s="13" t="str">
        <f>IF(Produse!$B$15="","",Produse!$B$15)</f>
        <v/>
      </c>
      <c r="C15" s="12" t="str">
        <f>IF($B15="","",Produse!$C$15)</f>
        <v/>
      </c>
      <c r="D15" s="13" t="str">
        <f>IF($B15="","",Produse!$D$15)</f>
        <v/>
      </c>
      <c r="E15" s="24" t="str">
        <f>IF($B15="","",N(Produse!$F$15))</f>
        <v/>
      </c>
      <c r="F15" s="24" t="str">
        <f>IF($B15="","",SUMIFS(Mișcări!$H$5:$H$2004,Mișcări!$E$5:$E$2004,$B15))</f>
        <v/>
      </c>
      <c r="G15" s="24" t="str">
        <f>IF($B15="","",SUMIFS(Mișcări!$I$5:$I$2004,Mișcări!$E$5:$E$2004,$B15))</f>
        <v/>
      </c>
      <c r="H15" s="14" t="str">
        <f t="shared" si="0"/>
        <v/>
      </c>
      <c r="I15" s="24" t="str">
        <f>IF($B15="","",N(Produse!$G$15))</f>
        <v/>
      </c>
      <c r="J15" s="28" t="str">
        <f>IF($B15="","",H15*N(Produse!$E$15))</f>
        <v/>
      </c>
      <c r="K15" s="13" t="str">
        <f t="shared" si="1"/>
        <v/>
      </c>
      <c r="L15" s="13" t="str">
        <f>IF($B15="","",COUNTIF(Mișcări!$E$5:$E$2004,$B15))</f>
        <v/>
      </c>
      <c r="M15" s="12" t="str">
        <f t="shared" si="2"/>
        <v/>
      </c>
      <c r="N15" s="1" t="str">
        <f>IF($B15="","",IFERROR(_xlfn.AGGREGATE(14,6,Mișcări!$B$5:$B$2004/(Mișcări!$E$5:$E$2004=$B15),1),""))</f>
        <v/>
      </c>
    </row>
    <row r="16" spans="2:14" x14ac:dyDescent="0.2">
      <c r="B16" s="13" t="str">
        <f>IF(Produse!$B$16="","",Produse!$B$16)</f>
        <v/>
      </c>
      <c r="C16" s="12" t="str">
        <f>IF($B16="","",Produse!$C$16)</f>
        <v/>
      </c>
      <c r="D16" s="13" t="str">
        <f>IF($B16="","",Produse!$D$16)</f>
        <v/>
      </c>
      <c r="E16" s="24" t="str">
        <f>IF($B16="","",N(Produse!$F$16))</f>
        <v/>
      </c>
      <c r="F16" s="24" t="str">
        <f>IF($B16="","",SUMIFS(Mișcări!$H$5:$H$2004,Mișcări!$E$5:$E$2004,$B16))</f>
        <v/>
      </c>
      <c r="G16" s="24" t="str">
        <f>IF($B16="","",SUMIFS(Mișcări!$I$5:$I$2004,Mișcări!$E$5:$E$2004,$B16))</f>
        <v/>
      </c>
      <c r="H16" s="14" t="str">
        <f t="shared" si="0"/>
        <v/>
      </c>
      <c r="I16" s="24" t="str">
        <f>IF($B16="","",N(Produse!$G$16))</f>
        <v/>
      </c>
      <c r="J16" s="28" t="str">
        <f>IF($B16="","",H16*N(Produse!$E$16))</f>
        <v/>
      </c>
      <c r="K16" s="13" t="str">
        <f t="shared" si="1"/>
        <v/>
      </c>
      <c r="L16" s="13" t="str">
        <f>IF($B16="","",COUNTIF(Mișcări!$E$5:$E$2004,$B16))</f>
        <v/>
      </c>
      <c r="M16" s="12" t="str">
        <f t="shared" si="2"/>
        <v/>
      </c>
      <c r="N16" s="1" t="str">
        <f>IF($B16="","",IFERROR(_xlfn.AGGREGATE(14,6,Mișcări!$B$5:$B$2004/(Mișcări!$E$5:$E$2004=$B16),1),""))</f>
        <v/>
      </c>
    </row>
    <row r="17" spans="2:14" x14ac:dyDescent="0.2">
      <c r="B17" s="13" t="str">
        <f>IF(Produse!$B$17="","",Produse!$B$17)</f>
        <v/>
      </c>
      <c r="C17" s="12" t="str">
        <f>IF($B17="","",Produse!$C$17)</f>
        <v/>
      </c>
      <c r="D17" s="13" t="str">
        <f>IF($B17="","",Produse!$D$17)</f>
        <v/>
      </c>
      <c r="E17" s="24" t="str">
        <f>IF($B17="","",N(Produse!$F$17))</f>
        <v/>
      </c>
      <c r="F17" s="24" t="str">
        <f>IF($B17="","",SUMIFS(Mișcări!$H$5:$H$2004,Mișcări!$E$5:$E$2004,$B17))</f>
        <v/>
      </c>
      <c r="G17" s="24" t="str">
        <f>IF($B17="","",SUMIFS(Mișcări!$I$5:$I$2004,Mișcări!$E$5:$E$2004,$B17))</f>
        <v/>
      </c>
      <c r="H17" s="14" t="str">
        <f t="shared" si="0"/>
        <v/>
      </c>
      <c r="I17" s="24" t="str">
        <f>IF($B17="","",N(Produse!$G$17))</f>
        <v/>
      </c>
      <c r="J17" s="28" t="str">
        <f>IF($B17="","",H17*N(Produse!$E$17))</f>
        <v/>
      </c>
      <c r="K17" s="13" t="str">
        <f t="shared" si="1"/>
        <v/>
      </c>
      <c r="L17" s="13" t="str">
        <f>IF($B17="","",COUNTIF(Mișcări!$E$5:$E$2004,$B17))</f>
        <v/>
      </c>
      <c r="M17" s="12" t="str">
        <f t="shared" si="2"/>
        <v/>
      </c>
      <c r="N17" s="1" t="str">
        <f>IF($B17="","",IFERROR(_xlfn.AGGREGATE(14,6,Mișcări!$B$5:$B$2004/(Mișcări!$E$5:$E$2004=$B17),1),""))</f>
        <v/>
      </c>
    </row>
    <row r="18" spans="2:14" x14ac:dyDescent="0.2">
      <c r="B18" s="13" t="str">
        <f>IF(Produse!$B$18="","",Produse!$B$18)</f>
        <v/>
      </c>
      <c r="C18" s="12" t="str">
        <f>IF($B18="","",Produse!$C$18)</f>
        <v/>
      </c>
      <c r="D18" s="13" t="str">
        <f>IF($B18="","",Produse!$D$18)</f>
        <v/>
      </c>
      <c r="E18" s="24" t="str">
        <f>IF($B18="","",N(Produse!$F$18))</f>
        <v/>
      </c>
      <c r="F18" s="24" t="str">
        <f>IF($B18="","",SUMIFS(Mișcări!$H$5:$H$2004,Mișcări!$E$5:$E$2004,$B18))</f>
        <v/>
      </c>
      <c r="G18" s="24" t="str">
        <f>IF($B18="","",SUMIFS(Mișcări!$I$5:$I$2004,Mișcări!$E$5:$E$2004,$B18))</f>
        <v/>
      </c>
      <c r="H18" s="14" t="str">
        <f t="shared" si="0"/>
        <v/>
      </c>
      <c r="I18" s="24" t="str">
        <f>IF($B18="","",N(Produse!$G$18))</f>
        <v/>
      </c>
      <c r="J18" s="28" t="str">
        <f>IF($B18="","",H18*N(Produse!$E$18))</f>
        <v/>
      </c>
      <c r="K18" s="13" t="str">
        <f t="shared" si="1"/>
        <v/>
      </c>
      <c r="L18" s="13" t="str">
        <f>IF($B18="","",COUNTIF(Mișcări!$E$5:$E$2004,$B18))</f>
        <v/>
      </c>
      <c r="M18" s="12" t="str">
        <f t="shared" si="2"/>
        <v/>
      </c>
      <c r="N18" s="1" t="str">
        <f>IF($B18="","",IFERROR(_xlfn.AGGREGATE(14,6,Mișcări!$B$5:$B$2004/(Mișcări!$E$5:$E$2004=$B18),1),""))</f>
        <v/>
      </c>
    </row>
    <row r="19" spans="2:14" x14ac:dyDescent="0.2">
      <c r="B19" s="13" t="str">
        <f>IF(Produse!$B$19="","",Produse!$B$19)</f>
        <v/>
      </c>
      <c r="C19" s="12" t="str">
        <f>IF($B19="","",Produse!$C$19)</f>
        <v/>
      </c>
      <c r="D19" s="13" t="str">
        <f>IF($B19="","",Produse!$D$19)</f>
        <v/>
      </c>
      <c r="E19" s="24" t="str">
        <f>IF($B19="","",N(Produse!$F$19))</f>
        <v/>
      </c>
      <c r="F19" s="24" t="str">
        <f>IF($B19="","",SUMIFS(Mișcări!$H$5:$H$2004,Mișcări!$E$5:$E$2004,$B19))</f>
        <v/>
      </c>
      <c r="G19" s="24" t="str">
        <f>IF($B19="","",SUMIFS(Mișcări!$I$5:$I$2004,Mișcări!$E$5:$E$2004,$B19))</f>
        <v/>
      </c>
      <c r="H19" s="14" t="str">
        <f t="shared" si="0"/>
        <v/>
      </c>
      <c r="I19" s="24" t="str">
        <f>IF($B19="","",N(Produse!$G$19))</f>
        <v/>
      </c>
      <c r="J19" s="28" t="str">
        <f>IF($B19="","",H19*N(Produse!$E$19))</f>
        <v/>
      </c>
      <c r="K19" s="13" t="str">
        <f t="shared" si="1"/>
        <v/>
      </c>
      <c r="L19" s="13" t="str">
        <f>IF($B19="","",COUNTIF(Mișcări!$E$5:$E$2004,$B19))</f>
        <v/>
      </c>
      <c r="M19" s="12" t="str">
        <f t="shared" si="2"/>
        <v/>
      </c>
      <c r="N19" s="1" t="str">
        <f>IF($B19="","",IFERROR(_xlfn.AGGREGATE(14,6,Mișcări!$B$5:$B$2004/(Mișcări!$E$5:$E$2004=$B19),1),""))</f>
        <v/>
      </c>
    </row>
    <row r="20" spans="2:14" x14ac:dyDescent="0.2">
      <c r="B20" s="13" t="str">
        <f>IF(Produse!$B$20="","",Produse!$B$20)</f>
        <v/>
      </c>
      <c r="C20" s="12" t="str">
        <f>IF($B20="","",Produse!$C$20)</f>
        <v/>
      </c>
      <c r="D20" s="13" t="str">
        <f>IF($B20="","",Produse!$D$20)</f>
        <v/>
      </c>
      <c r="E20" s="24" t="str">
        <f>IF($B20="","",N(Produse!$F$20))</f>
        <v/>
      </c>
      <c r="F20" s="24" t="str">
        <f>IF($B20="","",SUMIFS(Mișcări!$H$5:$H$2004,Mișcări!$E$5:$E$2004,$B20))</f>
        <v/>
      </c>
      <c r="G20" s="24" t="str">
        <f>IF($B20="","",SUMIFS(Mișcări!$I$5:$I$2004,Mișcări!$E$5:$E$2004,$B20))</f>
        <v/>
      </c>
      <c r="H20" s="14" t="str">
        <f t="shared" si="0"/>
        <v/>
      </c>
      <c r="I20" s="24" t="str">
        <f>IF($B20="","",N(Produse!$G$20))</f>
        <v/>
      </c>
      <c r="J20" s="28" t="str">
        <f>IF($B20="","",H20*N(Produse!$E$20))</f>
        <v/>
      </c>
      <c r="K20" s="13" t="str">
        <f t="shared" si="1"/>
        <v/>
      </c>
      <c r="L20" s="13" t="str">
        <f>IF($B20="","",COUNTIF(Mișcări!$E$5:$E$2004,$B20))</f>
        <v/>
      </c>
      <c r="M20" s="12" t="str">
        <f t="shared" si="2"/>
        <v/>
      </c>
      <c r="N20" s="1" t="str">
        <f>IF($B20="","",IFERROR(_xlfn.AGGREGATE(14,6,Mișcări!$B$5:$B$2004/(Mișcări!$E$5:$E$2004=$B20),1),""))</f>
        <v/>
      </c>
    </row>
    <row r="21" spans="2:14" x14ac:dyDescent="0.2">
      <c r="B21" s="13" t="str">
        <f>IF(Produse!$B$21="","",Produse!$B$21)</f>
        <v/>
      </c>
      <c r="C21" s="12" t="str">
        <f>IF($B21="","",Produse!$C$21)</f>
        <v/>
      </c>
      <c r="D21" s="13" t="str">
        <f>IF($B21="","",Produse!$D$21)</f>
        <v/>
      </c>
      <c r="E21" s="24" t="str">
        <f>IF($B21="","",N(Produse!$F$21))</f>
        <v/>
      </c>
      <c r="F21" s="24" t="str">
        <f>IF($B21="","",SUMIFS(Mișcări!$H$5:$H$2004,Mișcări!$E$5:$E$2004,$B21))</f>
        <v/>
      </c>
      <c r="G21" s="24" t="str">
        <f>IF($B21="","",SUMIFS(Mișcări!$I$5:$I$2004,Mișcări!$E$5:$E$2004,$B21))</f>
        <v/>
      </c>
      <c r="H21" s="14" t="str">
        <f t="shared" si="0"/>
        <v/>
      </c>
      <c r="I21" s="24" t="str">
        <f>IF($B21="","",N(Produse!$G$21))</f>
        <v/>
      </c>
      <c r="J21" s="28" t="str">
        <f>IF($B21="","",H21*N(Produse!$E$21))</f>
        <v/>
      </c>
      <c r="K21" s="13" t="str">
        <f t="shared" si="1"/>
        <v/>
      </c>
      <c r="L21" s="13" t="str">
        <f>IF($B21="","",COUNTIF(Mișcări!$E$5:$E$2004,$B21))</f>
        <v/>
      </c>
      <c r="M21" s="12" t="str">
        <f t="shared" si="2"/>
        <v/>
      </c>
      <c r="N21" s="1" t="str">
        <f>IF($B21="","",IFERROR(_xlfn.AGGREGATE(14,6,Mișcări!$B$5:$B$2004/(Mișcări!$E$5:$E$2004=$B21),1),""))</f>
        <v/>
      </c>
    </row>
    <row r="22" spans="2:14" x14ac:dyDescent="0.2">
      <c r="B22" s="13" t="str">
        <f>IF(Produse!$B$22="","",Produse!$B$22)</f>
        <v/>
      </c>
      <c r="C22" s="12" t="str">
        <f>IF($B22="","",Produse!$C$22)</f>
        <v/>
      </c>
      <c r="D22" s="13" t="str">
        <f>IF($B22="","",Produse!$D$22)</f>
        <v/>
      </c>
      <c r="E22" s="24" t="str">
        <f>IF($B22="","",N(Produse!$F$22))</f>
        <v/>
      </c>
      <c r="F22" s="24" t="str">
        <f>IF($B22="","",SUMIFS(Mișcări!$H$5:$H$2004,Mișcări!$E$5:$E$2004,$B22))</f>
        <v/>
      </c>
      <c r="G22" s="24" t="str">
        <f>IF($B22="","",SUMIFS(Mișcări!$I$5:$I$2004,Mișcări!$E$5:$E$2004,$B22))</f>
        <v/>
      </c>
      <c r="H22" s="14" t="str">
        <f t="shared" si="0"/>
        <v/>
      </c>
      <c r="I22" s="24" t="str">
        <f>IF($B22="","",N(Produse!$G$22))</f>
        <v/>
      </c>
      <c r="J22" s="28" t="str">
        <f>IF($B22="","",H22*N(Produse!$E$22))</f>
        <v/>
      </c>
      <c r="K22" s="13" t="str">
        <f t="shared" si="1"/>
        <v/>
      </c>
      <c r="L22" s="13" t="str">
        <f>IF($B22="","",COUNTIF(Mișcări!$E$5:$E$2004,$B22))</f>
        <v/>
      </c>
      <c r="M22" s="12" t="str">
        <f t="shared" si="2"/>
        <v/>
      </c>
      <c r="N22" s="1" t="str">
        <f>IF($B22="","",IFERROR(_xlfn.AGGREGATE(14,6,Mișcări!$B$5:$B$2004/(Mișcări!$E$5:$E$2004=$B22),1),""))</f>
        <v/>
      </c>
    </row>
    <row r="23" spans="2:14" x14ac:dyDescent="0.2">
      <c r="B23" s="13" t="str">
        <f>IF(Produse!$B$23="","",Produse!$B$23)</f>
        <v/>
      </c>
      <c r="C23" s="12" t="str">
        <f>IF($B23="","",Produse!$C$23)</f>
        <v/>
      </c>
      <c r="D23" s="13" t="str">
        <f>IF($B23="","",Produse!$D$23)</f>
        <v/>
      </c>
      <c r="E23" s="24" t="str">
        <f>IF($B23="","",N(Produse!$F$23))</f>
        <v/>
      </c>
      <c r="F23" s="24" t="str">
        <f>IF($B23="","",SUMIFS(Mișcări!$H$5:$H$2004,Mișcări!$E$5:$E$2004,$B23))</f>
        <v/>
      </c>
      <c r="G23" s="24" t="str">
        <f>IF($B23="","",SUMIFS(Mișcări!$I$5:$I$2004,Mișcări!$E$5:$E$2004,$B23))</f>
        <v/>
      </c>
      <c r="H23" s="14" t="str">
        <f t="shared" si="0"/>
        <v/>
      </c>
      <c r="I23" s="24" t="str">
        <f>IF($B23="","",N(Produse!$G$23))</f>
        <v/>
      </c>
      <c r="J23" s="28" t="str">
        <f>IF($B23="","",H23*N(Produse!$E$23))</f>
        <v/>
      </c>
      <c r="K23" s="13" t="str">
        <f t="shared" si="1"/>
        <v/>
      </c>
      <c r="L23" s="13" t="str">
        <f>IF($B23="","",COUNTIF(Mișcări!$E$5:$E$2004,$B23))</f>
        <v/>
      </c>
      <c r="M23" s="12" t="str">
        <f t="shared" si="2"/>
        <v/>
      </c>
      <c r="N23" s="1" t="str">
        <f>IF($B23="","",IFERROR(_xlfn.AGGREGATE(14,6,Mișcări!$B$5:$B$2004/(Mișcări!$E$5:$E$2004=$B23),1),""))</f>
        <v/>
      </c>
    </row>
    <row r="24" spans="2:14" x14ac:dyDescent="0.2">
      <c r="B24" s="13" t="str">
        <f>IF(Produse!$B$24="","",Produse!$B$24)</f>
        <v/>
      </c>
      <c r="C24" s="12" t="str">
        <f>IF($B24="","",Produse!$C$24)</f>
        <v/>
      </c>
      <c r="D24" s="13" t="str">
        <f>IF($B24="","",Produse!$D$24)</f>
        <v/>
      </c>
      <c r="E24" s="24" t="str">
        <f>IF($B24="","",N(Produse!$F$24))</f>
        <v/>
      </c>
      <c r="F24" s="24" t="str">
        <f>IF($B24="","",SUMIFS(Mișcări!$H$5:$H$2004,Mișcări!$E$5:$E$2004,$B24))</f>
        <v/>
      </c>
      <c r="G24" s="24" t="str">
        <f>IF($B24="","",SUMIFS(Mișcări!$I$5:$I$2004,Mișcări!$E$5:$E$2004,$B24))</f>
        <v/>
      </c>
      <c r="H24" s="14" t="str">
        <f t="shared" si="0"/>
        <v/>
      </c>
      <c r="I24" s="24" t="str">
        <f>IF($B24="","",N(Produse!$G$24))</f>
        <v/>
      </c>
      <c r="J24" s="28" t="str">
        <f>IF($B24="","",H24*N(Produse!$E$24))</f>
        <v/>
      </c>
      <c r="K24" s="13" t="str">
        <f t="shared" si="1"/>
        <v/>
      </c>
      <c r="L24" s="13" t="str">
        <f>IF($B24="","",COUNTIF(Mișcări!$E$5:$E$2004,$B24))</f>
        <v/>
      </c>
      <c r="M24" s="12" t="str">
        <f t="shared" si="2"/>
        <v/>
      </c>
      <c r="N24" s="1" t="str">
        <f>IF($B24="","",IFERROR(_xlfn.AGGREGATE(14,6,Mișcări!$B$5:$B$2004/(Mișcări!$E$5:$E$2004=$B24),1),""))</f>
        <v/>
      </c>
    </row>
    <row r="25" spans="2:14" x14ac:dyDescent="0.2">
      <c r="B25" s="13" t="str">
        <f>IF(Produse!$B$25="","",Produse!$B$25)</f>
        <v/>
      </c>
      <c r="C25" s="12" t="str">
        <f>IF($B25="","",Produse!$C$25)</f>
        <v/>
      </c>
      <c r="D25" s="13" t="str">
        <f>IF($B25="","",Produse!$D$25)</f>
        <v/>
      </c>
      <c r="E25" s="24" t="str">
        <f>IF($B25="","",N(Produse!$F$25))</f>
        <v/>
      </c>
      <c r="F25" s="24" t="str">
        <f>IF($B25="","",SUMIFS(Mișcări!$H$5:$H$2004,Mișcări!$E$5:$E$2004,$B25))</f>
        <v/>
      </c>
      <c r="G25" s="24" t="str">
        <f>IF($B25="","",SUMIFS(Mișcări!$I$5:$I$2004,Mișcări!$E$5:$E$2004,$B25))</f>
        <v/>
      </c>
      <c r="H25" s="14" t="str">
        <f t="shared" si="0"/>
        <v/>
      </c>
      <c r="I25" s="24" t="str">
        <f>IF($B25="","",N(Produse!$G$25))</f>
        <v/>
      </c>
      <c r="J25" s="28" t="str">
        <f>IF($B25="","",H25*N(Produse!$E$25))</f>
        <v/>
      </c>
      <c r="K25" s="13" t="str">
        <f t="shared" si="1"/>
        <v/>
      </c>
      <c r="L25" s="13" t="str">
        <f>IF($B25="","",COUNTIF(Mișcări!$E$5:$E$2004,$B25))</f>
        <v/>
      </c>
      <c r="M25" s="12" t="str">
        <f t="shared" si="2"/>
        <v/>
      </c>
      <c r="N25" s="1" t="str">
        <f>IF($B25="","",IFERROR(_xlfn.AGGREGATE(14,6,Mișcări!$B$5:$B$2004/(Mișcări!$E$5:$E$2004=$B25),1),""))</f>
        <v/>
      </c>
    </row>
    <row r="26" spans="2:14" x14ac:dyDescent="0.2">
      <c r="B26" s="13" t="str">
        <f>IF(Produse!$B$26="","",Produse!$B$26)</f>
        <v/>
      </c>
      <c r="C26" s="12" t="str">
        <f>IF($B26="","",Produse!$C$26)</f>
        <v/>
      </c>
      <c r="D26" s="13" t="str">
        <f>IF($B26="","",Produse!$D$26)</f>
        <v/>
      </c>
      <c r="E26" s="24" t="str">
        <f>IF($B26="","",N(Produse!$F$26))</f>
        <v/>
      </c>
      <c r="F26" s="24" t="str">
        <f>IF($B26="","",SUMIFS(Mișcări!$H$5:$H$2004,Mișcări!$E$5:$E$2004,$B26))</f>
        <v/>
      </c>
      <c r="G26" s="24" t="str">
        <f>IF($B26="","",SUMIFS(Mișcări!$I$5:$I$2004,Mișcări!$E$5:$E$2004,$B26))</f>
        <v/>
      </c>
      <c r="H26" s="14" t="str">
        <f t="shared" si="0"/>
        <v/>
      </c>
      <c r="I26" s="24" t="str">
        <f>IF($B26="","",N(Produse!$G$26))</f>
        <v/>
      </c>
      <c r="J26" s="28" t="str">
        <f>IF($B26="","",H26*N(Produse!$E$26))</f>
        <v/>
      </c>
      <c r="K26" s="13" t="str">
        <f t="shared" si="1"/>
        <v/>
      </c>
      <c r="L26" s="13" t="str">
        <f>IF($B26="","",COUNTIF(Mișcări!$E$5:$E$2004,$B26))</f>
        <v/>
      </c>
      <c r="M26" s="12" t="str">
        <f t="shared" si="2"/>
        <v/>
      </c>
      <c r="N26" s="1" t="str">
        <f>IF($B26="","",IFERROR(_xlfn.AGGREGATE(14,6,Mișcări!$B$5:$B$2004/(Mișcări!$E$5:$E$2004=$B26),1),""))</f>
        <v/>
      </c>
    </row>
    <row r="27" spans="2:14" x14ac:dyDescent="0.2">
      <c r="B27" s="13" t="str">
        <f>IF(Produse!$B$27="","",Produse!$B$27)</f>
        <v/>
      </c>
      <c r="C27" s="12" t="str">
        <f>IF($B27="","",Produse!$C$27)</f>
        <v/>
      </c>
      <c r="D27" s="13" t="str">
        <f>IF($B27="","",Produse!$D$27)</f>
        <v/>
      </c>
      <c r="E27" s="24" t="str">
        <f>IF($B27="","",N(Produse!$F$27))</f>
        <v/>
      </c>
      <c r="F27" s="24" t="str">
        <f>IF($B27="","",SUMIFS(Mișcări!$H$5:$H$2004,Mișcări!$E$5:$E$2004,$B27))</f>
        <v/>
      </c>
      <c r="G27" s="24" t="str">
        <f>IF($B27="","",SUMIFS(Mișcări!$I$5:$I$2004,Mișcări!$E$5:$E$2004,$B27))</f>
        <v/>
      </c>
      <c r="H27" s="14" t="str">
        <f t="shared" si="0"/>
        <v/>
      </c>
      <c r="I27" s="24" t="str">
        <f>IF($B27="","",N(Produse!$G$27))</f>
        <v/>
      </c>
      <c r="J27" s="28" t="str">
        <f>IF($B27="","",H27*N(Produse!$E$27))</f>
        <v/>
      </c>
      <c r="K27" s="13" t="str">
        <f t="shared" si="1"/>
        <v/>
      </c>
      <c r="L27" s="13" t="str">
        <f>IF($B27="","",COUNTIF(Mișcări!$E$5:$E$2004,$B27))</f>
        <v/>
      </c>
      <c r="M27" s="12" t="str">
        <f t="shared" si="2"/>
        <v/>
      </c>
      <c r="N27" s="1" t="str">
        <f>IF($B27="","",IFERROR(_xlfn.AGGREGATE(14,6,Mișcări!$B$5:$B$2004/(Mișcări!$E$5:$E$2004=$B27),1),""))</f>
        <v/>
      </c>
    </row>
    <row r="28" spans="2:14" x14ac:dyDescent="0.2">
      <c r="B28" s="13" t="str">
        <f>IF(Produse!$B$28="","",Produse!$B$28)</f>
        <v/>
      </c>
      <c r="C28" s="12" t="str">
        <f>IF($B28="","",Produse!$C$28)</f>
        <v/>
      </c>
      <c r="D28" s="13" t="str">
        <f>IF($B28="","",Produse!$D$28)</f>
        <v/>
      </c>
      <c r="E28" s="24" t="str">
        <f>IF($B28="","",N(Produse!$F$28))</f>
        <v/>
      </c>
      <c r="F28" s="24" t="str">
        <f>IF($B28="","",SUMIFS(Mișcări!$H$5:$H$2004,Mișcări!$E$5:$E$2004,$B28))</f>
        <v/>
      </c>
      <c r="G28" s="24" t="str">
        <f>IF($B28="","",SUMIFS(Mișcări!$I$5:$I$2004,Mișcări!$E$5:$E$2004,$B28))</f>
        <v/>
      </c>
      <c r="H28" s="14" t="str">
        <f t="shared" si="0"/>
        <v/>
      </c>
      <c r="I28" s="24" t="str">
        <f>IF($B28="","",N(Produse!$G$28))</f>
        <v/>
      </c>
      <c r="J28" s="28" t="str">
        <f>IF($B28="","",H28*N(Produse!$E$28))</f>
        <v/>
      </c>
      <c r="K28" s="13" t="str">
        <f t="shared" si="1"/>
        <v/>
      </c>
      <c r="L28" s="13" t="str">
        <f>IF($B28="","",COUNTIF(Mișcări!$E$5:$E$2004,$B28))</f>
        <v/>
      </c>
      <c r="M28" s="12" t="str">
        <f t="shared" si="2"/>
        <v/>
      </c>
      <c r="N28" s="1" t="str">
        <f>IF($B28="","",IFERROR(_xlfn.AGGREGATE(14,6,Mișcări!$B$5:$B$2004/(Mișcări!$E$5:$E$2004=$B28),1),""))</f>
        <v/>
      </c>
    </row>
    <row r="29" spans="2:14" x14ac:dyDescent="0.2">
      <c r="B29" s="13" t="str">
        <f>IF(Produse!$B$29="","",Produse!$B$29)</f>
        <v/>
      </c>
      <c r="C29" s="12" t="str">
        <f>IF($B29="","",Produse!$C$29)</f>
        <v/>
      </c>
      <c r="D29" s="13" t="str">
        <f>IF($B29="","",Produse!$D$29)</f>
        <v/>
      </c>
      <c r="E29" s="24" t="str">
        <f>IF($B29="","",N(Produse!$F$29))</f>
        <v/>
      </c>
      <c r="F29" s="24" t="str">
        <f>IF($B29="","",SUMIFS(Mișcări!$H$5:$H$2004,Mișcări!$E$5:$E$2004,$B29))</f>
        <v/>
      </c>
      <c r="G29" s="24" t="str">
        <f>IF($B29="","",SUMIFS(Mișcări!$I$5:$I$2004,Mișcări!$E$5:$E$2004,$B29))</f>
        <v/>
      </c>
      <c r="H29" s="14" t="str">
        <f t="shared" si="0"/>
        <v/>
      </c>
      <c r="I29" s="24" t="str">
        <f>IF($B29="","",N(Produse!$G$29))</f>
        <v/>
      </c>
      <c r="J29" s="28" t="str">
        <f>IF($B29="","",H29*N(Produse!$E$29))</f>
        <v/>
      </c>
      <c r="K29" s="13" t="str">
        <f t="shared" si="1"/>
        <v/>
      </c>
      <c r="L29" s="13" t="str">
        <f>IF($B29="","",COUNTIF(Mișcări!$E$5:$E$2004,$B29))</f>
        <v/>
      </c>
      <c r="M29" s="12" t="str">
        <f t="shared" si="2"/>
        <v/>
      </c>
      <c r="N29" s="1" t="str">
        <f>IF($B29="","",IFERROR(_xlfn.AGGREGATE(14,6,Mișcări!$B$5:$B$2004/(Mișcări!$E$5:$E$2004=$B29),1),""))</f>
        <v/>
      </c>
    </row>
    <row r="30" spans="2:14" x14ac:dyDescent="0.2">
      <c r="B30" s="13" t="str">
        <f>IF(Produse!$B$30="","",Produse!$B$30)</f>
        <v/>
      </c>
      <c r="C30" s="12" t="str">
        <f>IF($B30="","",Produse!$C$30)</f>
        <v/>
      </c>
      <c r="D30" s="13" t="str">
        <f>IF($B30="","",Produse!$D$30)</f>
        <v/>
      </c>
      <c r="E30" s="24" t="str">
        <f>IF($B30="","",N(Produse!$F$30))</f>
        <v/>
      </c>
      <c r="F30" s="24" t="str">
        <f>IF($B30="","",SUMIFS(Mișcări!$H$5:$H$2004,Mișcări!$E$5:$E$2004,$B30))</f>
        <v/>
      </c>
      <c r="G30" s="24" t="str">
        <f>IF($B30="","",SUMIFS(Mișcări!$I$5:$I$2004,Mișcări!$E$5:$E$2004,$B30))</f>
        <v/>
      </c>
      <c r="H30" s="14" t="str">
        <f t="shared" si="0"/>
        <v/>
      </c>
      <c r="I30" s="24" t="str">
        <f>IF($B30="","",N(Produse!$G$30))</f>
        <v/>
      </c>
      <c r="J30" s="28" t="str">
        <f>IF($B30="","",H30*N(Produse!$E$30))</f>
        <v/>
      </c>
      <c r="K30" s="13" t="str">
        <f t="shared" si="1"/>
        <v/>
      </c>
      <c r="L30" s="13" t="str">
        <f>IF($B30="","",COUNTIF(Mișcări!$E$5:$E$2004,$B30))</f>
        <v/>
      </c>
      <c r="M30" s="12" t="str">
        <f t="shared" si="2"/>
        <v/>
      </c>
      <c r="N30" s="1" t="str">
        <f>IF($B30="","",IFERROR(_xlfn.AGGREGATE(14,6,Mișcări!$B$5:$B$2004/(Mișcări!$E$5:$E$2004=$B30),1),""))</f>
        <v/>
      </c>
    </row>
    <row r="31" spans="2:14" x14ac:dyDescent="0.2">
      <c r="B31" s="13" t="str">
        <f>IF(Produse!$B$31="","",Produse!$B$31)</f>
        <v/>
      </c>
      <c r="C31" s="12" t="str">
        <f>IF($B31="","",Produse!$C$31)</f>
        <v/>
      </c>
      <c r="D31" s="13" t="str">
        <f>IF($B31="","",Produse!$D$31)</f>
        <v/>
      </c>
      <c r="E31" s="24" t="str">
        <f>IF($B31="","",N(Produse!$F$31))</f>
        <v/>
      </c>
      <c r="F31" s="24" t="str">
        <f>IF($B31="","",SUMIFS(Mișcări!$H$5:$H$2004,Mișcări!$E$5:$E$2004,$B31))</f>
        <v/>
      </c>
      <c r="G31" s="24" t="str">
        <f>IF($B31="","",SUMIFS(Mișcări!$I$5:$I$2004,Mișcări!$E$5:$E$2004,$B31))</f>
        <v/>
      </c>
      <c r="H31" s="14" t="str">
        <f t="shared" si="0"/>
        <v/>
      </c>
      <c r="I31" s="24" t="str">
        <f>IF($B31="","",N(Produse!$G$31))</f>
        <v/>
      </c>
      <c r="J31" s="28" t="str">
        <f>IF($B31="","",H31*N(Produse!$E$31))</f>
        <v/>
      </c>
      <c r="K31" s="13" t="str">
        <f t="shared" si="1"/>
        <v/>
      </c>
      <c r="L31" s="13" t="str">
        <f>IF($B31="","",COUNTIF(Mișcări!$E$5:$E$2004,$B31))</f>
        <v/>
      </c>
      <c r="M31" s="12" t="str">
        <f t="shared" si="2"/>
        <v/>
      </c>
      <c r="N31" s="1" t="str">
        <f>IF($B31="","",IFERROR(_xlfn.AGGREGATE(14,6,Mișcări!$B$5:$B$2004/(Mișcări!$E$5:$E$2004=$B31),1),""))</f>
        <v/>
      </c>
    </row>
    <row r="32" spans="2:14" x14ac:dyDescent="0.2">
      <c r="B32" s="13" t="str">
        <f>IF(Produse!$B$32="","",Produse!$B$32)</f>
        <v/>
      </c>
      <c r="C32" s="12" t="str">
        <f>IF($B32="","",Produse!$C$32)</f>
        <v/>
      </c>
      <c r="D32" s="13" t="str">
        <f>IF($B32="","",Produse!$D$32)</f>
        <v/>
      </c>
      <c r="E32" s="24" t="str">
        <f>IF($B32="","",N(Produse!$F$32))</f>
        <v/>
      </c>
      <c r="F32" s="24" t="str">
        <f>IF($B32="","",SUMIFS(Mișcări!$H$5:$H$2004,Mișcări!$E$5:$E$2004,$B32))</f>
        <v/>
      </c>
      <c r="G32" s="24" t="str">
        <f>IF($B32="","",SUMIFS(Mișcări!$I$5:$I$2004,Mișcări!$E$5:$E$2004,$B32))</f>
        <v/>
      </c>
      <c r="H32" s="14" t="str">
        <f t="shared" si="0"/>
        <v/>
      </c>
      <c r="I32" s="24" t="str">
        <f>IF($B32="","",N(Produse!$G$32))</f>
        <v/>
      </c>
      <c r="J32" s="28" t="str">
        <f>IF($B32="","",H32*N(Produse!$E$32))</f>
        <v/>
      </c>
      <c r="K32" s="13" t="str">
        <f t="shared" si="1"/>
        <v/>
      </c>
      <c r="L32" s="13" t="str">
        <f>IF($B32="","",COUNTIF(Mișcări!$E$5:$E$2004,$B32))</f>
        <v/>
      </c>
      <c r="M32" s="12" t="str">
        <f t="shared" si="2"/>
        <v/>
      </c>
      <c r="N32" s="1" t="str">
        <f>IF($B32="","",IFERROR(_xlfn.AGGREGATE(14,6,Mișcări!$B$5:$B$2004/(Mișcări!$E$5:$E$2004=$B32),1),""))</f>
        <v/>
      </c>
    </row>
    <row r="33" spans="2:14" x14ac:dyDescent="0.2">
      <c r="B33" s="13" t="str">
        <f>IF(Produse!$B$33="","",Produse!$B$33)</f>
        <v/>
      </c>
      <c r="C33" s="12" t="str">
        <f>IF($B33="","",Produse!$C$33)</f>
        <v/>
      </c>
      <c r="D33" s="13" t="str">
        <f>IF($B33="","",Produse!$D$33)</f>
        <v/>
      </c>
      <c r="E33" s="24" t="str">
        <f>IF($B33="","",N(Produse!$F$33))</f>
        <v/>
      </c>
      <c r="F33" s="24" t="str">
        <f>IF($B33="","",SUMIFS(Mișcări!$H$5:$H$2004,Mișcări!$E$5:$E$2004,$B33))</f>
        <v/>
      </c>
      <c r="G33" s="24" t="str">
        <f>IF($B33="","",SUMIFS(Mișcări!$I$5:$I$2004,Mișcări!$E$5:$E$2004,$B33))</f>
        <v/>
      </c>
      <c r="H33" s="14" t="str">
        <f t="shared" si="0"/>
        <v/>
      </c>
      <c r="I33" s="24" t="str">
        <f>IF($B33="","",N(Produse!$G$33))</f>
        <v/>
      </c>
      <c r="J33" s="28" t="str">
        <f>IF($B33="","",H33*N(Produse!$E$33))</f>
        <v/>
      </c>
      <c r="K33" s="13" t="str">
        <f t="shared" si="1"/>
        <v/>
      </c>
      <c r="L33" s="13" t="str">
        <f>IF($B33="","",COUNTIF(Mișcări!$E$5:$E$2004,$B33))</f>
        <v/>
      </c>
      <c r="M33" s="12" t="str">
        <f t="shared" si="2"/>
        <v/>
      </c>
      <c r="N33" s="1" t="str">
        <f>IF($B33="","",IFERROR(_xlfn.AGGREGATE(14,6,Mișcări!$B$5:$B$2004/(Mișcări!$E$5:$E$2004=$B33),1),""))</f>
        <v/>
      </c>
    </row>
    <row r="34" spans="2:14" x14ac:dyDescent="0.2">
      <c r="B34" s="13" t="str">
        <f>IF(Produse!$B$34="","",Produse!$B$34)</f>
        <v/>
      </c>
      <c r="C34" s="12" t="str">
        <f>IF($B34="","",Produse!$C$34)</f>
        <v/>
      </c>
      <c r="D34" s="13" t="str">
        <f>IF($B34="","",Produse!$D$34)</f>
        <v/>
      </c>
      <c r="E34" s="24" t="str">
        <f>IF($B34="","",N(Produse!$F$34))</f>
        <v/>
      </c>
      <c r="F34" s="24" t="str">
        <f>IF($B34="","",SUMIFS(Mișcări!$H$5:$H$2004,Mișcări!$E$5:$E$2004,$B34))</f>
        <v/>
      </c>
      <c r="G34" s="24" t="str">
        <f>IF($B34="","",SUMIFS(Mișcări!$I$5:$I$2004,Mișcări!$E$5:$E$2004,$B34))</f>
        <v/>
      </c>
      <c r="H34" s="14" t="str">
        <f t="shared" si="0"/>
        <v/>
      </c>
      <c r="I34" s="24" t="str">
        <f>IF($B34="","",N(Produse!$G$34))</f>
        <v/>
      </c>
      <c r="J34" s="28" t="str">
        <f>IF($B34="","",H34*N(Produse!$E$34))</f>
        <v/>
      </c>
      <c r="K34" s="13" t="str">
        <f t="shared" si="1"/>
        <v/>
      </c>
      <c r="L34" s="13" t="str">
        <f>IF($B34="","",COUNTIF(Mișcări!$E$5:$E$2004,$B34))</f>
        <v/>
      </c>
      <c r="M34" s="12" t="str">
        <f t="shared" si="2"/>
        <v/>
      </c>
      <c r="N34" s="1" t="str">
        <f>IF($B34="","",IFERROR(_xlfn.AGGREGATE(14,6,Mișcări!$B$5:$B$2004/(Mișcări!$E$5:$E$2004=$B34),1),""))</f>
        <v/>
      </c>
    </row>
    <row r="35" spans="2:14" x14ac:dyDescent="0.2">
      <c r="B35" s="13" t="str">
        <f>IF(Produse!$B$35="","",Produse!$B$35)</f>
        <v/>
      </c>
      <c r="C35" s="12" t="str">
        <f>IF($B35="","",Produse!$C$35)</f>
        <v/>
      </c>
      <c r="D35" s="13" t="str">
        <f>IF($B35="","",Produse!$D$35)</f>
        <v/>
      </c>
      <c r="E35" s="24" t="str">
        <f>IF($B35="","",N(Produse!$F$35))</f>
        <v/>
      </c>
      <c r="F35" s="24" t="str">
        <f>IF($B35="","",SUMIFS(Mișcări!$H$5:$H$2004,Mișcări!$E$5:$E$2004,$B35))</f>
        <v/>
      </c>
      <c r="G35" s="24" t="str">
        <f>IF($B35="","",SUMIFS(Mișcări!$I$5:$I$2004,Mișcări!$E$5:$E$2004,$B35))</f>
        <v/>
      </c>
      <c r="H35" s="14" t="str">
        <f t="shared" si="0"/>
        <v/>
      </c>
      <c r="I35" s="24" t="str">
        <f>IF($B35="","",N(Produse!$G$35))</f>
        <v/>
      </c>
      <c r="J35" s="28" t="str">
        <f>IF($B35="","",H35*N(Produse!$E$35))</f>
        <v/>
      </c>
      <c r="K35" s="13" t="str">
        <f t="shared" si="1"/>
        <v/>
      </c>
      <c r="L35" s="13" t="str">
        <f>IF($B35="","",COUNTIF(Mișcări!$E$5:$E$2004,$B35))</f>
        <v/>
      </c>
      <c r="M35" s="12" t="str">
        <f t="shared" si="2"/>
        <v/>
      </c>
      <c r="N35" s="1" t="str">
        <f>IF($B35="","",IFERROR(_xlfn.AGGREGATE(14,6,Mișcări!$B$5:$B$2004/(Mișcări!$E$5:$E$2004=$B35),1),""))</f>
        <v/>
      </c>
    </row>
    <row r="36" spans="2:14" x14ac:dyDescent="0.2">
      <c r="B36" s="13" t="str">
        <f>IF(Produse!$B$36="","",Produse!$B$36)</f>
        <v/>
      </c>
      <c r="C36" s="12" t="str">
        <f>IF($B36="","",Produse!$C$36)</f>
        <v/>
      </c>
      <c r="D36" s="13" t="str">
        <f>IF($B36="","",Produse!$D$36)</f>
        <v/>
      </c>
      <c r="E36" s="24" t="str">
        <f>IF($B36="","",N(Produse!$F$36))</f>
        <v/>
      </c>
      <c r="F36" s="24" t="str">
        <f>IF($B36="","",SUMIFS(Mișcări!$H$5:$H$2004,Mișcări!$E$5:$E$2004,$B36))</f>
        <v/>
      </c>
      <c r="G36" s="24" t="str">
        <f>IF($B36="","",SUMIFS(Mișcări!$I$5:$I$2004,Mișcări!$E$5:$E$2004,$B36))</f>
        <v/>
      </c>
      <c r="H36" s="14" t="str">
        <f t="shared" si="0"/>
        <v/>
      </c>
      <c r="I36" s="24" t="str">
        <f>IF($B36="","",N(Produse!$G$36))</f>
        <v/>
      </c>
      <c r="J36" s="28" t="str">
        <f>IF($B36="","",H36*N(Produse!$E$36))</f>
        <v/>
      </c>
      <c r="K36" s="13" t="str">
        <f t="shared" si="1"/>
        <v/>
      </c>
      <c r="L36" s="13" t="str">
        <f>IF($B36="","",COUNTIF(Mișcări!$E$5:$E$2004,$B36))</f>
        <v/>
      </c>
      <c r="M36" s="12" t="str">
        <f t="shared" si="2"/>
        <v/>
      </c>
      <c r="N36" s="1" t="str">
        <f>IF($B36="","",IFERROR(_xlfn.AGGREGATE(14,6,Mișcări!$B$5:$B$2004/(Mișcări!$E$5:$E$2004=$B36),1),""))</f>
        <v/>
      </c>
    </row>
    <row r="37" spans="2:14" x14ac:dyDescent="0.2">
      <c r="B37" s="13" t="str">
        <f>IF(Produse!$B$37="","",Produse!$B$37)</f>
        <v/>
      </c>
      <c r="C37" s="12" t="str">
        <f>IF($B37="","",Produse!$C$37)</f>
        <v/>
      </c>
      <c r="D37" s="13" t="str">
        <f>IF($B37="","",Produse!$D$37)</f>
        <v/>
      </c>
      <c r="E37" s="24" t="str">
        <f>IF($B37="","",N(Produse!$F$37))</f>
        <v/>
      </c>
      <c r="F37" s="24" t="str">
        <f>IF($B37="","",SUMIFS(Mișcări!$H$5:$H$2004,Mișcări!$E$5:$E$2004,$B37))</f>
        <v/>
      </c>
      <c r="G37" s="24" t="str">
        <f>IF($B37="","",SUMIFS(Mișcări!$I$5:$I$2004,Mișcări!$E$5:$E$2004,$B37))</f>
        <v/>
      </c>
      <c r="H37" s="14" t="str">
        <f t="shared" ref="H37:H68" si="3">IF($B37="","",E37+F37-G37)</f>
        <v/>
      </c>
      <c r="I37" s="24" t="str">
        <f>IF($B37="","",N(Produse!$G$37))</f>
        <v/>
      </c>
      <c r="J37" s="28" t="str">
        <f>IF($B37="","",H37*N(Produse!$E$37))</f>
        <v/>
      </c>
      <c r="K37" s="13" t="str">
        <f t="shared" ref="K37:K64" si="4">IF(N(N37)=0,"",RIGHT("0"&amp;DAY(N37),2)&amp;"."&amp;RIGHT("0"&amp;MONTH(N37),2)&amp;"."&amp;YEAR(N37))</f>
        <v/>
      </c>
      <c r="L37" s="13" t="str">
        <f>IF($B37="","",COUNTIF(Mișcări!$E$5:$E$2004,$B37))</f>
        <v/>
      </c>
      <c r="M37" s="12" t="str">
        <f t="shared" ref="M37:M64" si="5">IF($B37="","",IF(H37&lt;0,"Stoc negativ",IF(H37&lt;I37,"Sub stoc minim – comandă","OK")))</f>
        <v/>
      </c>
      <c r="N37" s="1" t="str">
        <f>IF($B37="","",IFERROR(_xlfn.AGGREGATE(14,6,Mișcări!$B$5:$B$2004/(Mișcări!$E$5:$E$2004=$B37),1),""))</f>
        <v/>
      </c>
    </row>
    <row r="38" spans="2:14" x14ac:dyDescent="0.2">
      <c r="B38" s="13" t="str">
        <f>IF(Produse!$B$38="","",Produse!$B$38)</f>
        <v/>
      </c>
      <c r="C38" s="12" t="str">
        <f>IF($B38="","",Produse!$C$38)</f>
        <v/>
      </c>
      <c r="D38" s="13" t="str">
        <f>IF($B38="","",Produse!$D$38)</f>
        <v/>
      </c>
      <c r="E38" s="24" t="str">
        <f>IF($B38="","",N(Produse!$F$38))</f>
        <v/>
      </c>
      <c r="F38" s="24" t="str">
        <f>IF($B38="","",SUMIFS(Mișcări!$H$5:$H$2004,Mișcări!$E$5:$E$2004,$B38))</f>
        <v/>
      </c>
      <c r="G38" s="24" t="str">
        <f>IF($B38="","",SUMIFS(Mișcări!$I$5:$I$2004,Mișcări!$E$5:$E$2004,$B38))</f>
        <v/>
      </c>
      <c r="H38" s="14" t="str">
        <f t="shared" si="3"/>
        <v/>
      </c>
      <c r="I38" s="24" t="str">
        <f>IF($B38="","",N(Produse!$G$38))</f>
        <v/>
      </c>
      <c r="J38" s="28" t="str">
        <f>IF($B38="","",H38*N(Produse!$E$38))</f>
        <v/>
      </c>
      <c r="K38" s="13" t="str">
        <f t="shared" si="4"/>
        <v/>
      </c>
      <c r="L38" s="13" t="str">
        <f>IF($B38="","",COUNTIF(Mișcări!$E$5:$E$2004,$B38))</f>
        <v/>
      </c>
      <c r="M38" s="12" t="str">
        <f t="shared" si="5"/>
        <v/>
      </c>
      <c r="N38" s="1" t="str">
        <f>IF($B38="","",IFERROR(_xlfn.AGGREGATE(14,6,Mișcări!$B$5:$B$2004/(Mișcări!$E$5:$E$2004=$B38),1),""))</f>
        <v/>
      </c>
    </row>
    <row r="39" spans="2:14" x14ac:dyDescent="0.2">
      <c r="B39" s="13" t="str">
        <f>IF(Produse!$B$39="","",Produse!$B$39)</f>
        <v/>
      </c>
      <c r="C39" s="12" t="str">
        <f>IF($B39="","",Produse!$C$39)</f>
        <v/>
      </c>
      <c r="D39" s="13" t="str">
        <f>IF($B39="","",Produse!$D$39)</f>
        <v/>
      </c>
      <c r="E39" s="24" t="str">
        <f>IF($B39="","",N(Produse!$F$39))</f>
        <v/>
      </c>
      <c r="F39" s="24" t="str">
        <f>IF($B39="","",SUMIFS(Mișcări!$H$5:$H$2004,Mișcări!$E$5:$E$2004,$B39))</f>
        <v/>
      </c>
      <c r="G39" s="24" t="str">
        <f>IF($B39="","",SUMIFS(Mișcări!$I$5:$I$2004,Mișcări!$E$5:$E$2004,$B39))</f>
        <v/>
      </c>
      <c r="H39" s="14" t="str">
        <f t="shared" si="3"/>
        <v/>
      </c>
      <c r="I39" s="24" t="str">
        <f>IF($B39="","",N(Produse!$G$39))</f>
        <v/>
      </c>
      <c r="J39" s="28" t="str">
        <f>IF($B39="","",H39*N(Produse!$E$39))</f>
        <v/>
      </c>
      <c r="K39" s="13" t="str">
        <f t="shared" si="4"/>
        <v/>
      </c>
      <c r="L39" s="13" t="str">
        <f>IF($B39="","",COUNTIF(Mișcări!$E$5:$E$2004,$B39))</f>
        <v/>
      </c>
      <c r="M39" s="12" t="str">
        <f t="shared" si="5"/>
        <v/>
      </c>
      <c r="N39" s="1" t="str">
        <f>IF($B39="","",IFERROR(_xlfn.AGGREGATE(14,6,Mișcări!$B$5:$B$2004/(Mișcări!$E$5:$E$2004=$B39),1),""))</f>
        <v/>
      </c>
    </row>
    <row r="40" spans="2:14" x14ac:dyDescent="0.2">
      <c r="B40" s="13" t="str">
        <f>IF(Produse!$B$40="","",Produse!$B$40)</f>
        <v/>
      </c>
      <c r="C40" s="12" t="str">
        <f>IF($B40="","",Produse!$C$40)</f>
        <v/>
      </c>
      <c r="D40" s="13" t="str">
        <f>IF($B40="","",Produse!$D$40)</f>
        <v/>
      </c>
      <c r="E40" s="24" t="str">
        <f>IF($B40="","",N(Produse!$F$40))</f>
        <v/>
      </c>
      <c r="F40" s="24" t="str">
        <f>IF($B40="","",SUMIFS(Mișcări!$H$5:$H$2004,Mișcări!$E$5:$E$2004,$B40))</f>
        <v/>
      </c>
      <c r="G40" s="24" t="str">
        <f>IF($B40="","",SUMIFS(Mișcări!$I$5:$I$2004,Mișcări!$E$5:$E$2004,$B40))</f>
        <v/>
      </c>
      <c r="H40" s="14" t="str">
        <f t="shared" si="3"/>
        <v/>
      </c>
      <c r="I40" s="24" t="str">
        <f>IF($B40="","",N(Produse!$G$40))</f>
        <v/>
      </c>
      <c r="J40" s="28" t="str">
        <f>IF($B40="","",H40*N(Produse!$E$40))</f>
        <v/>
      </c>
      <c r="K40" s="13" t="str">
        <f t="shared" si="4"/>
        <v/>
      </c>
      <c r="L40" s="13" t="str">
        <f>IF($B40="","",COUNTIF(Mișcări!$E$5:$E$2004,$B40))</f>
        <v/>
      </c>
      <c r="M40" s="12" t="str">
        <f t="shared" si="5"/>
        <v/>
      </c>
      <c r="N40" s="1" t="str">
        <f>IF($B40="","",IFERROR(_xlfn.AGGREGATE(14,6,Mișcări!$B$5:$B$2004/(Mișcări!$E$5:$E$2004=$B40),1),""))</f>
        <v/>
      </c>
    </row>
    <row r="41" spans="2:14" x14ac:dyDescent="0.2">
      <c r="B41" s="13" t="str">
        <f>IF(Produse!$B$41="","",Produse!$B$41)</f>
        <v/>
      </c>
      <c r="C41" s="12" t="str">
        <f>IF($B41="","",Produse!$C$41)</f>
        <v/>
      </c>
      <c r="D41" s="13" t="str">
        <f>IF($B41="","",Produse!$D$41)</f>
        <v/>
      </c>
      <c r="E41" s="24" t="str">
        <f>IF($B41="","",N(Produse!$F$41))</f>
        <v/>
      </c>
      <c r="F41" s="24" t="str">
        <f>IF($B41="","",SUMIFS(Mișcări!$H$5:$H$2004,Mișcări!$E$5:$E$2004,$B41))</f>
        <v/>
      </c>
      <c r="G41" s="24" t="str">
        <f>IF($B41="","",SUMIFS(Mișcări!$I$5:$I$2004,Mișcări!$E$5:$E$2004,$B41))</f>
        <v/>
      </c>
      <c r="H41" s="14" t="str">
        <f t="shared" si="3"/>
        <v/>
      </c>
      <c r="I41" s="24" t="str">
        <f>IF($B41="","",N(Produse!$G$41))</f>
        <v/>
      </c>
      <c r="J41" s="28" t="str">
        <f>IF($B41="","",H41*N(Produse!$E$41))</f>
        <v/>
      </c>
      <c r="K41" s="13" t="str">
        <f t="shared" si="4"/>
        <v/>
      </c>
      <c r="L41" s="13" t="str">
        <f>IF($B41="","",COUNTIF(Mișcări!$E$5:$E$2004,$B41))</f>
        <v/>
      </c>
      <c r="M41" s="12" t="str">
        <f t="shared" si="5"/>
        <v/>
      </c>
      <c r="N41" s="1" t="str">
        <f>IF($B41="","",IFERROR(_xlfn.AGGREGATE(14,6,Mișcări!$B$5:$B$2004/(Mișcări!$E$5:$E$2004=$B41),1),""))</f>
        <v/>
      </c>
    </row>
    <row r="42" spans="2:14" x14ac:dyDescent="0.2">
      <c r="B42" s="13" t="str">
        <f>IF(Produse!$B$42="","",Produse!$B$42)</f>
        <v/>
      </c>
      <c r="C42" s="12" t="str">
        <f>IF($B42="","",Produse!$C$42)</f>
        <v/>
      </c>
      <c r="D42" s="13" t="str">
        <f>IF($B42="","",Produse!$D$42)</f>
        <v/>
      </c>
      <c r="E42" s="24" t="str">
        <f>IF($B42="","",N(Produse!$F$42))</f>
        <v/>
      </c>
      <c r="F42" s="24" t="str">
        <f>IF($B42="","",SUMIFS(Mișcări!$H$5:$H$2004,Mișcări!$E$5:$E$2004,$B42))</f>
        <v/>
      </c>
      <c r="G42" s="24" t="str">
        <f>IF($B42="","",SUMIFS(Mișcări!$I$5:$I$2004,Mișcări!$E$5:$E$2004,$B42))</f>
        <v/>
      </c>
      <c r="H42" s="14" t="str">
        <f t="shared" si="3"/>
        <v/>
      </c>
      <c r="I42" s="24" t="str">
        <f>IF($B42="","",N(Produse!$G$42))</f>
        <v/>
      </c>
      <c r="J42" s="28" t="str">
        <f>IF($B42="","",H42*N(Produse!$E$42))</f>
        <v/>
      </c>
      <c r="K42" s="13" t="str">
        <f t="shared" si="4"/>
        <v/>
      </c>
      <c r="L42" s="13" t="str">
        <f>IF($B42="","",COUNTIF(Mișcări!$E$5:$E$2004,$B42))</f>
        <v/>
      </c>
      <c r="M42" s="12" t="str">
        <f t="shared" si="5"/>
        <v/>
      </c>
      <c r="N42" s="1" t="str">
        <f>IF($B42="","",IFERROR(_xlfn.AGGREGATE(14,6,Mișcări!$B$5:$B$2004/(Mișcări!$E$5:$E$2004=$B42),1),""))</f>
        <v/>
      </c>
    </row>
    <row r="43" spans="2:14" x14ac:dyDescent="0.2">
      <c r="B43" s="13" t="str">
        <f>IF(Produse!$B$43="","",Produse!$B$43)</f>
        <v/>
      </c>
      <c r="C43" s="12" t="str">
        <f>IF($B43="","",Produse!$C$43)</f>
        <v/>
      </c>
      <c r="D43" s="13" t="str">
        <f>IF($B43="","",Produse!$D$43)</f>
        <v/>
      </c>
      <c r="E43" s="24" t="str">
        <f>IF($B43="","",N(Produse!$F$43))</f>
        <v/>
      </c>
      <c r="F43" s="24" t="str">
        <f>IF($B43="","",SUMIFS(Mișcări!$H$5:$H$2004,Mișcări!$E$5:$E$2004,$B43))</f>
        <v/>
      </c>
      <c r="G43" s="24" t="str">
        <f>IF($B43="","",SUMIFS(Mișcări!$I$5:$I$2004,Mișcări!$E$5:$E$2004,$B43))</f>
        <v/>
      </c>
      <c r="H43" s="14" t="str">
        <f t="shared" si="3"/>
        <v/>
      </c>
      <c r="I43" s="24" t="str">
        <f>IF($B43="","",N(Produse!$G$43))</f>
        <v/>
      </c>
      <c r="J43" s="28" t="str">
        <f>IF($B43="","",H43*N(Produse!$E$43))</f>
        <v/>
      </c>
      <c r="K43" s="13" t="str">
        <f t="shared" si="4"/>
        <v/>
      </c>
      <c r="L43" s="13" t="str">
        <f>IF($B43="","",COUNTIF(Mișcări!$E$5:$E$2004,$B43))</f>
        <v/>
      </c>
      <c r="M43" s="12" t="str">
        <f t="shared" si="5"/>
        <v/>
      </c>
      <c r="N43" s="1" t="str">
        <f>IF($B43="","",IFERROR(_xlfn.AGGREGATE(14,6,Mișcări!$B$5:$B$2004/(Mișcări!$E$5:$E$2004=$B43),1),""))</f>
        <v/>
      </c>
    </row>
    <row r="44" spans="2:14" x14ac:dyDescent="0.2">
      <c r="B44" s="13" t="str">
        <f>IF(Produse!$B$44="","",Produse!$B$44)</f>
        <v/>
      </c>
      <c r="C44" s="12" t="str">
        <f>IF($B44="","",Produse!$C$44)</f>
        <v/>
      </c>
      <c r="D44" s="13" t="str">
        <f>IF($B44="","",Produse!$D$44)</f>
        <v/>
      </c>
      <c r="E44" s="24" t="str">
        <f>IF($B44="","",N(Produse!$F$44))</f>
        <v/>
      </c>
      <c r="F44" s="24" t="str">
        <f>IF($B44="","",SUMIFS(Mișcări!$H$5:$H$2004,Mișcări!$E$5:$E$2004,$B44))</f>
        <v/>
      </c>
      <c r="G44" s="24" t="str">
        <f>IF($B44="","",SUMIFS(Mișcări!$I$5:$I$2004,Mișcări!$E$5:$E$2004,$B44))</f>
        <v/>
      </c>
      <c r="H44" s="14" t="str">
        <f t="shared" si="3"/>
        <v/>
      </c>
      <c r="I44" s="24" t="str">
        <f>IF($B44="","",N(Produse!$G$44))</f>
        <v/>
      </c>
      <c r="J44" s="28" t="str">
        <f>IF($B44="","",H44*N(Produse!$E$44))</f>
        <v/>
      </c>
      <c r="K44" s="13" t="str">
        <f t="shared" si="4"/>
        <v/>
      </c>
      <c r="L44" s="13" t="str">
        <f>IF($B44="","",COUNTIF(Mișcări!$E$5:$E$2004,$B44))</f>
        <v/>
      </c>
      <c r="M44" s="12" t="str">
        <f t="shared" si="5"/>
        <v/>
      </c>
      <c r="N44" s="1" t="str">
        <f>IF($B44="","",IFERROR(_xlfn.AGGREGATE(14,6,Mișcări!$B$5:$B$2004/(Mișcări!$E$5:$E$2004=$B44),1),""))</f>
        <v/>
      </c>
    </row>
    <row r="45" spans="2:14" x14ac:dyDescent="0.2">
      <c r="B45" s="13" t="str">
        <f>IF(Produse!$B$45="","",Produse!$B$45)</f>
        <v/>
      </c>
      <c r="C45" s="12" t="str">
        <f>IF($B45="","",Produse!$C$45)</f>
        <v/>
      </c>
      <c r="D45" s="13" t="str">
        <f>IF($B45="","",Produse!$D$45)</f>
        <v/>
      </c>
      <c r="E45" s="24" t="str">
        <f>IF($B45="","",N(Produse!$F$45))</f>
        <v/>
      </c>
      <c r="F45" s="24" t="str">
        <f>IF($B45="","",SUMIFS(Mișcări!$H$5:$H$2004,Mișcări!$E$5:$E$2004,$B45))</f>
        <v/>
      </c>
      <c r="G45" s="24" t="str">
        <f>IF($B45="","",SUMIFS(Mișcări!$I$5:$I$2004,Mișcări!$E$5:$E$2004,$B45))</f>
        <v/>
      </c>
      <c r="H45" s="14" t="str">
        <f t="shared" si="3"/>
        <v/>
      </c>
      <c r="I45" s="24" t="str">
        <f>IF($B45="","",N(Produse!$G$45))</f>
        <v/>
      </c>
      <c r="J45" s="28" t="str">
        <f>IF($B45="","",H45*N(Produse!$E$45))</f>
        <v/>
      </c>
      <c r="K45" s="13" t="str">
        <f t="shared" si="4"/>
        <v/>
      </c>
      <c r="L45" s="13" t="str">
        <f>IF($B45="","",COUNTIF(Mișcări!$E$5:$E$2004,$B45))</f>
        <v/>
      </c>
      <c r="M45" s="12" t="str">
        <f t="shared" si="5"/>
        <v/>
      </c>
      <c r="N45" s="1" t="str">
        <f>IF($B45="","",IFERROR(_xlfn.AGGREGATE(14,6,Mișcări!$B$5:$B$2004/(Mișcări!$E$5:$E$2004=$B45),1),""))</f>
        <v/>
      </c>
    </row>
    <row r="46" spans="2:14" x14ac:dyDescent="0.2">
      <c r="B46" s="13" t="str">
        <f>IF(Produse!$B$46="","",Produse!$B$46)</f>
        <v/>
      </c>
      <c r="C46" s="12" t="str">
        <f>IF($B46="","",Produse!$C$46)</f>
        <v/>
      </c>
      <c r="D46" s="13" t="str">
        <f>IF($B46="","",Produse!$D$46)</f>
        <v/>
      </c>
      <c r="E46" s="24" t="str">
        <f>IF($B46="","",N(Produse!$F$46))</f>
        <v/>
      </c>
      <c r="F46" s="24" t="str">
        <f>IF($B46="","",SUMIFS(Mișcări!$H$5:$H$2004,Mișcări!$E$5:$E$2004,$B46))</f>
        <v/>
      </c>
      <c r="G46" s="24" t="str">
        <f>IF($B46="","",SUMIFS(Mișcări!$I$5:$I$2004,Mișcări!$E$5:$E$2004,$B46))</f>
        <v/>
      </c>
      <c r="H46" s="14" t="str">
        <f t="shared" si="3"/>
        <v/>
      </c>
      <c r="I46" s="24" t="str">
        <f>IF($B46="","",N(Produse!$G$46))</f>
        <v/>
      </c>
      <c r="J46" s="28" t="str">
        <f>IF($B46="","",H46*N(Produse!$E$46))</f>
        <v/>
      </c>
      <c r="K46" s="13" t="str">
        <f t="shared" si="4"/>
        <v/>
      </c>
      <c r="L46" s="13" t="str">
        <f>IF($B46="","",COUNTIF(Mișcări!$E$5:$E$2004,$B46))</f>
        <v/>
      </c>
      <c r="M46" s="12" t="str">
        <f t="shared" si="5"/>
        <v/>
      </c>
      <c r="N46" s="1" t="str">
        <f>IF($B46="","",IFERROR(_xlfn.AGGREGATE(14,6,Mișcări!$B$5:$B$2004/(Mișcări!$E$5:$E$2004=$B46),1),""))</f>
        <v/>
      </c>
    </row>
    <row r="47" spans="2:14" x14ac:dyDescent="0.2">
      <c r="B47" s="13" t="str">
        <f>IF(Produse!$B$47="","",Produse!$B$47)</f>
        <v/>
      </c>
      <c r="C47" s="12" t="str">
        <f>IF($B47="","",Produse!$C$47)</f>
        <v/>
      </c>
      <c r="D47" s="13" t="str">
        <f>IF($B47="","",Produse!$D$47)</f>
        <v/>
      </c>
      <c r="E47" s="24" t="str">
        <f>IF($B47="","",N(Produse!$F$47))</f>
        <v/>
      </c>
      <c r="F47" s="24" t="str">
        <f>IF($B47="","",SUMIFS(Mișcări!$H$5:$H$2004,Mișcări!$E$5:$E$2004,$B47))</f>
        <v/>
      </c>
      <c r="G47" s="24" t="str">
        <f>IF($B47="","",SUMIFS(Mișcări!$I$5:$I$2004,Mișcări!$E$5:$E$2004,$B47))</f>
        <v/>
      </c>
      <c r="H47" s="14" t="str">
        <f t="shared" si="3"/>
        <v/>
      </c>
      <c r="I47" s="24" t="str">
        <f>IF($B47="","",N(Produse!$G$47))</f>
        <v/>
      </c>
      <c r="J47" s="28" t="str">
        <f>IF($B47="","",H47*N(Produse!$E$47))</f>
        <v/>
      </c>
      <c r="K47" s="13" t="str">
        <f t="shared" si="4"/>
        <v/>
      </c>
      <c r="L47" s="13" t="str">
        <f>IF($B47="","",COUNTIF(Mișcări!$E$5:$E$2004,$B47))</f>
        <v/>
      </c>
      <c r="M47" s="12" t="str">
        <f t="shared" si="5"/>
        <v/>
      </c>
      <c r="N47" s="1" t="str">
        <f>IF($B47="","",IFERROR(_xlfn.AGGREGATE(14,6,Mișcări!$B$5:$B$2004/(Mișcări!$E$5:$E$2004=$B47),1),""))</f>
        <v/>
      </c>
    </row>
    <row r="48" spans="2:14" x14ac:dyDescent="0.2">
      <c r="B48" s="13" t="str">
        <f>IF(Produse!$B$48="","",Produse!$B$48)</f>
        <v/>
      </c>
      <c r="C48" s="12" t="str">
        <f>IF($B48="","",Produse!$C$48)</f>
        <v/>
      </c>
      <c r="D48" s="13" t="str">
        <f>IF($B48="","",Produse!$D$48)</f>
        <v/>
      </c>
      <c r="E48" s="24" t="str">
        <f>IF($B48="","",N(Produse!$F$48))</f>
        <v/>
      </c>
      <c r="F48" s="24" t="str">
        <f>IF($B48="","",SUMIFS(Mișcări!$H$5:$H$2004,Mișcări!$E$5:$E$2004,$B48))</f>
        <v/>
      </c>
      <c r="G48" s="24" t="str">
        <f>IF($B48="","",SUMIFS(Mișcări!$I$5:$I$2004,Mișcări!$E$5:$E$2004,$B48))</f>
        <v/>
      </c>
      <c r="H48" s="14" t="str">
        <f t="shared" si="3"/>
        <v/>
      </c>
      <c r="I48" s="24" t="str">
        <f>IF($B48="","",N(Produse!$G$48))</f>
        <v/>
      </c>
      <c r="J48" s="28" t="str">
        <f>IF($B48="","",H48*N(Produse!$E$48))</f>
        <v/>
      </c>
      <c r="K48" s="13" t="str">
        <f t="shared" si="4"/>
        <v/>
      </c>
      <c r="L48" s="13" t="str">
        <f>IF($B48="","",COUNTIF(Mișcări!$E$5:$E$2004,$B48))</f>
        <v/>
      </c>
      <c r="M48" s="12" t="str">
        <f t="shared" si="5"/>
        <v/>
      </c>
      <c r="N48" s="1" t="str">
        <f>IF($B48="","",IFERROR(_xlfn.AGGREGATE(14,6,Mișcări!$B$5:$B$2004/(Mișcări!$E$5:$E$2004=$B48),1),""))</f>
        <v/>
      </c>
    </row>
    <row r="49" spans="2:14" x14ac:dyDescent="0.2">
      <c r="B49" s="13" t="str">
        <f>IF(Produse!$B$49="","",Produse!$B$49)</f>
        <v/>
      </c>
      <c r="C49" s="12" t="str">
        <f>IF($B49="","",Produse!$C$49)</f>
        <v/>
      </c>
      <c r="D49" s="13" t="str">
        <f>IF($B49="","",Produse!$D$49)</f>
        <v/>
      </c>
      <c r="E49" s="24" t="str">
        <f>IF($B49="","",N(Produse!$F$49))</f>
        <v/>
      </c>
      <c r="F49" s="24" t="str">
        <f>IF($B49="","",SUMIFS(Mișcări!$H$5:$H$2004,Mișcări!$E$5:$E$2004,$B49))</f>
        <v/>
      </c>
      <c r="G49" s="24" t="str">
        <f>IF($B49="","",SUMIFS(Mișcări!$I$5:$I$2004,Mișcări!$E$5:$E$2004,$B49))</f>
        <v/>
      </c>
      <c r="H49" s="14" t="str">
        <f t="shared" si="3"/>
        <v/>
      </c>
      <c r="I49" s="24" t="str">
        <f>IF($B49="","",N(Produse!$G$49))</f>
        <v/>
      </c>
      <c r="J49" s="28" t="str">
        <f>IF($B49="","",H49*N(Produse!$E$49))</f>
        <v/>
      </c>
      <c r="K49" s="13" t="str">
        <f t="shared" si="4"/>
        <v/>
      </c>
      <c r="L49" s="13" t="str">
        <f>IF($B49="","",COUNTIF(Mișcări!$E$5:$E$2004,$B49))</f>
        <v/>
      </c>
      <c r="M49" s="12" t="str">
        <f t="shared" si="5"/>
        <v/>
      </c>
      <c r="N49" s="1" t="str">
        <f>IF($B49="","",IFERROR(_xlfn.AGGREGATE(14,6,Mișcări!$B$5:$B$2004/(Mișcări!$E$5:$E$2004=$B49),1),""))</f>
        <v/>
      </c>
    </row>
    <row r="50" spans="2:14" x14ac:dyDescent="0.2">
      <c r="B50" s="13" t="str">
        <f>IF(Produse!$B$50="","",Produse!$B$50)</f>
        <v/>
      </c>
      <c r="C50" s="12" t="str">
        <f>IF($B50="","",Produse!$C$50)</f>
        <v/>
      </c>
      <c r="D50" s="13" t="str">
        <f>IF($B50="","",Produse!$D$50)</f>
        <v/>
      </c>
      <c r="E50" s="24" t="str">
        <f>IF($B50="","",N(Produse!$F$50))</f>
        <v/>
      </c>
      <c r="F50" s="24" t="str">
        <f>IF($B50="","",SUMIFS(Mișcări!$H$5:$H$2004,Mișcări!$E$5:$E$2004,$B50))</f>
        <v/>
      </c>
      <c r="G50" s="24" t="str">
        <f>IF($B50="","",SUMIFS(Mișcări!$I$5:$I$2004,Mișcări!$E$5:$E$2004,$B50))</f>
        <v/>
      </c>
      <c r="H50" s="14" t="str">
        <f t="shared" si="3"/>
        <v/>
      </c>
      <c r="I50" s="24" t="str">
        <f>IF($B50="","",N(Produse!$G$50))</f>
        <v/>
      </c>
      <c r="J50" s="28" t="str">
        <f>IF($B50="","",H50*N(Produse!$E$50))</f>
        <v/>
      </c>
      <c r="K50" s="13" t="str">
        <f t="shared" si="4"/>
        <v/>
      </c>
      <c r="L50" s="13" t="str">
        <f>IF($B50="","",COUNTIF(Mișcări!$E$5:$E$2004,$B50))</f>
        <v/>
      </c>
      <c r="M50" s="12" t="str">
        <f t="shared" si="5"/>
        <v/>
      </c>
      <c r="N50" s="1" t="str">
        <f>IF($B50="","",IFERROR(_xlfn.AGGREGATE(14,6,Mișcări!$B$5:$B$2004/(Mișcări!$E$5:$E$2004=$B50),1),""))</f>
        <v/>
      </c>
    </row>
    <row r="51" spans="2:14" x14ac:dyDescent="0.2">
      <c r="B51" s="13" t="str">
        <f>IF(Produse!$B$51="","",Produse!$B$51)</f>
        <v/>
      </c>
      <c r="C51" s="12" t="str">
        <f>IF($B51="","",Produse!$C$51)</f>
        <v/>
      </c>
      <c r="D51" s="13" t="str">
        <f>IF($B51="","",Produse!$D$51)</f>
        <v/>
      </c>
      <c r="E51" s="24" t="str">
        <f>IF($B51="","",N(Produse!$F$51))</f>
        <v/>
      </c>
      <c r="F51" s="24" t="str">
        <f>IF($B51="","",SUMIFS(Mișcări!$H$5:$H$2004,Mișcări!$E$5:$E$2004,$B51))</f>
        <v/>
      </c>
      <c r="G51" s="24" t="str">
        <f>IF($B51="","",SUMIFS(Mișcări!$I$5:$I$2004,Mișcări!$E$5:$E$2004,$B51))</f>
        <v/>
      </c>
      <c r="H51" s="14" t="str">
        <f t="shared" si="3"/>
        <v/>
      </c>
      <c r="I51" s="24" t="str">
        <f>IF($B51="","",N(Produse!$G$51))</f>
        <v/>
      </c>
      <c r="J51" s="28" t="str">
        <f>IF($B51="","",H51*N(Produse!$E$51))</f>
        <v/>
      </c>
      <c r="K51" s="13" t="str">
        <f t="shared" si="4"/>
        <v/>
      </c>
      <c r="L51" s="13" t="str">
        <f>IF($B51="","",COUNTIF(Mișcări!$E$5:$E$2004,$B51))</f>
        <v/>
      </c>
      <c r="M51" s="12" t="str">
        <f t="shared" si="5"/>
        <v/>
      </c>
      <c r="N51" s="1" t="str">
        <f>IF($B51="","",IFERROR(_xlfn.AGGREGATE(14,6,Mișcări!$B$5:$B$2004/(Mișcări!$E$5:$E$2004=$B51),1),""))</f>
        <v/>
      </c>
    </row>
    <row r="52" spans="2:14" x14ac:dyDescent="0.2">
      <c r="B52" s="13" t="str">
        <f>IF(Produse!$B$52="","",Produse!$B$52)</f>
        <v/>
      </c>
      <c r="C52" s="12" t="str">
        <f>IF($B52="","",Produse!$C$52)</f>
        <v/>
      </c>
      <c r="D52" s="13" t="str">
        <f>IF($B52="","",Produse!$D$52)</f>
        <v/>
      </c>
      <c r="E52" s="24" t="str">
        <f>IF($B52="","",N(Produse!$F$52))</f>
        <v/>
      </c>
      <c r="F52" s="24" t="str">
        <f>IF($B52="","",SUMIFS(Mișcări!$H$5:$H$2004,Mișcări!$E$5:$E$2004,$B52))</f>
        <v/>
      </c>
      <c r="G52" s="24" t="str">
        <f>IF($B52="","",SUMIFS(Mișcări!$I$5:$I$2004,Mișcări!$E$5:$E$2004,$B52))</f>
        <v/>
      </c>
      <c r="H52" s="14" t="str">
        <f t="shared" si="3"/>
        <v/>
      </c>
      <c r="I52" s="24" t="str">
        <f>IF($B52="","",N(Produse!$G$52))</f>
        <v/>
      </c>
      <c r="J52" s="28" t="str">
        <f>IF($B52="","",H52*N(Produse!$E$52))</f>
        <v/>
      </c>
      <c r="K52" s="13" t="str">
        <f t="shared" si="4"/>
        <v/>
      </c>
      <c r="L52" s="13" t="str">
        <f>IF($B52="","",COUNTIF(Mișcări!$E$5:$E$2004,$B52))</f>
        <v/>
      </c>
      <c r="M52" s="12" t="str">
        <f t="shared" si="5"/>
        <v/>
      </c>
      <c r="N52" s="1" t="str">
        <f>IF($B52="","",IFERROR(_xlfn.AGGREGATE(14,6,Mișcări!$B$5:$B$2004/(Mișcări!$E$5:$E$2004=$B52),1),""))</f>
        <v/>
      </c>
    </row>
    <row r="53" spans="2:14" x14ac:dyDescent="0.2">
      <c r="B53" s="13" t="str">
        <f>IF(Produse!$B$53="","",Produse!$B$53)</f>
        <v/>
      </c>
      <c r="C53" s="12" t="str">
        <f>IF($B53="","",Produse!$C$53)</f>
        <v/>
      </c>
      <c r="D53" s="13" t="str">
        <f>IF($B53="","",Produse!$D$53)</f>
        <v/>
      </c>
      <c r="E53" s="24" t="str">
        <f>IF($B53="","",N(Produse!$F$53))</f>
        <v/>
      </c>
      <c r="F53" s="24" t="str">
        <f>IF($B53="","",SUMIFS(Mișcări!$H$5:$H$2004,Mișcări!$E$5:$E$2004,$B53))</f>
        <v/>
      </c>
      <c r="G53" s="24" t="str">
        <f>IF($B53="","",SUMIFS(Mișcări!$I$5:$I$2004,Mișcări!$E$5:$E$2004,$B53))</f>
        <v/>
      </c>
      <c r="H53" s="14" t="str">
        <f t="shared" si="3"/>
        <v/>
      </c>
      <c r="I53" s="24" t="str">
        <f>IF($B53="","",N(Produse!$G$53))</f>
        <v/>
      </c>
      <c r="J53" s="28" t="str">
        <f>IF($B53="","",H53*N(Produse!$E$53))</f>
        <v/>
      </c>
      <c r="K53" s="13" t="str">
        <f t="shared" si="4"/>
        <v/>
      </c>
      <c r="L53" s="13" t="str">
        <f>IF($B53="","",COUNTIF(Mișcări!$E$5:$E$2004,$B53))</f>
        <v/>
      </c>
      <c r="M53" s="12" t="str">
        <f t="shared" si="5"/>
        <v/>
      </c>
      <c r="N53" s="1" t="str">
        <f>IF($B53="","",IFERROR(_xlfn.AGGREGATE(14,6,Mișcări!$B$5:$B$2004/(Mișcări!$E$5:$E$2004=$B53),1),""))</f>
        <v/>
      </c>
    </row>
    <row r="54" spans="2:14" x14ac:dyDescent="0.2">
      <c r="B54" s="13" t="str">
        <f>IF(Produse!$B$54="","",Produse!$B$54)</f>
        <v/>
      </c>
      <c r="C54" s="12" t="str">
        <f>IF($B54="","",Produse!$C$54)</f>
        <v/>
      </c>
      <c r="D54" s="13" t="str">
        <f>IF($B54="","",Produse!$D$54)</f>
        <v/>
      </c>
      <c r="E54" s="24" t="str">
        <f>IF($B54="","",N(Produse!$F$54))</f>
        <v/>
      </c>
      <c r="F54" s="24" t="str">
        <f>IF($B54="","",SUMIFS(Mișcări!$H$5:$H$2004,Mișcări!$E$5:$E$2004,$B54))</f>
        <v/>
      </c>
      <c r="G54" s="24" t="str">
        <f>IF($B54="","",SUMIFS(Mișcări!$I$5:$I$2004,Mișcări!$E$5:$E$2004,$B54))</f>
        <v/>
      </c>
      <c r="H54" s="14" t="str">
        <f t="shared" si="3"/>
        <v/>
      </c>
      <c r="I54" s="24" t="str">
        <f>IF($B54="","",N(Produse!$G$54))</f>
        <v/>
      </c>
      <c r="J54" s="28" t="str">
        <f>IF($B54="","",H54*N(Produse!$E$54))</f>
        <v/>
      </c>
      <c r="K54" s="13" t="str">
        <f t="shared" si="4"/>
        <v/>
      </c>
      <c r="L54" s="13" t="str">
        <f>IF($B54="","",COUNTIF(Mișcări!$E$5:$E$2004,$B54))</f>
        <v/>
      </c>
      <c r="M54" s="12" t="str">
        <f t="shared" si="5"/>
        <v/>
      </c>
      <c r="N54" s="1" t="str">
        <f>IF($B54="","",IFERROR(_xlfn.AGGREGATE(14,6,Mișcări!$B$5:$B$2004/(Mișcări!$E$5:$E$2004=$B54),1),""))</f>
        <v/>
      </c>
    </row>
    <row r="55" spans="2:14" x14ac:dyDescent="0.2">
      <c r="B55" s="13" t="str">
        <f>IF(Produse!$B$55="","",Produse!$B$55)</f>
        <v/>
      </c>
      <c r="C55" s="12" t="str">
        <f>IF($B55="","",Produse!$C$55)</f>
        <v/>
      </c>
      <c r="D55" s="13" t="str">
        <f>IF($B55="","",Produse!$D$55)</f>
        <v/>
      </c>
      <c r="E55" s="24" t="str">
        <f>IF($B55="","",N(Produse!$F$55))</f>
        <v/>
      </c>
      <c r="F55" s="24" t="str">
        <f>IF($B55="","",SUMIFS(Mișcări!$H$5:$H$2004,Mișcări!$E$5:$E$2004,$B55))</f>
        <v/>
      </c>
      <c r="G55" s="24" t="str">
        <f>IF($B55="","",SUMIFS(Mișcări!$I$5:$I$2004,Mișcări!$E$5:$E$2004,$B55))</f>
        <v/>
      </c>
      <c r="H55" s="14" t="str">
        <f t="shared" si="3"/>
        <v/>
      </c>
      <c r="I55" s="24" t="str">
        <f>IF($B55="","",N(Produse!$G$55))</f>
        <v/>
      </c>
      <c r="J55" s="28" t="str">
        <f>IF($B55="","",H55*N(Produse!$E$55))</f>
        <v/>
      </c>
      <c r="K55" s="13" t="str">
        <f t="shared" si="4"/>
        <v/>
      </c>
      <c r="L55" s="13" t="str">
        <f>IF($B55="","",COUNTIF(Mișcări!$E$5:$E$2004,$B55))</f>
        <v/>
      </c>
      <c r="M55" s="12" t="str">
        <f t="shared" si="5"/>
        <v/>
      </c>
      <c r="N55" s="1" t="str">
        <f>IF($B55="","",IFERROR(_xlfn.AGGREGATE(14,6,Mișcări!$B$5:$B$2004/(Mișcări!$E$5:$E$2004=$B55),1),""))</f>
        <v/>
      </c>
    </row>
    <row r="56" spans="2:14" x14ac:dyDescent="0.2">
      <c r="B56" s="13" t="str">
        <f>IF(Produse!$B$56="","",Produse!$B$56)</f>
        <v/>
      </c>
      <c r="C56" s="12" t="str">
        <f>IF($B56="","",Produse!$C$56)</f>
        <v/>
      </c>
      <c r="D56" s="13" t="str">
        <f>IF($B56="","",Produse!$D$56)</f>
        <v/>
      </c>
      <c r="E56" s="24" t="str">
        <f>IF($B56="","",N(Produse!$F$56))</f>
        <v/>
      </c>
      <c r="F56" s="24" t="str">
        <f>IF($B56="","",SUMIFS(Mișcări!$H$5:$H$2004,Mișcări!$E$5:$E$2004,$B56))</f>
        <v/>
      </c>
      <c r="G56" s="24" t="str">
        <f>IF($B56="","",SUMIFS(Mișcări!$I$5:$I$2004,Mișcări!$E$5:$E$2004,$B56))</f>
        <v/>
      </c>
      <c r="H56" s="14" t="str">
        <f t="shared" si="3"/>
        <v/>
      </c>
      <c r="I56" s="24" t="str">
        <f>IF($B56="","",N(Produse!$G$56))</f>
        <v/>
      </c>
      <c r="J56" s="28" t="str">
        <f>IF($B56="","",H56*N(Produse!$E$56))</f>
        <v/>
      </c>
      <c r="K56" s="13" t="str">
        <f t="shared" si="4"/>
        <v/>
      </c>
      <c r="L56" s="13" t="str">
        <f>IF($B56="","",COUNTIF(Mișcări!$E$5:$E$2004,$B56))</f>
        <v/>
      </c>
      <c r="M56" s="12" t="str">
        <f t="shared" si="5"/>
        <v/>
      </c>
      <c r="N56" s="1" t="str">
        <f>IF($B56="","",IFERROR(_xlfn.AGGREGATE(14,6,Mișcări!$B$5:$B$2004/(Mișcări!$E$5:$E$2004=$B56),1),""))</f>
        <v/>
      </c>
    </row>
    <row r="57" spans="2:14" x14ac:dyDescent="0.2">
      <c r="B57" s="13" t="str">
        <f>IF(Produse!$B$57="","",Produse!$B$57)</f>
        <v/>
      </c>
      <c r="C57" s="12" t="str">
        <f>IF($B57="","",Produse!$C$57)</f>
        <v/>
      </c>
      <c r="D57" s="13" t="str">
        <f>IF($B57="","",Produse!$D$57)</f>
        <v/>
      </c>
      <c r="E57" s="24" t="str">
        <f>IF($B57="","",N(Produse!$F$57))</f>
        <v/>
      </c>
      <c r="F57" s="24" t="str">
        <f>IF($B57="","",SUMIFS(Mișcări!$H$5:$H$2004,Mișcări!$E$5:$E$2004,$B57))</f>
        <v/>
      </c>
      <c r="G57" s="24" t="str">
        <f>IF($B57="","",SUMIFS(Mișcări!$I$5:$I$2004,Mișcări!$E$5:$E$2004,$B57))</f>
        <v/>
      </c>
      <c r="H57" s="14" t="str">
        <f t="shared" si="3"/>
        <v/>
      </c>
      <c r="I57" s="24" t="str">
        <f>IF($B57="","",N(Produse!$G$57))</f>
        <v/>
      </c>
      <c r="J57" s="28" t="str">
        <f>IF($B57="","",H57*N(Produse!$E$57))</f>
        <v/>
      </c>
      <c r="K57" s="13" t="str">
        <f t="shared" si="4"/>
        <v/>
      </c>
      <c r="L57" s="13" t="str">
        <f>IF($B57="","",COUNTIF(Mișcări!$E$5:$E$2004,$B57))</f>
        <v/>
      </c>
      <c r="M57" s="12" t="str">
        <f t="shared" si="5"/>
        <v/>
      </c>
      <c r="N57" s="1" t="str">
        <f>IF($B57="","",IFERROR(_xlfn.AGGREGATE(14,6,Mișcări!$B$5:$B$2004/(Mișcări!$E$5:$E$2004=$B57),1),""))</f>
        <v/>
      </c>
    </row>
    <row r="58" spans="2:14" x14ac:dyDescent="0.2">
      <c r="B58" s="13" t="str">
        <f>IF(Produse!$B$58="","",Produse!$B$58)</f>
        <v/>
      </c>
      <c r="C58" s="12" t="str">
        <f>IF($B58="","",Produse!$C$58)</f>
        <v/>
      </c>
      <c r="D58" s="13" t="str">
        <f>IF($B58="","",Produse!$D$58)</f>
        <v/>
      </c>
      <c r="E58" s="24" t="str">
        <f>IF($B58="","",N(Produse!$F$58))</f>
        <v/>
      </c>
      <c r="F58" s="24" t="str">
        <f>IF($B58="","",SUMIFS(Mișcări!$H$5:$H$2004,Mișcări!$E$5:$E$2004,$B58))</f>
        <v/>
      </c>
      <c r="G58" s="24" t="str">
        <f>IF($B58="","",SUMIFS(Mișcări!$I$5:$I$2004,Mișcări!$E$5:$E$2004,$B58))</f>
        <v/>
      </c>
      <c r="H58" s="14" t="str">
        <f t="shared" si="3"/>
        <v/>
      </c>
      <c r="I58" s="24" t="str">
        <f>IF($B58="","",N(Produse!$G$58))</f>
        <v/>
      </c>
      <c r="J58" s="28" t="str">
        <f>IF($B58="","",H58*N(Produse!$E$58))</f>
        <v/>
      </c>
      <c r="K58" s="13" t="str">
        <f t="shared" si="4"/>
        <v/>
      </c>
      <c r="L58" s="13" t="str">
        <f>IF($B58="","",COUNTIF(Mișcări!$E$5:$E$2004,$B58))</f>
        <v/>
      </c>
      <c r="M58" s="12" t="str">
        <f t="shared" si="5"/>
        <v/>
      </c>
      <c r="N58" s="1" t="str">
        <f>IF($B58="","",IFERROR(_xlfn.AGGREGATE(14,6,Mișcări!$B$5:$B$2004/(Mișcări!$E$5:$E$2004=$B58),1),""))</f>
        <v/>
      </c>
    </row>
    <row r="59" spans="2:14" x14ac:dyDescent="0.2">
      <c r="B59" s="13" t="str">
        <f>IF(Produse!$B$59="","",Produse!$B$59)</f>
        <v/>
      </c>
      <c r="C59" s="12" t="str">
        <f>IF($B59="","",Produse!$C$59)</f>
        <v/>
      </c>
      <c r="D59" s="13" t="str">
        <f>IF($B59="","",Produse!$D$59)</f>
        <v/>
      </c>
      <c r="E59" s="24" t="str">
        <f>IF($B59="","",N(Produse!$F$59))</f>
        <v/>
      </c>
      <c r="F59" s="24" t="str">
        <f>IF($B59="","",SUMIFS(Mișcări!$H$5:$H$2004,Mișcări!$E$5:$E$2004,$B59))</f>
        <v/>
      </c>
      <c r="G59" s="24" t="str">
        <f>IF($B59="","",SUMIFS(Mișcări!$I$5:$I$2004,Mișcări!$E$5:$E$2004,$B59))</f>
        <v/>
      </c>
      <c r="H59" s="14" t="str">
        <f t="shared" si="3"/>
        <v/>
      </c>
      <c r="I59" s="24" t="str">
        <f>IF($B59="","",N(Produse!$G$59))</f>
        <v/>
      </c>
      <c r="J59" s="28" t="str">
        <f>IF($B59="","",H59*N(Produse!$E$59))</f>
        <v/>
      </c>
      <c r="K59" s="13" t="str">
        <f t="shared" si="4"/>
        <v/>
      </c>
      <c r="L59" s="13" t="str">
        <f>IF($B59="","",COUNTIF(Mișcări!$E$5:$E$2004,$B59))</f>
        <v/>
      </c>
      <c r="M59" s="12" t="str">
        <f t="shared" si="5"/>
        <v/>
      </c>
      <c r="N59" s="1" t="str">
        <f>IF($B59="","",IFERROR(_xlfn.AGGREGATE(14,6,Mișcări!$B$5:$B$2004/(Mișcări!$E$5:$E$2004=$B59),1),""))</f>
        <v/>
      </c>
    </row>
    <row r="60" spans="2:14" x14ac:dyDescent="0.2">
      <c r="B60" s="13" t="str">
        <f>IF(Produse!$B$60="","",Produse!$B$60)</f>
        <v/>
      </c>
      <c r="C60" s="12" t="str">
        <f>IF($B60="","",Produse!$C$60)</f>
        <v/>
      </c>
      <c r="D60" s="13" t="str">
        <f>IF($B60="","",Produse!$D$60)</f>
        <v/>
      </c>
      <c r="E60" s="24" t="str">
        <f>IF($B60="","",N(Produse!$F$60))</f>
        <v/>
      </c>
      <c r="F60" s="24" t="str">
        <f>IF($B60="","",SUMIFS(Mișcări!$H$5:$H$2004,Mișcări!$E$5:$E$2004,$B60))</f>
        <v/>
      </c>
      <c r="G60" s="24" t="str">
        <f>IF($B60="","",SUMIFS(Mișcări!$I$5:$I$2004,Mișcări!$E$5:$E$2004,$B60))</f>
        <v/>
      </c>
      <c r="H60" s="14" t="str">
        <f t="shared" si="3"/>
        <v/>
      </c>
      <c r="I60" s="24" t="str">
        <f>IF($B60="","",N(Produse!$G$60))</f>
        <v/>
      </c>
      <c r="J60" s="28" t="str">
        <f>IF($B60="","",H60*N(Produse!$E$60))</f>
        <v/>
      </c>
      <c r="K60" s="13" t="str">
        <f t="shared" si="4"/>
        <v/>
      </c>
      <c r="L60" s="13" t="str">
        <f>IF($B60="","",COUNTIF(Mișcări!$E$5:$E$2004,$B60))</f>
        <v/>
      </c>
      <c r="M60" s="12" t="str">
        <f t="shared" si="5"/>
        <v/>
      </c>
      <c r="N60" s="1" t="str">
        <f>IF($B60="","",IFERROR(_xlfn.AGGREGATE(14,6,Mișcări!$B$5:$B$2004/(Mișcări!$E$5:$E$2004=$B60),1),""))</f>
        <v/>
      </c>
    </row>
    <row r="61" spans="2:14" x14ac:dyDescent="0.2">
      <c r="B61" s="13" t="str">
        <f>IF(Produse!$B$61="","",Produse!$B$61)</f>
        <v/>
      </c>
      <c r="C61" s="12" t="str">
        <f>IF($B61="","",Produse!$C$61)</f>
        <v/>
      </c>
      <c r="D61" s="13" t="str">
        <f>IF($B61="","",Produse!$D$61)</f>
        <v/>
      </c>
      <c r="E61" s="24" t="str">
        <f>IF($B61="","",N(Produse!$F$61))</f>
        <v/>
      </c>
      <c r="F61" s="24" t="str">
        <f>IF($B61="","",SUMIFS(Mișcări!$H$5:$H$2004,Mișcări!$E$5:$E$2004,$B61))</f>
        <v/>
      </c>
      <c r="G61" s="24" t="str">
        <f>IF($B61="","",SUMIFS(Mișcări!$I$5:$I$2004,Mișcări!$E$5:$E$2004,$B61))</f>
        <v/>
      </c>
      <c r="H61" s="14" t="str">
        <f t="shared" si="3"/>
        <v/>
      </c>
      <c r="I61" s="24" t="str">
        <f>IF($B61="","",N(Produse!$G$61))</f>
        <v/>
      </c>
      <c r="J61" s="28" t="str">
        <f>IF($B61="","",H61*N(Produse!$E$61))</f>
        <v/>
      </c>
      <c r="K61" s="13" t="str">
        <f t="shared" si="4"/>
        <v/>
      </c>
      <c r="L61" s="13" t="str">
        <f>IF($B61="","",COUNTIF(Mișcări!$E$5:$E$2004,$B61))</f>
        <v/>
      </c>
      <c r="M61" s="12" t="str">
        <f t="shared" si="5"/>
        <v/>
      </c>
      <c r="N61" s="1" t="str">
        <f>IF($B61="","",IFERROR(_xlfn.AGGREGATE(14,6,Mișcări!$B$5:$B$2004/(Mișcări!$E$5:$E$2004=$B61),1),""))</f>
        <v/>
      </c>
    </row>
    <row r="62" spans="2:14" x14ac:dyDescent="0.2">
      <c r="B62" s="13" t="str">
        <f>IF(Produse!$B$62="","",Produse!$B$62)</f>
        <v/>
      </c>
      <c r="C62" s="12" t="str">
        <f>IF($B62="","",Produse!$C$62)</f>
        <v/>
      </c>
      <c r="D62" s="13" t="str">
        <f>IF($B62="","",Produse!$D$62)</f>
        <v/>
      </c>
      <c r="E62" s="24" t="str">
        <f>IF($B62="","",N(Produse!$F$62))</f>
        <v/>
      </c>
      <c r="F62" s="24" t="str">
        <f>IF($B62="","",SUMIFS(Mișcări!$H$5:$H$2004,Mișcări!$E$5:$E$2004,$B62))</f>
        <v/>
      </c>
      <c r="G62" s="24" t="str">
        <f>IF($B62="","",SUMIFS(Mișcări!$I$5:$I$2004,Mișcări!$E$5:$E$2004,$B62))</f>
        <v/>
      </c>
      <c r="H62" s="14" t="str">
        <f t="shared" si="3"/>
        <v/>
      </c>
      <c r="I62" s="24" t="str">
        <f>IF($B62="","",N(Produse!$G$62))</f>
        <v/>
      </c>
      <c r="J62" s="28" t="str">
        <f>IF($B62="","",H62*N(Produse!$E$62))</f>
        <v/>
      </c>
      <c r="K62" s="13" t="str">
        <f t="shared" si="4"/>
        <v/>
      </c>
      <c r="L62" s="13" t="str">
        <f>IF($B62="","",COUNTIF(Mișcări!$E$5:$E$2004,$B62))</f>
        <v/>
      </c>
      <c r="M62" s="12" t="str">
        <f t="shared" si="5"/>
        <v/>
      </c>
      <c r="N62" s="1" t="str">
        <f>IF($B62="","",IFERROR(_xlfn.AGGREGATE(14,6,Mișcări!$B$5:$B$2004/(Mișcări!$E$5:$E$2004=$B62),1),""))</f>
        <v/>
      </c>
    </row>
    <row r="63" spans="2:14" x14ac:dyDescent="0.2">
      <c r="B63" s="13" t="str">
        <f>IF(Produse!$B$63="","",Produse!$B$63)</f>
        <v/>
      </c>
      <c r="C63" s="12" t="str">
        <f>IF($B63="","",Produse!$C$63)</f>
        <v/>
      </c>
      <c r="D63" s="13" t="str">
        <f>IF($B63="","",Produse!$D$63)</f>
        <v/>
      </c>
      <c r="E63" s="24" t="str">
        <f>IF($B63="","",N(Produse!$F$63))</f>
        <v/>
      </c>
      <c r="F63" s="24" t="str">
        <f>IF($B63="","",SUMIFS(Mișcări!$H$5:$H$2004,Mișcări!$E$5:$E$2004,$B63))</f>
        <v/>
      </c>
      <c r="G63" s="24" t="str">
        <f>IF($B63="","",SUMIFS(Mișcări!$I$5:$I$2004,Mișcări!$E$5:$E$2004,$B63))</f>
        <v/>
      </c>
      <c r="H63" s="14" t="str">
        <f t="shared" si="3"/>
        <v/>
      </c>
      <c r="I63" s="24" t="str">
        <f>IF($B63="","",N(Produse!$G$63))</f>
        <v/>
      </c>
      <c r="J63" s="28" t="str">
        <f>IF($B63="","",H63*N(Produse!$E$63))</f>
        <v/>
      </c>
      <c r="K63" s="13" t="str">
        <f t="shared" si="4"/>
        <v/>
      </c>
      <c r="L63" s="13" t="str">
        <f>IF($B63="","",COUNTIF(Mișcări!$E$5:$E$2004,$B63))</f>
        <v/>
      </c>
      <c r="M63" s="12" t="str">
        <f t="shared" si="5"/>
        <v/>
      </c>
      <c r="N63" s="1" t="str">
        <f>IF($B63="","",IFERROR(_xlfn.AGGREGATE(14,6,Mișcări!$B$5:$B$2004/(Mișcări!$E$5:$E$2004=$B63),1),""))</f>
        <v/>
      </c>
    </row>
    <row r="64" spans="2:14" x14ac:dyDescent="0.2">
      <c r="B64" s="13" t="str">
        <f>IF(Produse!$B$64="","",Produse!$B$64)</f>
        <v/>
      </c>
      <c r="C64" s="12" t="str">
        <f>IF($B64="","",Produse!$C$64)</f>
        <v/>
      </c>
      <c r="D64" s="13" t="str">
        <f>IF($B64="","",Produse!$D$64)</f>
        <v/>
      </c>
      <c r="E64" s="24" t="str">
        <f>IF($B64="","",N(Produse!$F$64))</f>
        <v/>
      </c>
      <c r="F64" s="24" t="str">
        <f>IF($B64="","",SUMIFS(Mișcări!$H$5:$H$2004,Mișcări!$E$5:$E$2004,$B64))</f>
        <v/>
      </c>
      <c r="G64" s="24" t="str">
        <f>IF($B64="","",SUMIFS(Mișcări!$I$5:$I$2004,Mișcări!$E$5:$E$2004,$B64))</f>
        <v/>
      </c>
      <c r="H64" s="14" t="str">
        <f t="shared" si="3"/>
        <v/>
      </c>
      <c r="I64" s="24" t="str">
        <f>IF($B64="","",N(Produse!$G$64))</f>
        <v/>
      </c>
      <c r="J64" s="28" t="str">
        <f>IF($B64="","",H64*N(Produse!$E$64))</f>
        <v/>
      </c>
      <c r="K64" s="13" t="str">
        <f t="shared" si="4"/>
        <v/>
      </c>
      <c r="L64" s="13" t="str">
        <f>IF($B64="","",COUNTIF(Mișcări!$E$5:$E$2004,$B64))</f>
        <v/>
      </c>
      <c r="M64" s="12" t="str">
        <f t="shared" si="5"/>
        <v/>
      </c>
      <c r="N64" s="1" t="str">
        <f>IF($B64="","",IFERROR(_xlfn.AGGREGATE(14,6,Mișcări!$B$5:$B$2004/(Mișcări!$E$5:$E$2004=$B64),1),""))</f>
        <v/>
      </c>
    </row>
    <row r="65" spans="2:13" x14ac:dyDescent="0.2">
      <c r="B65" s="25" t="s">
        <v>94</v>
      </c>
      <c r="C65" s="25"/>
      <c r="D65" s="25"/>
      <c r="E65" s="25"/>
      <c r="F65" s="25"/>
      <c r="G65" s="25"/>
      <c r="H65" s="25"/>
      <c r="I65" s="25"/>
      <c r="J65" s="29">
        <f>SUM(J5:J64)</f>
        <v>4671.8999999999996</v>
      </c>
      <c r="K65" s="25"/>
      <c r="L65" s="25"/>
      <c r="M65" s="25"/>
    </row>
    <row r="1000" spans="702:702" ht="15" x14ac:dyDescent="0.25">
      <c r="ZZ1000"/>
    </row>
  </sheetData>
  <conditionalFormatting sqref="B5:M64">
    <cfRule type="expression" dxfId="2" priority="1" stopIfTrue="1">
      <formula>AND($B5&lt;&gt;"",N($H5)&lt;0)</formula>
    </cfRule>
    <cfRule type="expression" dxfId="1" priority="2" stopIfTrue="1">
      <formula>AND($B5&lt;&gt;"",N($H5)&lt;N($I5))</formula>
    </cfRule>
  </conditionalFormatting>
  <pageMargins left="0.7" right="0.7" top="0.75" bottom="0.75" header="0.3" footer="0.3"/>
  <pageSetup scale="78" fitToHeight="0" orientation="landscape" r:id="rId1"/>
  <headerFooter>
    <oddFooter>&amp;Cmodelexcel.ro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C1EBC-5F23-4F9C-9EF1-8FAE12F58389}">
  <dimension ref="B1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8.7109375" style="1" customWidth="1"/>
    <col min="3" max="3" width="36.7109375" style="1" customWidth="1"/>
    <col min="4" max="4" width="7.7109375" style="1" customWidth="1"/>
    <col min="5" max="5" width="13.7109375" style="1" customWidth="1"/>
    <col min="6" max="7" width="11.7109375" style="1" customWidth="1"/>
    <col min="8" max="8" width="3.7109375" style="1" customWidth="1"/>
    <col min="9" max="9" width="24.7109375" style="1" customWidth="1"/>
    <col min="10" max="16384" width="11.42578125" style="1"/>
  </cols>
  <sheetData>
    <row r="1" spans="2:9" ht="21" x14ac:dyDescent="0.35">
      <c r="B1" s="2" t="s">
        <v>0</v>
      </c>
    </row>
    <row r="2" spans="2:9" x14ac:dyDescent="0.2">
      <c r="B2" s="3" t="s">
        <v>1</v>
      </c>
    </row>
    <row r="4" spans="2:9" ht="27.95" customHeight="1" x14ac:dyDescent="0.2"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I4" s="5" t="s">
        <v>23</v>
      </c>
    </row>
    <row r="5" spans="2:9" x14ac:dyDescent="0.2">
      <c r="B5" s="6" t="s">
        <v>8</v>
      </c>
      <c r="C5" s="7" t="s">
        <v>9</v>
      </c>
      <c r="D5" s="6" t="s">
        <v>10</v>
      </c>
      <c r="E5" s="8">
        <v>7.8</v>
      </c>
      <c r="F5" s="9">
        <v>400</v>
      </c>
      <c r="G5" s="9">
        <v>150</v>
      </c>
      <c r="I5" s="7" t="s">
        <v>24</v>
      </c>
    </row>
    <row r="6" spans="2:9" x14ac:dyDescent="0.2">
      <c r="B6" s="6" t="s">
        <v>11</v>
      </c>
      <c r="C6" s="7" t="s">
        <v>12</v>
      </c>
      <c r="D6" s="6" t="s">
        <v>13</v>
      </c>
      <c r="E6" s="8">
        <v>12.5</v>
      </c>
      <c r="F6" s="9">
        <v>120</v>
      </c>
      <c r="G6" s="9">
        <v>40</v>
      </c>
      <c r="I6" s="7" t="s">
        <v>25</v>
      </c>
    </row>
    <row r="7" spans="2:9" x14ac:dyDescent="0.2">
      <c r="B7" s="6" t="s">
        <v>14</v>
      </c>
      <c r="C7" s="7" t="s">
        <v>15</v>
      </c>
      <c r="D7" s="6" t="s">
        <v>13</v>
      </c>
      <c r="E7" s="8">
        <v>9.1999999999999993</v>
      </c>
      <c r="F7" s="9">
        <v>60</v>
      </c>
      <c r="G7" s="9">
        <v>30</v>
      </c>
      <c r="I7" s="7" t="s">
        <v>26</v>
      </c>
    </row>
    <row r="8" spans="2:9" x14ac:dyDescent="0.2">
      <c r="B8" s="6" t="s">
        <v>16</v>
      </c>
      <c r="C8" s="7" t="s">
        <v>17</v>
      </c>
      <c r="D8" s="6" t="s">
        <v>13</v>
      </c>
      <c r="E8" s="8">
        <v>24</v>
      </c>
      <c r="F8" s="9">
        <v>35</v>
      </c>
      <c r="G8" s="9">
        <v>20</v>
      </c>
      <c r="I8" s="7" t="s">
        <v>27</v>
      </c>
    </row>
    <row r="9" spans="2:9" x14ac:dyDescent="0.2">
      <c r="B9" s="6" t="s">
        <v>18</v>
      </c>
      <c r="C9" s="7" t="s">
        <v>19</v>
      </c>
      <c r="D9" s="6" t="s">
        <v>20</v>
      </c>
      <c r="E9" s="8">
        <v>4.5</v>
      </c>
      <c r="F9" s="9">
        <v>80</v>
      </c>
      <c r="G9" s="9">
        <v>25</v>
      </c>
      <c r="I9" s="7" t="s">
        <v>28</v>
      </c>
    </row>
    <row r="10" spans="2:9" x14ac:dyDescent="0.2">
      <c r="B10" s="6" t="s">
        <v>21</v>
      </c>
      <c r="C10" s="7" t="s">
        <v>22</v>
      </c>
      <c r="D10" s="6" t="s">
        <v>13</v>
      </c>
      <c r="E10" s="8">
        <v>18.899999999999999</v>
      </c>
      <c r="F10" s="9">
        <v>25</v>
      </c>
      <c r="G10" s="9">
        <v>15</v>
      </c>
      <c r="I10" s="7" t="s">
        <v>29</v>
      </c>
    </row>
    <row r="11" spans="2:9" x14ac:dyDescent="0.2">
      <c r="B11" s="6"/>
      <c r="C11" s="7"/>
      <c r="D11" s="6"/>
      <c r="E11" s="8"/>
      <c r="F11" s="9"/>
      <c r="G11" s="9"/>
      <c r="I11" s="7" t="s">
        <v>30</v>
      </c>
    </row>
    <row r="12" spans="2:9" x14ac:dyDescent="0.2">
      <c r="B12" s="6"/>
      <c r="C12" s="7"/>
      <c r="D12" s="6"/>
      <c r="E12" s="8"/>
      <c r="F12" s="9"/>
      <c r="G12" s="9"/>
      <c r="I12" s="7" t="s">
        <v>31</v>
      </c>
    </row>
    <row r="13" spans="2:9" x14ac:dyDescent="0.2">
      <c r="B13" s="6"/>
      <c r="C13" s="7"/>
      <c r="D13" s="6"/>
      <c r="E13" s="8"/>
      <c r="F13" s="9"/>
      <c r="G13" s="9"/>
      <c r="I13" s="7"/>
    </row>
    <row r="14" spans="2:9" x14ac:dyDescent="0.2">
      <c r="B14" s="6"/>
      <c r="C14" s="7"/>
      <c r="D14" s="6"/>
      <c r="E14" s="8"/>
      <c r="F14" s="9"/>
      <c r="G14" s="9"/>
      <c r="I14" s="7"/>
    </row>
    <row r="15" spans="2:9" x14ac:dyDescent="0.2">
      <c r="B15" s="6"/>
      <c r="C15" s="7"/>
      <c r="D15" s="6"/>
      <c r="E15" s="8"/>
      <c r="F15" s="9"/>
      <c r="G15" s="9"/>
      <c r="I15" s="7"/>
    </row>
    <row r="16" spans="2:9" x14ac:dyDescent="0.2">
      <c r="B16" s="6"/>
      <c r="C16" s="7"/>
      <c r="D16" s="6"/>
      <c r="E16" s="8"/>
      <c r="F16" s="9"/>
      <c r="G16" s="9"/>
      <c r="I16" s="7"/>
    </row>
    <row r="17" spans="2:7" x14ac:dyDescent="0.2">
      <c r="B17" s="6"/>
      <c r="C17" s="7"/>
      <c r="D17" s="6"/>
      <c r="E17" s="8"/>
      <c r="F17" s="9"/>
      <c r="G17" s="9"/>
    </row>
    <row r="18" spans="2:7" x14ac:dyDescent="0.2">
      <c r="B18" s="6"/>
      <c r="C18" s="7"/>
      <c r="D18" s="6"/>
      <c r="E18" s="8"/>
      <c r="F18" s="9"/>
      <c r="G18" s="9"/>
    </row>
    <row r="19" spans="2:7" x14ac:dyDescent="0.2">
      <c r="B19" s="6"/>
      <c r="C19" s="7"/>
      <c r="D19" s="6"/>
      <c r="E19" s="8"/>
      <c r="F19" s="9"/>
      <c r="G19" s="9"/>
    </row>
    <row r="20" spans="2:7" x14ac:dyDescent="0.2">
      <c r="B20" s="6"/>
      <c r="C20" s="7"/>
      <c r="D20" s="6"/>
      <c r="E20" s="8"/>
      <c r="F20" s="9"/>
      <c r="G20" s="9"/>
    </row>
    <row r="21" spans="2:7" x14ac:dyDescent="0.2">
      <c r="B21" s="6"/>
      <c r="C21" s="7"/>
      <c r="D21" s="6"/>
      <c r="E21" s="8"/>
      <c r="F21" s="9"/>
      <c r="G21" s="9"/>
    </row>
    <row r="22" spans="2:7" x14ac:dyDescent="0.2">
      <c r="B22" s="6"/>
      <c r="C22" s="7"/>
      <c r="D22" s="6"/>
      <c r="E22" s="8"/>
      <c r="F22" s="9"/>
      <c r="G22" s="9"/>
    </row>
    <row r="23" spans="2:7" x14ac:dyDescent="0.2">
      <c r="B23" s="6"/>
      <c r="C23" s="7"/>
      <c r="D23" s="6"/>
      <c r="E23" s="8"/>
      <c r="F23" s="9"/>
      <c r="G23" s="9"/>
    </row>
    <row r="24" spans="2:7" x14ac:dyDescent="0.2">
      <c r="B24" s="6"/>
      <c r="C24" s="7"/>
      <c r="D24" s="6"/>
      <c r="E24" s="8"/>
      <c r="F24" s="9"/>
      <c r="G24" s="9"/>
    </row>
    <row r="25" spans="2:7" x14ac:dyDescent="0.2">
      <c r="B25" s="6"/>
      <c r="C25" s="7"/>
      <c r="D25" s="6"/>
      <c r="E25" s="8"/>
      <c r="F25" s="9"/>
      <c r="G25" s="9"/>
    </row>
    <row r="26" spans="2:7" x14ac:dyDescent="0.2">
      <c r="B26" s="6"/>
      <c r="C26" s="7"/>
      <c r="D26" s="6"/>
      <c r="E26" s="8"/>
      <c r="F26" s="9"/>
      <c r="G26" s="9"/>
    </row>
    <row r="27" spans="2:7" x14ac:dyDescent="0.2">
      <c r="B27" s="6"/>
      <c r="C27" s="7"/>
      <c r="D27" s="6"/>
      <c r="E27" s="8"/>
      <c r="F27" s="9"/>
      <c r="G27" s="9"/>
    </row>
    <row r="28" spans="2:7" x14ac:dyDescent="0.2">
      <c r="B28" s="6"/>
      <c r="C28" s="7"/>
      <c r="D28" s="6"/>
      <c r="E28" s="8"/>
      <c r="F28" s="9"/>
      <c r="G28" s="9"/>
    </row>
    <row r="29" spans="2:7" x14ac:dyDescent="0.2">
      <c r="B29" s="6"/>
      <c r="C29" s="7"/>
      <c r="D29" s="6"/>
      <c r="E29" s="8"/>
      <c r="F29" s="9"/>
      <c r="G29" s="9"/>
    </row>
    <row r="30" spans="2:7" x14ac:dyDescent="0.2">
      <c r="B30" s="6"/>
      <c r="C30" s="7"/>
      <c r="D30" s="6"/>
      <c r="E30" s="8"/>
      <c r="F30" s="9"/>
      <c r="G30" s="9"/>
    </row>
    <row r="31" spans="2:7" x14ac:dyDescent="0.2">
      <c r="B31" s="6"/>
      <c r="C31" s="7"/>
      <c r="D31" s="6"/>
      <c r="E31" s="8"/>
      <c r="F31" s="9"/>
      <c r="G31" s="9"/>
    </row>
    <row r="32" spans="2:7" x14ac:dyDescent="0.2">
      <c r="B32" s="6"/>
      <c r="C32" s="7"/>
      <c r="D32" s="6"/>
      <c r="E32" s="8"/>
      <c r="F32" s="9"/>
      <c r="G32" s="9"/>
    </row>
    <row r="33" spans="2:7" x14ac:dyDescent="0.2">
      <c r="B33" s="6"/>
      <c r="C33" s="7"/>
      <c r="D33" s="6"/>
      <c r="E33" s="8"/>
      <c r="F33" s="9"/>
      <c r="G33" s="9"/>
    </row>
    <row r="34" spans="2:7" x14ac:dyDescent="0.2">
      <c r="B34" s="6"/>
      <c r="C34" s="7"/>
      <c r="D34" s="6"/>
      <c r="E34" s="8"/>
      <c r="F34" s="9"/>
      <c r="G34" s="9"/>
    </row>
    <row r="35" spans="2:7" x14ac:dyDescent="0.2">
      <c r="B35" s="6"/>
      <c r="C35" s="7"/>
      <c r="D35" s="6"/>
      <c r="E35" s="8"/>
      <c r="F35" s="9"/>
      <c r="G35" s="9"/>
    </row>
    <row r="36" spans="2:7" x14ac:dyDescent="0.2">
      <c r="B36" s="6"/>
      <c r="C36" s="7"/>
      <c r="D36" s="6"/>
      <c r="E36" s="8"/>
      <c r="F36" s="9"/>
      <c r="G36" s="9"/>
    </row>
    <row r="37" spans="2:7" x14ac:dyDescent="0.2">
      <c r="B37" s="6"/>
      <c r="C37" s="7"/>
      <c r="D37" s="6"/>
      <c r="E37" s="8"/>
      <c r="F37" s="9"/>
      <c r="G37" s="9"/>
    </row>
    <row r="38" spans="2:7" x14ac:dyDescent="0.2">
      <c r="B38" s="6"/>
      <c r="C38" s="7"/>
      <c r="D38" s="6"/>
      <c r="E38" s="8"/>
      <c r="F38" s="9"/>
      <c r="G38" s="9"/>
    </row>
    <row r="39" spans="2:7" x14ac:dyDescent="0.2">
      <c r="B39" s="6"/>
      <c r="C39" s="7"/>
      <c r="D39" s="6"/>
      <c r="E39" s="8"/>
      <c r="F39" s="9"/>
      <c r="G39" s="9"/>
    </row>
    <row r="40" spans="2:7" x14ac:dyDescent="0.2">
      <c r="B40" s="6"/>
      <c r="C40" s="7"/>
      <c r="D40" s="6"/>
      <c r="E40" s="8"/>
      <c r="F40" s="9"/>
      <c r="G40" s="9"/>
    </row>
    <row r="41" spans="2:7" x14ac:dyDescent="0.2">
      <c r="B41" s="6"/>
      <c r="C41" s="7"/>
      <c r="D41" s="6"/>
      <c r="E41" s="8"/>
      <c r="F41" s="9"/>
      <c r="G41" s="9"/>
    </row>
    <row r="42" spans="2:7" x14ac:dyDescent="0.2">
      <c r="B42" s="6"/>
      <c r="C42" s="7"/>
      <c r="D42" s="6"/>
      <c r="E42" s="8"/>
      <c r="F42" s="9"/>
      <c r="G42" s="9"/>
    </row>
    <row r="43" spans="2:7" x14ac:dyDescent="0.2">
      <c r="B43" s="6"/>
      <c r="C43" s="7"/>
      <c r="D43" s="6"/>
      <c r="E43" s="8"/>
      <c r="F43" s="9"/>
      <c r="G43" s="9"/>
    </row>
    <row r="44" spans="2:7" x14ac:dyDescent="0.2">
      <c r="B44" s="6"/>
      <c r="C44" s="7"/>
      <c r="D44" s="6"/>
      <c r="E44" s="8"/>
      <c r="F44" s="9"/>
      <c r="G44" s="9"/>
    </row>
    <row r="45" spans="2:7" x14ac:dyDescent="0.2">
      <c r="B45" s="6"/>
      <c r="C45" s="7"/>
      <c r="D45" s="6"/>
      <c r="E45" s="8"/>
      <c r="F45" s="9"/>
      <c r="G45" s="9"/>
    </row>
    <row r="46" spans="2:7" x14ac:dyDescent="0.2">
      <c r="B46" s="6"/>
      <c r="C46" s="7"/>
      <c r="D46" s="6"/>
      <c r="E46" s="8"/>
      <c r="F46" s="9"/>
      <c r="G46" s="9"/>
    </row>
    <row r="47" spans="2:7" x14ac:dyDescent="0.2">
      <c r="B47" s="6"/>
      <c r="C47" s="7"/>
      <c r="D47" s="6"/>
      <c r="E47" s="8"/>
      <c r="F47" s="9"/>
      <c r="G47" s="9"/>
    </row>
    <row r="48" spans="2:7" x14ac:dyDescent="0.2">
      <c r="B48" s="6"/>
      <c r="C48" s="7"/>
      <c r="D48" s="6"/>
      <c r="E48" s="8"/>
      <c r="F48" s="9"/>
      <c r="G48" s="9"/>
    </row>
    <row r="49" spans="2:7" x14ac:dyDescent="0.2">
      <c r="B49" s="6"/>
      <c r="C49" s="7"/>
      <c r="D49" s="6"/>
      <c r="E49" s="8"/>
      <c r="F49" s="9"/>
      <c r="G49" s="9"/>
    </row>
    <row r="50" spans="2:7" x14ac:dyDescent="0.2">
      <c r="B50" s="6"/>
      <c r="C50" s="7"/>
      <c r="D50" s="6"/>
      <c r="E50" s="8"/>
      <c r="F50" s="9"/>
      <c r="G50" s="9"/>
    </row>
    <row r="51" spans="2:7" x14ac:dyDescent="0.2">
      <c r="B51" s="6"/>
      <c r="C51" s="7"/>
      <c r="D51" s="6"/>
      <c r="E51" s="8"/>
      <c r="F51" s="9"/>
      <c r="G51" s="9"/>
    </row>
    <row r="52" spans="2:7" x14ac:dyDescent="0.2">
      <c r="B52" s="6"/>
      <c r="C52" s="7"/>
      <c r="D52" s="6"/>
      <c r="E52" s="8"/>
      <c r="F52" s="9"/>
      <c r="G52" s="9"/>
    </row>
    <row r="53" spans="2:7" x14ac:dyDescent="0.2">
      <c r="B53" s="6"/>
      <c r="C53" s="7"/>
      <c r="D53" s="6"/>
      <c r="E53" s="8"/>
      <c r="F53" s="9"/>
      <c r="G53" s="9"/>
    </row>
    <row r="54" spans="2:7" x14ac:dyDescent="0.2">
      <c r="B54" s="6"/>
      <c r="C54" s="7"/>
      <c r="D54" s="6"/>
      <c r="E54" s="8"/>
      <c r="F54" s="9"/>
      <c r="G54" s="9"/>
    </row>
    <row r="55" spans="2:7" x14ac:dyDescent="0.2">
      <c r="B55" s="6"/>
      <c r="C55" s="7"/>
      <c r="D55" s="6"/>
      <c r="E55" s="8"/>
      <c r="F55" s="9"/>
      <c r="G55" s="9"/>
    </row>
    <row r="56" spans="2:7" x14ac:dyDescent="0.2">
      <c r="B56" s="6"/>
      <c r="C56" s="7"/>
      <c r="D56" s="6"/>
      <c r="E56" s="8"/>
      <c r="F56" s="9"/>
      <c r="G56" s="9"/>
    </row>
    <row r="57" spans="2:7" x14ac:dyDescent="0.2">
      <c r="B57" s="6"/>
      <c r="C57" s="7"/>
      <c r="D57" s="6"/>
      <c r="E57" s="8"/>
      <c r="F57" s="9"/>
      <c r="G57" s="9"/>
    </row>
    <row r="58" spans="2:7" x14ac:dyDescent="0.2">
      <c r="B58" s="6"/>
      <c r="C58" s="7"/>
      <c r="D58" s="6"/>
      <c r="E58" s="8"/>
      <c r="F58" s="9"/>
      <c r="G58" s="9"/>
    </row>
    <row r="59" spans="2:7" x14ac:dyDescent="0.2">
      <c r="B59" s="6"/>
      <c r="C59" s="7"/>
      <c r="D59" s="6"/>
      <c r="E59" s="8"/>
      <c r="F59" s="9"/>
      <c r="G59" s="9"/>
    </row>
    <row r="60" spans="2:7" x14ac:dyDescent="0.2">
      <c r="B60" s="6"/>
      <c r="C60" s="7"/>
      <c r="D60" s="6"/>
      <c r="E60" s="8"/>
      <c r="F60" s="9"/>
      <c r="G60" s="9"/>
    </row>
    <row r="61" spans="2:7" x14ac:dyDescent="0.2">
      <c r="B61" s="6"/>
      <c r="C61" s="7"/>
      <c r="D61" s="6"/>
      <c r="E61" s="8"/>
      <c r="F61" s="9"/>
      <c r="G61" s="9"/>
    </row>
    <row r="62" spans="2:7" x14ac:dyDescent="0.2">
      <c r="B62" s="6"/>
      <c r="C62" s="7"/>
      <c r="D62" s="6"/>
      <c r="E62" s="8"/>
      <c r="F62" s="9"/>
      <c r="G62" s="9"/>
    </row>
    <row r="63" spans="2:7" x14ac:dyDescent="0.2">
      <c r="B63" s="6"/>
      <c r="C63" s="7"/>
      <c r="D63" s="6"/>
      <c r="E63" s="8"/>
      <c r="F63" s="9"/>
      <c r="G63" s="9"/>
    </row>
    <row r="64" spans="2:7" x14ac:dyDescent="0.2">
      <c r="B64" s="6"/>
      <c r="C64" s="7"/>
      <c r="D64" s="6"/>
      <c r="E64" s="8"/>
      <c r="F64" s="9"/>
      <c r="G64" s="9"/>
    </row>
    <row r="65" spans="2:7" x14ac:dyDescent="0.2">
      <c r="B65" s="6"/>
      <c r="C65" s="7"/>
      <c r="D65" s="6"/>
      <c r="E65" s="8"/>
      <c r="F65" s="9"/>
      <c r="G65" s="9"/>
    </row>
    <row r="66" spans="2:7" x14ac:dyDescent="0.2">
      <c r="B66" s="6"/>
      <c r="C66" s="7"/>
      <c r="D66" s="6"/>
      <c r="E66" s="8"/>
      <c r="F66" s="9"/>
      <c r="G66" s="9"/>
    </row>
    <row r="67" spans="2:7" x14ac:dyDescent="0.2">
      <c r="B67" s="6"/>
      <c r="C67" s="7"/>
      <c r="D67" s="6"/>
      <c r="E67" s="8"/>
      <c r="F67" s="9"/>
      <c r="G67" s="9"/>
    </row>
    <row r="68" spans="2:7" x14ac:dyDescent="0.2">
      <c r="B68" s="6"/>
      <c r="C68" s="7"/>
      <c r="D68" s="6"/>
      <c r="E68" s="8"/>
      <c r="F68" s="9"/>
      <c r="G68" s="9"/>
    </row>
    <row r="69" spans="2:7" x14ac:dyDescent="0.2">
      <c r="B69" s="6"/>
      <c r="C69" s="7"/>
      <c r="D69" s="6"/>
      <c r="E69" s="8"/>
      <c r="F69" s="9"/>
      <c r="G69" s="9"/>
    </row>
    <row r="70" spans="2:7" x14ac:dyDescent="0.2">
      <c r="B70" s="6"/>
      <c r="C70" s="7"/>
      <c r="D70" s="6"/>
      <c r="E70" s="8"/>
      <c r="F70" s="9"/>
      <c r="G70" s="9"/>
    </row>
    <row r="71" spans="2:7" x14ac:dyDescent="0.2">
      <c r="B71" s="6"/>
      <c r="C71" s="7"/>
      <c r="D71" s="6"/>
      <c r="E71" s="8"/>
      <c r="F71" s="9"/>
      <c r="G71" s="9"/>
    </row>
    <row r="72" spans="2:7" x14ac:dyDescent="0.2">
      <c r="B72" s="6"/>
      <c r="C72" s="7"/>
      <c r="D72" s="6"/>
      <c r="E72" s="8"/>
      <c r="F72" s="9"/>
      <c r="G72" s="9"/>
    </row>
    <row r="73" spans="2:7" x14ac:dyDescent="0.2">
      <c r="B73" s="6"/>
      <c r="C73" s="7"/>
      <c r="D73" s="6"/>
      <c r="E73" s="8"/>
      <c r="F73" s="9"/>
      <c r="G73" s="9"/>
    </row>
    <row r="74" spans="2:7" x14ac:dyDescent="0.2">
      <c r="B74" s="6"/>
      <c r="C74" s="7"/>
      <c r="D74" s="6"/>
      <c r="E74" s="8"/>
      <c r="F74" s="9"/>
      <c r="G74" s="9"/>
    </row>
    <row r="75" spans="2:7" x14ac:dyDescent="0.2">
      <c r="B75" s="6"/>
      <c r="C75" s="7"/>
      <c r="D75" s="6"/>
      <c r="E75" s="8"/>
      <c r="F75" s="9"/>
      <c r="G75" s="9"/>
    </row>
    <row r="76" spans="2:7" x14ac:dyDescent="0.2">
      <c r="B76" s="6"/>
      <c r="C76" s="7"/>
      <c r="D76" s="6"/>
      <c r="E76" s="8"/>
      <c r="F76" s="9"/>
      <c r="G76" s="9"/>
    </row>
    <row r="77" spans="2:7" x14ac:dyDescent="0.2">
      <c r="B77" s="6"/>
      <c r="C77" s="7"/>
      <c r="D77" s="6"/>
      <c r="E77" s="8"/>
      <c r="F77" s="9"/>
      <c r="G77" s="9"/>
    </row>
    <row r="78" spans="2:7" x14ac:dyDescent="0.2">
      <c r="B78" s="6"/>
      <c r="C78" s="7"/>
      <c r="D78" s="6"/>
      <c r="E78" s="8"/>
      <c r="F78" s="9"/>
      <c r="G78" s="9"/>
    </row>
    <row r="79" spans="2:7" x14ac:dyDescent="0.2">
      <c r="B79" s="6"/>
      <c r="C79" s="7"/>
      <c r="D79" s="6"/>
      <c r="E79" s="8"/>
      <c r="F79" s="9"/>
      <c r="G79" s="9"/>
    </row>
    <row r="80" spans="2:7" x14ac:dyDescent="0.2">
      <c r="B80" s="6"/>
      <c r="C80" s="7"/>
      <c r="D80" s="6"/>
      <c r="E80" s="8"/>
      <c r="F80" s="9"/>
      <c r="G80" s="9"/>
    </row>
    <row r="81" spans="2:7" x14ac:dyDescent="0.2">
      <c r="B81" s="6"/>
      <c r="C81" s="7"/>
      <c r="D81" s="6"/>
      <c r="E81" s="8"/>
      <c r="F81" s="9"/>
      <c r="G81" s="9"/>
    </row>
    <row r="82" spans="2:7" x14ac:dyDescent="0.2">
      <c r="B82" s="6"/>
      <c r="C82" s="7"/>
      <c r="D82" s="6"/>
      <c r="E82" s="8"/>
      <c r="F82" s="9"/>
      <c r="G82" s="9"/>
    </row>
    <row r="83" spans="2:7" x14ac:dyDescent="0.2">
      <c r="B83" s="6"/>
      <c r="C83" s="7"/>
      <c r="D83" s="6"/>
      <c r="E83" s="8"/>
      <c r="F83" s="9"/>
      <c r="G83" s="9"/>
    </row>
    <row r="84" spans="2:7" x14ac:dyDescent="0.2">
      <c r="B84" s="6"/>
      <c r="C84" s="7"/>
      <c r="D84" s="6"/>
      <c r="E84" s="8"/>
      <c r="F84" s="9"/>
      <c r="G84" s="9"/>
    </row>
    <row r="85" spans="2:7" x14ac:dyDescent="0.2">
      <c r="B85" s="6"/>
      <c r="C85" s="7"/>
      <c r="D85" s="6"/>
      <c r="E85" s="8"/>
      <c r="F85" s="9"/>
      <c r="G85" s="9"/>
    </row>
    <row r="86" spans="2:7" x14ac:dyDescent="0.2">
      <c r="B86" s="6"/>
      <c r="C86" s="7"/>
      <c r="D86" s="6"/>
      <c r="E86" s="8"/>
      <c r="F86" s="9"/>
      <c r="G86" s="9"/>
    </row>
    <row r="87" spans="2:7" x14ac:dyDescent="0.2">
      <c r="B87" s="6"/>
      <c r="C87" s="7"/>
      <c r="D87" s="6"/>
      <c r="E87" s="8"/>
      <c r="F87" s="9"/>
      <c r="G87" s="9"/>
    </row>
    <row r="88" spans="2:7" x14ac:dyDescent="0.2">
      <c r="B88" s="6"/>
      <c r="C88" s="7"/>
      <c r="D88" s="6"/>
      <c r="E88" s="8"/>
      <c r="F88" s="9"/>
      <c r="G88" s="9"/>
    </row>
    <row r="89" spans="2:7" x14ac:dyDescent="0.2">
      <c r="B89" s="6"/>
      <c r="C89" s="7"/>
      <c r="D89" s="6"/>
      <c r="E89" s="8"/>
      <c r="F89" s="9"/>
      <c r="G89" s="9"/>
    </row>
    <row r="90" spans="2:7" x14ac:dyDescent="0.2">
      <c r="B90" s="6"/>
      <c r="C90" s="7"/>
      <c r="D90" s="6"/>
      <c r="E90" s="8"/>
      <c r="F90" s="9"/>
      <c r="G90" s="9"/>
    </row>
    <row r="91" spans="2:7" x14ac:dyDescent="0.2">
      <c r="B91" s="6"/>
      <c r="C91" s="7"/>
      <c r="D91" s="6"/>
      <c r="E91" s="8"/>
      <c r="F91" s="9"/>
      <c r="G91" s="9"/>
    </row>
    <row r="92" spans="2:7" x14ac:dyDescent="0.2">
      <c r="B92" s="6"/>
      <c r="C92" s="7"/>
      <c r="D92" s="6"/>
      <c r="E92" s="8"/>
      <c r="F92" s="9"/>
      <c r="G92" s="9"/>
    </row>
    <row r="93" spans="2:7" x14ac:dyDescent="0.2">
      <c r="B93" s="6"/>
      <c r="C93" s="7"/>
      <c r="D93" s="6"/>
      <c r="E93" s="8"/>
      <c r="F93" s="9"/>
      <c r="G93" s="9"/>
    </row>
    <row r="94" spans="2:7" x14ac:dyDescent="0.2">
      <c r="B94" s="6"/>
      <c r="C94" s="7"/>
      <c r="D94" s="6"/>
      <c r="E94" s="8"/>
      <c r="F94" s="9"/>
      <c r="G94" s="9"/>
    </row>
    <row r="95" spans="2:7" x14ac:dyDescent="0.2">
      <c r="B95" s="6"/>
      <c r="C95" s="7"/>
      <c r="D95" s="6"/>
      <c r="E95" s="8"/>
      <c r="F95" s="9"/>
      <c r="G95" s="9"/>
    </row>
    <row r="96" spans="2:7" x14ac:dyDescent="0.2">
      <c r="B96" s="6"/>
      <c r="C96" s="7"/>
      <c r="D96" s="6"/>
      <c r="E96" s="8"/>
      <c r="F96" s="9"/>
      <c r="G96" s="9"/>
    </row>
    <row r="97" spans="2:7" x14ac:dyDescent="0.2">
      <c r="B97" s="6"/>
      <c r="C97" s="7"/>
      <c r="D97" s="6"/>
      <c r="E97" s="8"/>
      <c r="F97" s="9"/>
      <c r="G97" s="9"/>
    </row>
    <row r="98" spans="2:7" x14ac:dyDescent="0.2">
      <c r="B98" s="6"/>
      <c r="C98" s="7"/>
      <c r="D98" s="6"/>
      <c r="E98" s="8"/>
      <c r="F98" s="9"/>
      <c r="G98" s="9"/>
    </row>
    <row r="99" spans="2:7" x14ac:dyDescent="0.2">
      <c r="B99" s="6"/>
      <c r="C99" s="7"/>
      <c r="D99" s="6"/>
      <c r="E99" s="8"/>
      <c r="F99" s="9"/>
      <c r="G99" s="9"/>
    </row>
    <row r="100" spans="2:7" x14ac:dyDescent="0.2">
      <c r="B100" s="6"/>
      <c r="C100" s="7"/>
      <c r="D100" s="6"/>
      <c r="E100" s="8"/>
      <c r="F100" s="9"/>
      <c r="G100" s="9"/>
    </row>
    <row r="101" spans="2:7" x14ac:dyDescent="0.2">
      <c r="B101" s="6"/>
      <c r="C101" s="7"/>
      <c r="D101" s="6"/>
      <c r="E101" s="8"/>
      <c r="F101" s="9"/>
      <c r="G101" s="9"/>
    </row>
    <row r="102" spans="2:7" x14ac:dyDescent="0.2">
      <c r="B102" s="6"/>
      <c r="C102" s="7"/>
      <c r="D102" s="6"/>
      <c r="E102" s="8"/>
      <c r="F102" s="9"/>
      <c r="G102" s="9"/>
    </row>
    <row r="103" spans="2:7" x14ac:dyDescent="0.2">
      <c r="B103" s="6"/>
      <c r="C103" s="7"/>
      <c r="D103" s="6"/>
      <c r="E103" s="8"/>
      <c r="F103" s="9"/>
      <c r="G103" s="9"/>
    </row>
    <row r="104" spans="2:7" x14ac:dyDescent="0.2">
      <c r="B104" s="6"/>
      <c r="C104" s="7"/>
      <c r="D104" s="6"/>
      <c r="E104" s="8"/>
      <c r="F104" s="9"/>
      <c r="G104" s="9"/>
    </row>
    <row r="105" spans="2:7" x14ac:dyDescent="0.2">
      <c r="B105" s="6"/>
      <c r="C105" s="7"/>
      <c r="D105" s="6"/>
      <c r="E105" s="8"/>
      <c r="F105" s="9"/>
      <c r="G105" s="9"/>
    </row>
    <row r="106" spans="2:7" x14ac:dyDescent="0.2">
      <c r="B106" s="6"/>
      <c r="C106" s="7"/>
      <c r="D106" s="6"/>
      <c r="E106" s="8"/>
      <c r="F106" s="9"/>
      <c r="G106" s="9"/>
    </row>
    <row r="107" spans="2:7" x14ac:dyDescent="0.2">
      <c r="B107" s="6"/>
      <c r="C107" s="7"/>
      <c r="D107" s="6"/>
      <c r="E107" s="8"/>
      <c r="F107" s="9"/>
      <c r="G107" s="9"/>
    </row>
    <row r="108" spans="2:7" x14ac:dyDescent="0.2">
      <c r="B108" s="6"/>
      <c r="C108" s="7"/>
      <c r="D108" s="6"/>
      <c r="E108" s="8"/>
      <c r="F108" s="9"/>
      <c r="G108" s="9"/>
    </row>
    <row r="109" spans="2:7" x14ac:dyDescent="0.2">
      <c r="B109" s="6"/>
      <c r="C109" s="7"/>
      <c r="D109" s="6"/>
      <c r="E109" s="8"/>
      <c r="F109" s="9"/>
      <c r="G109" s="9"/>
    </row>
    <row r="110" spans="2:7" x14ac:dyDescent="0.2">
      <c r="B110" s="6"/>
      <c r="C110" s="7"/>
      <c r="D110" s="6"/>
      <c r="E110" s="8"/>
      <c r="F110" s="9"/>
      <c r="G110" s="9"/>
    </row>
    <row r="111" spans="2:7" x14ac:dyDescent="0.2">
      <c r="B111" s="6"/>
      <c r="C111" s="7"/>
      <c r="D111" s="6"/>
      <c r="E111" s="8"/>
      <c r="F111" s="9"/>
      <c r="G111" s="9"/>
    </row>
    <row r="112" spans="2:7" x14ac:dyDescent="0.2">
      <c r="B112" s="6"/>
      <c r="C112" s="7"/>
      <c r="D112" s="6"/>
      <c r="E112" s="8"/>
      <c r="F112" s="9"/>
      <c r="G112" s="9"/>
    </row>
    <row r="113" spans="2:7" x14ac:dyDescent="0.2">
      <c r="B113" s="6"/>
      <c r="C113" s="7"/>
      <c r="D113" s="6"/>
      <c r="E113" s="8"/>
      <c r="F113" s="9"/>
      <c r="G113" s="9"/>
    </row>
    <row r="114" spans="2:7" x14ac:dyDescent="0.2">
      <c r="B114" s="6"/>
      <c r="C114" s="7"/>
      <c r="D114" s="6"/>
      <c r="E114" s="8"/>
      <c r="F114" s="9"/>
      <c r="G114" s="9"/>
    </row>
    <row r="115" spans="2:7" x14ac:dyDescent="0.2">
      <c r="B115" s="6"/>
      <c r="C115" s="7"/>
      <c r="D115" s="6"/>
      <c r="E115" s="8"/>
      <c r="F115" s="9"/>
      <c r="G115" s="9"/>
    </row>
    <row r="116" spans="2:7" x14ac:dyDescent="0.2">
      <c r="B116" s="6"/>
      <c r="C116" s="7"/>
      <c r="D116" s="6"/>
      <c r="E116" s="8"/>
      <c r="F116" s="9"/>
      <c r="G116" s="9"/>
    </row>
    <row r="117" spans="2:7" x14ac:dyDescent="0.2">
      <c r="B117" s="6"/>
      <c r="C117" s="7"/>
      <c r="D117" s="6"/>
      <c r="E117" s="8"/>
      <c r="F117" s="9"/>
      <c r="G117" s="9"/>
    </row>
    <row r="118" spans="2:7" x14ac:dyDescent="0.2">
      <c r="B118" s="6"/>
      <c r="C118" s="7"/>
      <c r="D118" s="6"/>
      <c r="E118" s="8"/>
      <c r="F118" s="9"/>
      <c r="G118" s="9"/>
    </row>
    <row r="119" spans="2:7" x14ac:dyDescent="0.2">
      <c r="B119" s="6"/>
      <c r="C119" s="7"/>
      <c r="D119" s="6"/>
      <c r="E119" s="8"/>
      <c r="F119" s="9"/>
      <c r="G119" s="9"/>
    </row>
    <row r="120" spans="2:7" x14ac:dyDescent="0.2">
      <c r="B120" s="6"/>
      <c r="C120" s="7"/>
      <c r="D120" s="6"/>
      <c r="E120" s="8"/>
      <c r="F120" s="9"/>
      <c r="G120" s="9"/>
    </row>
    <row r="121" spans="2:7" x14ac:dyDescent="0.2">
      <c r="B121" s="6"/>
      <c r="C121" s="7"/>
      <c r="D121" s="6"/>
      <c r="E121" s="8"/>
      <c r="F121" s="9"/>
      <c r="G121" s="9"/>
    </row>
    <row r="122" spans="2:7" x14ac:dyDescent="0.2">
      <c r="B122" s="6"/>
      <c r="C122" s="7"/>
      <c r="D122" s="6"/>
      <c r="E122" s="8"/>
      <c r="F122" s="9"/>
      <c r="G122" s="9"/>
    </row>
    <row r="123" spans="2:7" x14ac:dyDescent="0.2">
      <c r="B123" s="6"/>
      <c r="C123" s="7"/>
      <c r="D123" s="6"/>
      <c r="E123" s="8"/>
      <c r="F123" s="9"/>
      <c r="G123" s="9"/>
    </row>
    <row r="124" spans="2:7" x14ac:dyDescent="0.2">
      <c r="B124" s="6"/>
      <c r="C124" s="7"/>
      <c r="D124" s="6"/>
      <c r="E124" s="8"/>
      <c r="F124" s="9"/>
      <c r="G124" s="9"/>
    </row>
    <row r="125" spans="2:7" x14ac:dyDescent="0.2">
      <c r="B125" s="6"/>
      <c r="C125" s="7"/>
      <c r="D125" s="6"/>
      <c r="E125" s="8"/>
      <c r="F125" s="9"/>
      <c r="G125" s="9"/>
    </row>
    <row r="126" spans="2:7" x14ac:dyDescent="0.2">
      <c r="B126" s="6"/>
      <c r="C126" s="7"/>
      <c r="D126" s="6"/>
      <c r="E126" s="8"/>
      <c r="F126" s="9"/>
      <c r="G126" s="9"/>
    </row>
    <row r="127" spans="2:7" x14ac:dyDescent="0.2">
      <c r="B127" s="6"/>
      <c r="C127" s="7"/>
      <c r="D127" s="6"/>
      <c r="E127" s="8"/>
      <c r="F127" s="9"/>
      <c r="G127" s="9"/>
    </row>
    <row r="128" spans="2:7" x14ac:dyDescent="0.2">
      <c r="B128" s="6"/>
      <c r="C128" s="7"/>
      <c r="D128" s="6"/>
      <c r="E128" s="8"/>
      <c r="F128" s="9"/>
      <c r="G128" s="9"/>
    </row>
    <row r="129" spans="2:7" x14ac:dyDescent="0.2">
      <c r="B129" s="6"/>
      <c r="C129" s="7"/>
      <c r="D129" s="6"/>
      <c r="E129" s="8"/>
      <c r="F129" s="9"/>
      <c r="G129" s="9"/>
    </row>
    <row r="130" spans="2:7" x14ac:dyDescent="0.2">
      <c r="B130" s="6"/>
      <c r="C130" s="7"/>
      <c r="D130" s="6"/>
      <c r="E130" s="8"/>
      <c r="F130" s="9"/>
      <c r="G130" s="9"/>
    </row>
    <row r="131" spans="2:7" x14ac:dyDescent="0.2">
      <c r="B131" s="6"/>
      <c r="C131" s="7"/>
      <c r="D131" s="6"/>
      <c r="E131" s="8"/>
      <c r="F131" s="9"/>
      <c r="G131" s="9"/>
    </row>
    <row r="132" spans="2:7" x14ac:dyDescent="0.2">
      <c r="B132" s="6"/>
      <c r="C132" s="7"/>
      <c r="D132" s="6"/>
      <c r="E132" s="8"/>
      <c r="F132" s="9"/>
      <c r="G132" s="9"/>
    </row>
    <row r="133" spans="2:7" x14ac:dyDescent="0.2">
      <c r="B133" s="6"/>
      <c r="C133" s="7"/>
      <c r="D133" s="6"/>
      <c r="E133" s="8"/>
      <c r="F133" s="9"/>
      <c r="G133" s="9"/>
    </row>
    <row r="134" spans="2:7" x14ac:dyDescent="0.2">
      <c r="B134" s="6"/>
      <c r="C134" s="7"/>
      <c r="D134" s="6"/>
      <c r="E134" s="8"/>
      <c r="F134" s="9"/>
      <c r="G134" s="9"/>
    </row>
    <row r="135" spans="2:7" x14ac:dyDescent="0.2">
      <c r="B135" s="6"/>
      <c r="C135" s="7"/>
      <c r="D135" s="6"/>
      <c r="E135" s="8"/>
      <c r="F135" s="9"/>
      <c r="G135" s="9"/>
    </row>
    <row r="136" spans="2:7" x14ac:dyDescent="0.2">
      <c r="B136" s="6"/>
      <c r="C136" s="7"/>
      <c r="D136" s="6"/>
      <c r="E136" s="8"/>
      <c r="F136" s="9"/>
      <c r="G136" s="9"/>
    </row>
    <row r="137" spans="2:7" x14ac:dyDescent="0.2">
      <c r="B137" s="6"/>
      <c r="C137" s="7"/>
      <c r="D137" s="6"/>
      <c r="E137" s="8"/>
      <c r="F137" s="9"/>
      <c r="G137" s="9"/>
    </row>
    <row r="138" spans="2:7" x14ac:dyDescent="0.2">
      <c r="B138" s="6"/>
      <c r="C138" s="7"/>
      <c r="D138" s="6"/>
      <c r="E138" s="8"/>
      <c r="F138" s="9"/>
      <c r="G138" s="9"/>
    </row>
    <row r="139" spans="2:7" x14ac:dyDescent="0.2">
      <c r="B139" s="6"/>
      <c r="C139" s="7"/>
      <c r="D139" s="6"/>
      <c r="E139" s="8"/>
      <c r="F139" s="9"/>
      <c r="G139" s="9"/>
    </row>
    <row r="140" spans="2:7" x14ac:dyDescent="0.2">
      <c r="B140" s="6"/>
      <c r="C140" s="7"/>
      <c r="D140" s="6"/>
      <c r="E140" s="8"/>
      <c r="F140" s="9"/>
      <c r="G140" s="9"/>
    </row>
    <row r="141" spans="2:7" x14ac:dyDescent="0.2">
      <c r="B141" s="6"/>
      <c r="C141" s="7"/>
      <c r="D141" s="6"/>
      <c r="E141" s="8"/>
      <c r="F141" s="9"/>
      <c r="G141" s="9"/>
    </row>
    <row r="142" spans="2:7" x14ac:dyDescent="0.2">
      <c r="B142" s="6"/>
      <c r="C142" s="7"/>
      <c r="D142" s="6"/>
      <c r="E142" s="8"/>
      <c r="F142" s="9"/>
      <c r="G142" s="9"/>
    </row>
    <row r="143" spans="2:7" x14ac:dyDescent="0.2">
      <c r="B143" s="6"/>
      <c r="C143" s="7"/>
      <c r="D143" s="6"/>
      <c r="E143" s="8"/>
      <c r="F143" s="9"/>
      <c r="G143" s="9"/>
    </row>
    <row r="144" spans="2:7" x14ac:dyDescent="0.2">
      <c r="B144" s="6"/>
      <c r="C144" s="7"/>
      <c r="D144" s="6"/>
      <c r="E144" s="8"/>
      <c r="F144" s="9"/>
      <c r="G144" s="9"/>
    </row>
    <row r="145" spans="2:7" x14ac:dyDescent="0.2">
      <c r="B145" s="6"/>
      <c r="C145" s="7"/>
      <c r="D145" s="6"/>
      <c r="E145" s="8"/>
      <c r="F145" s="9"/>
      <c r="G145" s="9"/>
    </row>
    <row r="146" spans="2:7" x14ac:dyDescent="0.2">
      <c r="B146" s="6"/>
      <c r="C146" s="7"/>
      <c r="D146" s="6"/>
      <c r="E146" s="8"/>
      <c r="F146" s="9"/>
      <c r="G146" s="9"/>
    </row>
    <row r="147" spans="2:7" x14ac:dyDescent="0.2">
      <c r="B147" s="6"/>
      <c r="C147" s="7"/>
      <c r="D147" s="6"/>
      <c r="E147" s="8"/>
      <c r="F147" s="9"/>
      <c r="G147" s="9"/>
    </row>
    <row r="148" spans="2:7" x14ac:dyDescent="0.2">
      <c r="B148" s="6"/>
      <c r="C148" s="7"/>
      <c r="D148" s="6"/>
      <c r="E148" s="8"/>
      <c r="F148" s="9"/>
      <c r="G148" s="9"/>
    </row>
    <row r="149" spans="2:7" x14ac:dyDescent="0.2">
      <c r="B149" s="6"/>
      <c r="C149" s="7"/>
      <c r="D149" s="6"/>
      <c r="E149" s="8"/>
      <c r="F149" s="9"/>
      <c r="G149" s="9"/>
    </row>
    <row r="150" spans="2:7" x14ac:dyDescent="0.2">
      <c r="B150" s="6"/>
      <c r="C150" s="7"/>
      <c r="D150" s="6"/>
      <c r="E150" s="8"/>
      <c r="F150" s="9"/>
      <c r="G150" s="9"/>
    </row>
    <row r="151" spans="2:7" x14ac:dyDescent="0.2">
      <c r="B151" s="6"/>
      <c r="C151" s="7"/>
      <c r="D151" s="6"/>
      <c r="E151" s="8"/>
      <c r="F151" s="9"/>
      <c r="G151" s="9"/>
    </row>
    <row r="152" spans="2:7" x14ac:dyDescent="0.2">
      <c r="B152" s="6"/>
      <c r="C152" s="7"/>
      <c r="D152" s="6"/>
      <c r="E152" s="8"/>
      <c r="F152" s="9"/>
      <c r="G152" s="9"/>
    </row>
    <row r="153" spans="2:7" x14ac:dyDescent="0.2">
      <c r="B153" s="6"/>
      <c r="C153" s="7"/>
      <c r="D153" s="6"/>
      <c r="E153" s="8"/>
      <c r="F153" s="9"/>
      <c r="G153" s="9"/>
    </row>
    <row r="154" spans="2:7" x14ac:dyDescent="0.2">
      <c r="B154" s="6"/>
      <c r="C154" s="7"/>
      <c r="D154" s="6"/>
      <c r="E154" s="8"/>
      <c r="F154" s="9"/>
      <c r="G154" s="9"/>
    </row>
    <row r="155" spans="2:7" x14ac:dyDescent="0.2">
      <c r="B155" s="6"/>
      <c r="C155" s="7"/>
      <c r="D155" s="6"/>
      <c r="E155" s="8"/>
      <c r="F155" s="9"/>
      <c r="G155" s="9"/>
    </row>
    <row r="156" spans="2:7" x14ac:dyDescent="0.2">
      <c r="B156" s="6"/>
      <c r="C156" s="7"/>
      <c r="D156" s="6"/>
      <c r="E156" s="8"/>
      <c r="F156" s="9"/>
      <c r="G156" s="9"/>
    </row>
    <row r="157" spans="2:7" x14ac:dyDescent="0.2">
      <c r="B157" s="6"/>
      <c r="C157" s="7"/>
      <c r="D157" s="6"/>
      <c r="E157" s="8"/>
      <c r="F157" s="9"/>
      <c r="G157" s="9"/>
    </row>
    <row r="158" spans="2:7" x14ac:dyDescent="0.2">
      <c r="B158" s="6"/>
      <c r="C158" s="7"/>
      <c r="D158" s="6"/>
      <c r="E158" s="8"/>
      <c r="F158" s="9"/>
      <c r="G158" s="9"/>
    </row>
    <row r="159" spans="2:7" x14ac:dyDescent="0.2">
      <c r="B159" s="6"/>
      <c r="C159" s="7"/>
      <c r="D159" s="6"/>
      <c r="E159" s="8"/>
      <c r="F159" s="9"/>
      <c r="G159" s="9"/>
    </row>
    <row r="160" spans="2:7" x14ac:dyDescent="0.2">
      <c r="B160" s="6"/>
      <c r="C160" s="7"/>
      <c r="D160" s="6"/>
      <c r="E160" s="8"/>
      <c r="F160" s="9"/>
      <c r="G160" s="9"/>
    </row>
    <row r="161" spans="2:7" x14ac:dyDescent="0.2">
      <c r="B161" s="6"/>
      <c r="C161" s="7"/>
      <c r="D161" s="6"/>
      <c r="E161" s="8"/>
      <c r="F161" s="9"/>
      <c r="G161" s="9"/>
    </row>
    <row r="162" spans="2:7" x14ac:dyDescent="0.2">
      <c r="B162" s="6"/>
      <c r="C162" s="7"/>
      <c r="D162" s="6"/>
      <c r="E162" s="8"/>
      <c r="F162" s="9"/>
      <c r="G162" s="9"/>
    </row>
    <row r="163" spans="2:7" x14ac:dyDescent="0.2">
      <c r="B163" s="6"/>
      <c r="C163" s="7"/>
      <c r="D163" s="6"/>
      <c r="E163" s="8"/>
      <c r="F163" s="9"/>
      <c r="G163" s="9"/>
    </row>
    <row r="164" spans="2:7" x14ac:dyDescent="0.2">
      <c r="B164" s="6"/>
      <c r="C164" s="7"/>
      <c r="D164" s="6"/>
      <c r="E164" s="8"/>
      <c r="F164" s="9"/>
      <c r="G164" s="9"/>
    </row>
    <row r="165" spans="2:7" x14ac:dyDescent="0.2">
      <c r="B165" s="6"/>
      <c r="C165" s="7"/>
      <c r="D165" s="6"/>
      <c r="E165" s="8"/>
      <c r="F165" s="9"/>
      <c r="G165" s="9"/>
    </row>
    <row r="166" spans="2:7" x14ac:dyDescent="0.2">
      <c r="B166" s="6"/>
      <c r="C166" s="7"/>
      <c r="D166" s="6"/>
      <c r="E166" s="8"/>
      <c r="F166" s="9"/>
      <c r="G166" s="9"/>
    </row>
    <row r="167" spans="2:7" x14ac:dyDescent="0.2">
      <c r="B167" s="6"/>
      <c r="C167" s="7"/>
      <c r="D167" s="6"/>
      <c r="E167" s="8"/>
      <c r="F167" s="9"/>
      <c r="G167" s="9"/>
    </row>
    <row r="168" spans="2:7" x14ac:dyDescent="0.2">
      <c r="B168" s="6"/>
      <c r="C168" s="7"/>
      <c r="D168" s="6"/>
      <c r="E168" s="8"/>
      <c r="F168" s="9"/>
      <c r="G168" s="9"/>
    </row>
    <row r="169" spans="2:7" x14ac:dyDescent="0.2">
      <c r="B169" s="6"/>
      <c r="C169" s="7"/>
      <c r="D169" s="6"/>
      <c r="E169" s="8"/>
      <c r="F169" s="9"/>
      <c r="G169" s="9"/>
    </row>
    <row r="170" spans="2:7" x14ac:dyDescent="0.2">
      <c r="B170" s="6"/>
      <c r="C170" s="7"/>
      <c r="D170" s="6"/>
      <c r="E170" s="8"/>
      <c r="F170" s="9"/>
      <c r="G170" s="9"/>
    </row>
    <row r="171" spans="2:7" x14ac:dyDescent="0.2">
      <c r="B171" s="6"/>
      <c r="C171" s="7"/>
      <c r="D171" s="6"/>
      <c r="E171" s="8"/>
      <c r="F171" s="9"/>
      <c r="G171" s="9"/>
    </row>
    <row r="172" spans="2:7" x14ac:dyDescent="0.2">
      <c r="B172" s="6"/>
      <c r="C172" s="7"/>
      <c r="D172" s="6"/>
      <c r="E172" s="8"/>
      <c r="F172" s="9"/>
      <c r="G172" s="9"/>
    </row>
    <row r="173" spans="2:7" x14ac:dyDescent="0.2">
      <c r="B173" s="6"/>
      <c r="C173" s="7"/>
      <c r="D173" s="6"/>
      <c r="E173" s="8"/>
      <c r="F173" s="9"/>
      <c r="G173" s="9"/>
    </row>
    <row r="174" spans="2:7" x14ac:dyDescent="0.2">
      <c r="B174" s="6"/>
      <c r="C174" s="7"/>
      <c r="D174" s="6"/>
      <c r="E174" s="8"/>
      <c r="F174" s="9"/>
      <c r="G174" s="9"/>
    </row>
    <row r="175" spans="2:7" x14ac:dyDescent="0.2">
      <c r="B175" s="6"/>
      <c r="C175" s="7"/>
      <c r="D175" s="6"/>
      <c r="E175" s="8"/>
      <c r="F175" s="9"/>
      <c r="G175" s="9"/>
    </row>
    <row r="176" spans="2:7" x14ac:dyDescent="0.2">
      <c r="B176" s="6"/>
      <c r="C176" s="7"/>
      <c r="D176" s="6"/>
      <c r="E176" s="8"/>
      <c r="F176" s="9"/>
      <c r="G176" s="9"/>
    </row>
    <row r="177" spans="2:7" x14ac:dyDescent="0.2">
      <c r="B177" s="6"/>
      <c r="C177" s="7"/>
      <c r="D177" s="6"/>
      <c r="E177" s="8"/>
      <c r="F177" s="9"/>
      <c r="G177" s="9"/>
    </row>
    <row r="178" spans="2:7" x14ac:dyDescent="0.2">
      <c r="B178" s="6"/>
      <c r="C178" s="7"/>
      <c r="D178" s="6"/>
      <c r="E178" s="8"/>
      <c r="F178" s="9"/>
      <c r="G178" s="9"/>
    </row>
    <row r="179" spans="2:7" x14ac:dyDescent="0.2">
      <c r="B179" s="6"/>
      <c r="C179" s="7"/>
      <c r="D179" s="6"/>
      <c r="E179" s="8"/>
      <c r="F179" s="9"/>
      <c r="G179" s="9"/>
    </row>
    <row r="180" spans="2:7" x14ac:dyDescent="0.2">
      <c r="B180" s="6"/>
      <c r="C180" s="7"/>
      <c r="D180" s="6"/>
      <c r="E180" s="8"/>
      <c r="F180" s="9"/>
      <c r="G180" s="9"/>
    </row>
    <row r="181" spans="2:7" x14ac:dyDescent="0.2">
      <c r="B181" s="6"/>
      <c r="C181" s="7"/>
      <c r="D181" s="6"/>
      <c r="E181" s="8"/>
      <c r="F181" s="9"/>
      <c r="G181" s="9"/>
    </row>
    <row r="182" spans="2:7" x14ac:dyDescent="0.2">
      <c r="B182" s="6"/>
      <c r="C182" s="7"/>
      <c r="D182" s="6"/>
      <c r="E182" s="8"/>
      <c r="F182" s="9"/>
      <c r="G182" s="9"/>
    </row>
    <row r="183" spans="2:7" x14ac:dyDescent="0.2">
      <c r="B183" s="6"/>
      <c r="C183" s="7"/>
      <c r="D183" s="6"/>
      <c r="E183" s="8"/>
      <c r="F183" s="9"/>
      <c r="G183" s="9"/>
    </row>
    <row r="184" spans="2:7" x14ac:dyDescent="0.2">
      <c r="B184" s="6"/>
      <c r="C184" s="7"/>
      <c r="D184" s="6"/>
      <c r="E184" s="8"/>
      <c r="F184" s="9"/>
      <c r="G184" s="9"/>
    </row>
    <row r="185" spans="2:7" x14ac:dyDescent="0.2">
      <c r="B185" s="6"/>
      <c r="C185" s="7"/>
      <c r="D185" s="6"/>
      <c r="E185" s="8"/>
      <c r="F185" s="9"/>
      <c r="G185" s="9"/>
    </row>
    <row r="186" spans="2:7" x14ac:dyDescent="0.2">
      <c r="B186" s="6"/>
      <c r="C186" s="7"/>
      <c r="D186" s="6"/>
      <c r="E186" s="8"/>
      <c r="F186" s="9"/>
      <c r="G186" s="9"/>
    </row>
    <row r="187" spans="2:7" x14ac:dyDescent="0.2">
      <c r="B187" s="6"/>
      <c r="C187" s="7"/>
      <c r="D187" s="6"/>
      <c r="E187" s="8"/>
      <c r="F187" s="9"/>
      <c r="G187" s="9"/>
    </row>
    <row r="188" spans="2:7" x14ac:dyDescent="0.2">
      <c r="B188" s="6"/>
      <c r="C188" s="7"/>
      <c r="D188" s="6"/>
      <c r="E188" s="8"/>
      <c r="F188" s="9"/>
      <c r="G188" s="9"/>
    </row>
    <row r="189" spans="2:7" x14ac:dyDescent="0.2">
      <c r="B189" s="6"/>
      <c r="C189" s="7"/>
      <c r="D189" s="6"/>
      <c r="E189" s="8"/>
      <c r="F189" s="9"/>
      <c r="G189" s="9"/>
    </row>
    <row r="190" spans="2:7" x14ac:dyDescent="0.2">
      <c r="B190" s="6"/>
      <c r="C190" s="7"/>
      <c r="D190" s="6"/>
      <c r="E190" s="8"/>
      <c r="F190" s="9"/>
      <c r="G190" s="9"/>
    </row>
    <row r="191" spans="2:7" x14ac:dyDescent="0.2">
      <c r="B191" s="6"/>
      <c r="C191" s="7"/>
      <c r="D191" s="6"/>
      <c r="E191" s="8"/>
      <c r="F191" s="9"/>
      <c r="G191" s="9"/>
    </row>
    <row r="192" spans="2:7" x14ac:dyDescent="0.2">
      <c r="B192" s="6"/>
      <c r="C192" s="7"/>
      <c r="D192" s="6"/>
      <c r="E192" s="8"/>
      <c r="F192" s="9"/>
      <c r="G192" s="9"/>
    </row>
    <row r="193" spans="2:7" x14ac:dyDescent="0.2">
      <c r="B193" s="6"/>
      <c r="C193" s="7"/>
      <c r="D193" s="6"/>
      <c r="E193" s="8"/>
      <c r="F193" s="9"/>
      <c r="G193" s="9"/>
    </row>
    <row r="194" spans="2:7" x14ac:dyDescent="0.2">
      <c r="B194" s="6"/>
      <c r="C194" s="7"/>
      <c r="D194" s="6"/>
      <c r="E194" s="8"/>
      <c r="F194" s="9"/>
      <c r="G194" s="9"/>
    </row>
    <row r="195" spans="2:7" x14ac:dyDescent="0.2">
      <c r="B195" s="6"/>
      <c r="C195" s="7"/>
      <c r="D195" s="6"/>
      <c r="E195" s="8"/>
      <c r="F195" s="9"/>
      <c r="G195" s="9"/>
    </row>
    <row r="196" spans="2:7" x14ac:dyDescent="0.2">
      <c r="B196" s="6"/>
      <c r="C196" s="7"/>
      <c r="D196" s="6"/>
      <c r="E196" s="8"/>
      <c r="F196" s="9"/>
      <c r="G196" s="9"/>
    </row>
    <row r="197" spans="2:7" x14ac:dyDescent="0.2">
      <c r="B197" s="6"/>
      <c r="C197" s="7"/>
      <c r="D197" s="6"/>
      <c r="E197" s="8"/>
      <c r="F197" s="9"/>
      <c r="G197" s="9"/>
    </row>
    <row r="198" spans="2:7" x14ac:dyDescent="0.2">
      <c r="B198" s="6"/>
      <c r="C198" s="7"/>
      <c r="D198" s="6"/>
      <c r="E198" s="8"/>
      <c r="F198" s="9"/>
      <c r="G198" s="9"/>
    </row>
    <row r="199" spans="2:7" x14ac:dyDescent="0.2">
      <c r="B199" s="6"/>
      <c r="C199" s="7"/>
      <c r="D199" s="6"/>
      <c r="E199" s="8"/>
      <c r="F199" s="9"/>
      <c r="G199" s="9"/>
    </row>
    <row r="200" spans="2:7" x14ac:dyDescent="0.2">
      <c r="B200" s="6"/>
      <c r="C200" s="7"/>
      <c r="D200" s="6"/>
      <c r="E200" s="8"/>
      <c r="F200" s="9"/>
      <c r="G200" s="9"/>
    </row>
    <row r="201" spans="2:7" x14ac:dyDescent="0.2">
      <c r="B201" s="6"/>
      <c r="C201" s="7"/>
      <c r="D201" s="6"/>
      <c r="E201" s="8"/>
      <c r="F201" s="9"/>
      <c r="G201" s="9"/>
    </row>
    <row r="202" spans="2:7" x14ac:dyDescent="0.2">
      <c r="B202" s="6"/>
      <c r="C202" s="7"/>
      <c r="D202" s="6"/>
      <c r="E202" s="8"/>
      <c r="F202" s="9"/>
      <c r="G202" s="9"/>
    </row>
    <row r="203" spans="2:7" x14ac:dyDescent="0.2">
      <c r="B203" s="6"/>
      <c r="C203" s="7"/>
      <c r="D203" s="6"/>
      <c r="E203" s="8"/>
      <c r="F203" s="9"/>
      <c r="G203" s="9"/>
    </row>
    <row r="204" spans="2:7" x14ac:dyDescent="0.2">
      <c r="B204" s="6"/>
      <c r="C204" s="7"/>
      <c r="D204" s="6"/>
      <c r="E204" s="8"/>
      <c r="F204" s="9"/>
      <c r="G204" s="9"/>
    </row>
    <row r="1000" spans="702:702" ht="15" x14ac:dyDescent="0.25">
      <c r="ZZ1000"/>
    </row>
  </sheetData>
  <conditionalFormatting sqref="B5:B204">
    <cfRule type="expression" dxfId="0" priority="1" stopIfTrue="1">
      <formula>AND(B5&lt;&gt;"",COUNTIF($B$5:$B$204,B5)&gt;1)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D810A-FA72-47D8-85C6-4E8E9417E2F3}">
  <dimension ref="B1:B5"/>
  <sheetViews>
    <sheetView workbookViewId="0"/>
  </sheetViews>
  <sheetFormatPr baseColWidth="10" defaultRowHeight="12.75" x14ac:dyDescent="0.2"/>
  <cols>
    <col min="1" max="1" width="2.7109375" style="1" customWidth="1"/>
    <col min="2" max="16384" width="11.42578125" style="1"/>
  </cols>
  <sheetData>
    <row r="1" spans="2:2" ht="18.75" x14ac:dyDescent="0.3">
      <c r="B1" s="33" t="s">
        <v>95</v>
      </c>
    </row>
    <row r="3" spans="2:2" ht="15" x14ac:dyDescent="0.25">
      <c r="B3" s="34" t="s">
        <v>96</v>
      </c>
    </row>
    <row r="4" spans="2:2" ht="15" x14ac:dyDescent="0.25">
      <c r="B4" s="35" t="s">
        <v>97</v>
      </c>
    </row>
    <row r="5" spans="2:2" ht="15" x14ac:dyDescent="0.25">
      <c r="B5" s="36" t="s">
        <v>98</v>
      </c>
    </row>
  </sheetData>
  <hyperlinks>
    <hyperlink ref="B5" r:id="rId1" tooltip="Instrucțiuni și alte modele gratuite" xr:uid="{74078E5D-BC71-4905-8A12-BB4F36F9A1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Fișă de magazie</vt:lpstr>
      <vt:lpstr>Mișcări</vt:lpstr>
      <vt:lpstr>Stocuri</vt:lpstr>
      <vt:lpstr>Produse</vt:lpstr>
      <vt:lpstr>Despre model</vt:lpstr>
      <vt:lpstr>'Fișă de magazie'!Área_de_impresión</vt:lpstr>
      <vt:lpstr>CodFisa</vt:lpstr>
      <vt:lpstr>CodProd</vt:lpstr>
      <vt:lpstr>TabProd</vt:lpstr>
      <vt:lpstr>TipDoc</vt:lpstr>
      <vt:lpstr>Mișcări!Títulos_a_imprimir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fișă de magazie Excel</dc:title>
  <dc:subject>Model Excel gratuit în limba română</dc:subject>
  <dc:creator>Ray Moreno · modelexcel.ro</dc:creator>
  <cp:keywords>modelexcel.ro, model Excel, Model fișă de magazie Excel</cp:keywords>
  <dc:description>© 2026 Ray Moreno – modelexcel.ro. Model gratuit: îl poți folosi și adapta în activitatea ta. Nu este permisă revânzarea lui sau publicarea pe alte site-uri. https://modelexcel.ro/model-fisa-de-magazie-excel/</dc:description>
  <cp:lastModifiedBy>Ray Moreno · modelexcel.ro</cp:lastModifiedBy>
  <dcterms:created xsi:type="dcterms:W3CDTF">2026-10-11T14:27:19Z</dcterms:created>
  <dcterms:modified xsi:type="dcterms:W3CDTF">2026-10-13T17:31:58Z</dcterms:modified>
  <cp:category>Model Excel</cp:category>
</cp:coreProperties>
</file>