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617F62AB-E508-46D0-99B3-19CBD7E78F1A}" xr6:coauthVersionLast="47" xr6:coauthVersionMax="47" xr10:uidLastSave="{00000000-0000-0000-0000-000000000000}"/>
  <bookViews>
    <workbookView xWindow="-28920" yWindow="-120" windowWidth="29040" windowHeight="15720" xr2:uid="{D671E400-EC84-427F-A966-0FDCF5525441}"/>
  </bookViews>
  <sheets>
    <sheet name="Fluturaș" sheetId="1" r:id="rId1"/>
    <sheet name="Calcul lunar" sheetId="2" r:id="rId2"/>
    <sheet name="Setări" sheetId="3" r:id="rId3"/>
    <sheet name="Zile libere" sheetId="4" r:id="rId4"/>
  </sheets>
  <definedNames>
    <definedName name="Angajator">Setări!$C$4</definedName>
    <definedName name="AnSal">Setări!$C$8</definedName>
    <definedName name="_xlnm.Print_Area" localSheetId="0">Fluturaș!$A$1:$F$34</definedName>
    <definedName name="CotaCAM">Setări!$C$20</definedName>
    <definedName name="CotaCAS">Setări!$C$17</definedName>
    <definedName name="CotaCASS">Setări!$C$18</definedName>
    <definedName name="CotaImp">Setări!$C$19</definedName>
    <definedName name="DaNuSal">Setări!$H$4:$H$5</definedName>
    <definedName name="EsteTanar">Setări!$C$12</definedName>
    <definedName name="FunctiaAng">Setări!$C$6</definedName>
    <definedName name="FunctieBaza">Setări!$C$10</definedName>
    <definedName name="ListaLuniSal">Setări!$H$40:$H$51</definedName>
    <definedName name="Marca">Setări!$C$7</definedName>
    <definedName name="NormaZi">Setări!$C$9</definedName>
    <definedName name="NrCopii">Setări!$C$13</definedName>
    <definedName name="NrPers">Setări!$C$11</definedName>
    <definedName name="NumeAng">Setări!$C$5</definedName>
    <definedName name="PerData">Setări!$B$24:$B$30</definedName>
    <definedName name="PerNetax">Setări!$D$24:$D$30</definedName>
    <definedName name="PerPlafon">Setări!$E$24:$E$30</definedName>
    <definedName name="PerSM">Setări!$C$24:$C$30</definedName>
    <definedName name="RandSal">Fluturaș!$H$3</definedName>
    <definedName name="SarbSal">'Zile libere'!$G$5:$G$21</definedName>
    <definedName name="SporSupl">Setări!$C$14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0" i="1" l="1"/>
  <c r="F29" i="1"/>
  <c r="F28" i="1"/>
  <c r="F21" i="1"/>
  <c r="F20" i="1"/>
  <c r="F19" i="1"/>
  <c r="F16" i="1"/>
  <c r="F15" i="1"/>
  <c r="F14" i="1"/>
  <c r="F13" i="1"/>
  <c r="F12" i="1"/>
  <c r="F11" i="1"/>
  <c r="F8" i="1"/>
  <c r="F7" i="1"/>
  <c r="F6" i="1"/>
  <c r="F5" i="1"/>
  <c r="C8" i="1"/>
  <c r="C7" i="1"/>
  <c r="C6" i="1"/>
  <c r="C5" i="1"/>
  <c r="H3" i="1"/>
  <c r="D3" i="1"/>
  <c r="W16" i="2"/>
  <c r="X16" i="2"/>
  <c r="Y16" i="2"/>
  <c r="D16" i="2"/>
  <c r="L16" i="2"/>
  <c r="M16" i="2"/>
  <c r="N16" i="2"/>
  <c r="O16" i="2"/>
  <c r="P16" i="2"/>
  <c r="Q16" i="2"/>
  <c r="R16" i="2"/>
  <c r="S16" i="2"/>
  <c r="T16" i="2"/>
  <c r="U16" i="2"/>
  <c r="V16" i="2"/>
  <c r="AA16" i="2"/>
  <c r="W15" i="2"/>
  <c r="X15" i="2"/>
  <c r="Y15" i="2"/>
  <c r="D15" i="2"/>
  <c r="L15" i="2"/>
  <c r="M15" i="2"/>
  <c r="N15" i="2"/>
  <c r="O15" i="2"/>
  <c r="P15" i="2"/>
  <c r="Q15" i="2"/>
  <c r="R15" i="2"/>
  <c r="S15" i="2"/>
  <c r="T15" i="2"/>
  <c r="U15" i="2"/>
  <c r="V15" i="2"/>
  <c r="AA15" i="2"/>
  <c r="D14" i="2"/>
  <c r="L14" i="2"/>
  <c r="M14" i="2"/>
  <c r="N14" i="2"/>
  <c r="AA14" i="2"/>
  <c r="D13" i="2"/>
  <c r="L13" i="2"/>
  <c r="M13" i="2"/>
  <c r="O13" i="2" s="1"/>
  <c r="N13" i="2"/>
  <c r="AA13" i="2"/>
  <c r="D12" i="2"/>
  <c r="L12" i="2"/>
  <c r="M12" i="2"/>
  <c r="O12" i="2" s="1"/>
  <c r="N12" i="2"/>
  <c r="AA12" i="2"/>
  <c r="D11" i="2"/>
  <c r="L11" i="2"/>
  <c r="M11" i="2"/>
  <c r="N11" i="2"/>
  <c r="AA11" i="2"/>
  <c r="D10" i="2"/>
  <c r="L10" i="2"/>
  <c r="M10" i="2"/>
  <c r="O10" i="2" s="1"/>
  <c r="N10" i="2"/>
  <c r="AA10" i="2"/>
  <c r="D9" i="2"/>
  <c r="L9" i="2"/>
  <c r="M9" i="2"/>
  <c r="O9" i="2" s="1"/>
  <c r="N9" i="2"/>
  <c r="AA9" i="2"/>
  <c r="D8" i="2"/>
  <c r="L8" i="2"/>
  <c r="M8" i="2"/>
  <c r="O8" i="2" s="1"/>
  <c r="N8" i="2"/>
  <c r="AA8" i="2"/>
  <c r="D7" i="2"/>
  <c r="L7" i="2"/>
  <c r="M7" i="2"/>
  <c r="N7" i="2"/>
  <c r="AA7" i="2"/>
  <c r="D6" i="2"/>
  <c r="L6" i="2"/>
  <c r="M6" i="2"/>
  <c r="O6" i="2" s="1"/>
  <c r="N6" i="2"/>
  <c r="AA6" i="2"/>
  <c r="D5" i="2"/>
  <c r="L5" i="2"/>
  <c r="M5" i="2"/>
  <c r="O5" i="2" s="1"/>
  <c r="N5" i="2"/>
  <c r="AA5" i="2"/>
  <c r="B2" i="2"/>
  <c r="C21" i="4"/>
  <c r="G21" i="4"/>
  <c r="C20" i="4"/>
  <c r="G20" i="4"/>
  <c r="C19" i="4"/>
  <c r="G19" i="4"/>
  <c r="C18" i="4"/>
  <c r="G18" i="4"/>
  <c r="C17" i="4"/>
  <c r="G17" i="4"/>
  <c r="C16" i="4"/>
  <c r="G16" i="4"/>
  <c r="C15" i="4"/>
  <c r="G15" i="4"/>
  <c r="C14" i="4"/>
  <c r="G14" i="4"/>
  <c r="C13" i="4"/>
  <c r="G13" i="4"/>
  <c r="C12" i="4"/>
  <c r="G12" i="4"/>
  <c r="C11" i="4"/>
  <c r="G11" i="4"/>
  <c r="C10" i="4"/>
  <c r="G10" i="4"/>
  <c r="C9" i="4"/>
  <c r="G9" i="4"/>
  <c r="C8" i="4"/>
  <c r="G8" i="4"/>
  <c r="C7" i="4"/>
  <c r="G7" i="4"/>
  <c r="C6" i="4"/>
  <c r="G6" i="4"/>
  <c r="C5" i="4"/>
  <c r="G5" i="4"/>
  <c r="G4" i="4"/>
  <c r="B26" i="3"/>
  <c r="B25" i="3"/>
  <c r="B24" i="3"/>
  <c r="Z16" i="2" l="1"/>
  <c r="M17" i="2"/>
  <c r="N17" i="2"/>
  <c r="O14" i="2"/>
  <c r="T13" i="2"/>
  <c r="F22" i="1" s="1"/>
  <c r="P13" i="2"/>
  <c r="Q13" i="2" s="1"/>
  <c r="T12" i="2"/>
  <c r="P12" i="2"/>
  <c r="Q12" i="2" s="1"/>
  <c r="O11" i="2"/>
  <c r="P11" i="2" s="1"/>
  <c r="Q11" i="2" s="1"/>
  <c r="T11" i="2"/>
  <c r="P10" i="2"/>
  <c r="Q10" i="2" s="1"/>
  <c r="T10" i="2"/>
  <c r="T9" i="2"/>
  <c r="P9" i="2"/>
  <c r="Q9" i="2" s="1"/>
  <c r="P8" i="2"/>
  <c r="Q8" i="2" s="1"/>
  <c r="T8" i="2"/>
  <c r="O7" i="2"/>
  <c r="T7" i="2" s="1"/>
  <c r="P7" i="2"/>
  <c r="Q7" i="2" s="1"/>
  <c r="P6" i="2"/>
  <c r="Q6" i="2" s="1"/>
  <c r="T6" i="2"/>
  <c r="P5" i="2"/>
  <c r="Q5" i="2" s="1"/>
  <c r="T5" i="2"/>
  <c r="O17" i="2" l="1"/>
  <c r="T14" i="2"/>
  <c r="T17" i="2" s="1"/>
  <c r="P14" i="2"/>
  <c r="R13" i="2"/>
  <c r="U13" i="2" s="1"/>
  <c r="X13" i="2"/>
  <c r="Y13" i="2" s="1"/>
  <c r="S13" i="2"/>
  <c r="S12" i="2"/>
  <c r="R12" i="2"/>
  <c r="U12" i="2" s="1"/>
  <c r="V12" i="2" s="1"/>
  <c r="X12" i="2"/>
  <c r="Y12" i="2" s="1"/>
  <c r="X11" i="2"/>
  <c r="Y11" i="2" s="1"/>
  <c r="S11" i="2"/>
  <c r="R11" i="2"/>
  <c r="X10" i="2"/>
  <c r="Y10" i="2" s="1"/>
  <c r="S10" i="2"/>
  <c r="R10" i="2"/>
  <c r="R9" i="2"/>
  <c r="X9" i="2"/>
  <c r="Y9" i="2" s="1"/>
  <c r="S9" i="2"/>
  <c r="U9" i="2" s="1"/>
  <c r="V9" i="2" s="1"/>
  <c r="X8" i="2"/>
  <c r="Y8" i="2" s="1"/>
  <c r="S8" i="2"/>
  <c r="R8" i="2"/>
  <c r="U8" i="2" s="1"/>
  <c r="V8" i="2" s="1"/>
  <c r="X7" i="2"/>
  <c r="Y7" i="2" s="1"/>
  <c r="S7" i="2"/>
  <c r="R7" i="2"/>
  <c r="X6" i="2"/>
  <c r="Y6" i="2" s="1"/>
  <c r="S6" i="2"/>
  <c r="R6" i="2"/>
  <c r="X5" i="2"/>
  <c r="Y5" i="2" s="1"/>
  <c r="R5" i="2"/>
  <c r="S5" i="2"/>
  <c r="U10" i="2" l="1"/>
  <c r="V10" i="2" s="1"/>
  <c r="W10" i="2" s="1"/>
  <c r="P17" i="2"/>
  <c r="Q14" i="2"/>
  <c r="V13" i="2"/>
  <c r="F24" i="1" s="1"/>
  <c r="F23" i="1"/>
  <c r="U7" i="2"/>
  <c r="V7" i="2" s="1"/>
  <c r="W7" i="2" s="1"/>
  <c r="U6" i="2"/>
  <c r="V6" i="2" s="1"/>
  <c r="W6" i="2" s="1"/>
  <c r="U5" i="2"/>
  <c r="W13" i="2"/>
  <c r="W12" i="2"/>
  <c r="U11" i="2"/>
  <c r="V11" i="2" s="1"/>
  <c r="W11" i="2" s="1"/>
  <c r="W9" i="2"/>
  <c r="W8" i="2"/>
  <c r="X14" i="2" l="1"/>
  <c r="R14" i="2"/>
  <c r="S14" i="2"/>
  <c r="S17" i="2" s="1"/>
  <c r="Q17" i="2"/>
  <c r="Z13" i="2"/>
  <c r="B32" i="1" s="1"/>
  <c r="V5" i="2"/>
  <c r="F26" i="1"/>
  <c r="Z10" i="2"/>
  <c r="Z7" i="2"/>
  <c r="Z12" i="2"/>
  <c r="Z11" i="2"/>
  <c r="Z8" i="2"/>
  <c r="Z9" i="2"/>
  <c r="U14" i="2" l="1"/>
  <c r="Y14" i="2"/>
  <c r="Y17" i="2" s="1"/>
  <c r="X17" i="2"/>
  <c r="R17" i="2"/>
  <c r="W5" i="2"/>
  <c r="Z6" i="2" s="1"/>
  <c r="U17" i="2" l="1"/>
  <c r="V14" i="2"/>
  <c r="V17" i="2" s="1"/>
  <c r="W14" i="2"/>
  <c r="Z15" i="2" l="1"/>
  <c r="Z14" i="2"/>
  <c r="W17" i="2"/>
</calcChain>
</file>

<file path=xl/sharedStrings.xml><?xml version="1.0" encoding="utf-8"?>
<sst xmlns="http://schemas.openxmlformats.org/spreadsheetml/2006/main" count="141" uniqueCount="118">
  <si>
    <t>Setări: angajat, angajator și parametri legali</t>
  </si>
  <si>
    <t>Angajator</t>
  </si>
  <si>
    <t>Exemplu Servicii SRL</t>
  </si>
  <si>
    <t>Nume angajat</t>
  </si>
  <si>
    <t>Ionescu Andrei</t>
  </si>
  <si>
    <t>Funcția</t>
  </si>
  <si>
    <t>Operator date</t>
  </si>
  <si>
    <t>Marca / nr. intern</t>
  </si>
  <si>
    <t>0007</t>
  </si>
  <si>
    <t>Anul</t>
  </si>
  <si>
    <t>Normă zilnică (ore)</t>
  </si>
  <si>
    <t>Funcție de bază (Da/Nu)</t>
  </si>
  <si>
    <t>Da</t>
  </si>
  <si>
    <t>Persoane în întreținere (0–4)</t>
  </si>
  <si>
    <t>Sub 26 de ani (Da/Nu)</t>
  </si>
  <si>
    <t>Nu</t>
  </si>
  <si>
    <t>Copii înscriși la școală (nr.)</t>
  </si>
  <si>
    <t>Spor ore suplimentare</t>
  </si>
  <si>
    <t>Cote</t>
  </si>
  <si>
    <t>CAS (pensie) – angajat</t>
  </si>
  <si>
    <t>CASS (sănătate) – angajat</t>
  </si>
  <si>
    <t>Impozit pe venit</t>
  </si>
  <si>
    <t>CAM – angajator</t>
  </si>
  <si>
    <t>Salariul minim și suma netaxabilă (pe perioade)</t>
  </si>
  <si>
    <t>Valabil de la</t>
  </si>
  <si>
    <t>Salariul minim brut</t>
  </si>
  <si>
    <t>Sumă netaxabilă</t>
  </si>
  <si>
    <t>Plafon venit brut</t>
  </si>
  <si>
    <t>Când se schimbă salariul minim, adaugă un rând nou sub ultimul, cu data de la care se aplică (în ordine cronologică).</t>
  </si>
  <si>
    <t>Suma netaxabilă se aplică doar dacă salariul de bază este egal cu salariul minim, venitul brut nu depășește plafonul, iar angajatul lucrează cu normă întreagă la funcția de bază.</t>
  </si>
  <si>
    <t>Deducerea personală: 20% din salariul minim (25%, 30%, 35% sau 45% cu 1, 2, 3 sau 4+ persoane în întreținere) pentru venit brut până la salariul minim; scade cu 0,5 puncte procentuale la fiecare 50 lei peste salariul minim și nu se mai acordă peste salariul minim + 2.000 lei.</t>
  </si>
  <si>
    <t>Deduceri suplimentare: 15% din salariul minim pentru tinerii sub 26 de ani și 100 lei pentru fiecare copil înscris la școală, în aceleași limite de venit. Verifică condițiile cu contabilul.</t>
  </si>
  <si>
    <t>Sărbători legale (pentru zilele lucrătoare)</t>
  </si>
  <si>
    <t>Sărbătoare</t>
  </si>
  <si>
    <t>Data</t>
  </si>
  <si>
    <t>Anul Nou</t>
  </si>
  <si>
    <t>A doua zi de Anul Nou</t>
  </si>
  <si>
    <t>Boboteaza</t>
  </si>
  <si>
    <t>Sfântul Ioan</t>
  </si>
  <si>
    <t>Ziua Unirii</t>
  </si>
  <si>
    <t>Vinerea Mare</t>
  </si>
  <si>
    <t>Paștele</t>
  </si>
  <si>
    <t>A doua zi de Paște</t>
  </si>
  <si>
    <t>Ziua Muncii</t>
  </si>
  <si>
    <t>Ziua Copilului</t>
  </si>
  <si>
    <t>Rusaliile</t>
  </si>
  <si>
    <t>A doua zi de Rusalii</t>
  </si>
  <si>
    <t>Sfânta Maria</t>
  </si>
  <si>
    <t>Sfântul Andrei</t>
  </si>
  <si>
    <t>Ziua Națională</t>
  </si>
  <si>
    <t>Crăciunul</t>
  </si>
  <si>
    <t>A doua zi de Crăciun</t>
  </si>
  <si>
    <t>Calcul salariu pe luni</t>
  </si>
  <si>
    <t>Completează doar coloanele verzi. Ultima coloană compară salariul net cu luna precedentă: diferențele de peste 5% apar colorate.</t>
  </si>
  <si>
    <t>Luna</t>
  </si>
  <si>
    <t>Salariu de bază</t>
  </si>
  <si>
    <t>Zile lucrătoare</t>
  </si>
  <si>
    <t>Zile lucrate</t>
  </si>
  <si>
    <t>Zile CO</t>
  </si>
  <si>
    <t>Zile CM</t>
  </si>
  <si>
    <t>Ore suplimentare</t>
  </si>
  <si>
    <t>Prime / bonusuri</t>
  </si>
  <si>
    <t>Alte sporuri</t>
  </si>
  <si>
    <t>Tichete de masă (valoare)</t>
  </si>
  <si>
    <t>Salariul minim în lună</t>
  </si>
  <si>
    <t>Salariu realizat</t>
  </si>
  <si>
    <t>Plată ore suplimentare</t>
  </si>
  <si>
    <t>Venit brut</t>
  </si>
  <si>
    <t>Bază CAS și CASS</t>
  </si>
  <si>
    <t>CAS 25%</t>
  </si>
  <si>
    <t>CASS 10%</t>
  </si>
  <si>
    <t>Deducere personală</t>
  </si>
  <si>
    <t>Bază impozit</t>
  </si>
  <si>
    <t>Impozit 10%</t>
  </si>
  <si>
    <t>Salariu net</t>
  </si>
  <si>
    <t>CAM 2,25%</t>
  </si>
  <si>
    <t>Cost total angajator</t>
  </si>
  <si>
    <t>Net față de luna precedentă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</si>
  <si>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</si>
  <si>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</si>
  <si>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</si>
  <si>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</si>
  <si>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</si>
  <si>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</si>
  <si>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</si>
  <si>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</si>
  <si>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</si>
  <si>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</si>
  <si>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</si>
  <si>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</si>
  <si>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 AN</t>
  </si>
  <si>
    <t>FLUTURAȘ DE SALARIU</t>
  </si>
  <si>
    <t>Luna:</t>
  </si>
  <si>
    <t>← alege luna</t>
  </si>
  <si>
    <t>Angajator:</t>
  </si>
  <si>
    <t>Angajat:</t>
  </si>
  <si>
    <t>Funcția:</t>
  </si>
  <si>
    <t>Marca:</t>
  </si>
  <si>
    <t>Zile lucrătoare:</t>
  </si>
  <si>
    <t>Zile lucrate:</t>
  </si>
  <si>
    <t>Zile CO / CM:</t>
  </si>
  <si>
    <t>Persoane în întreținere:</t>
  </si>
  <si>
    <t>VENITURI</t>
  </si>
  <si>
    <t>Salariu realizat (zile lucrate + CO)</t>
  </si>
  <si>
    <t>VENIT BRUT</t>
  </si>
  <si>
    <t>REȚINERI</t>
  </si>
  <si>
    <t>Sumă netaxabilă (salariul minim)</t>
  </si>
  <si>
    <t>CAS 25% (pensie)</t>
  </si>
  <si>
    <t>CASS 10% (sănătate)</t>
  </si>
  <si>
    <t>Bază de calcul impozit</t>
  </si>
  <si>
    <t>Impozit pe venit 10%</t>
  </si>
  <si>
    <t>SALARIU NET</t>
  </si>
  <si>
    <t>Tichete de masă (acordate separat)</t>
  </si>
  <si>
    <t>CAM 2,25% (plătit de angajator)</t>
  </si>
  <si>
    <t>Calcul orientativ. Indemnizația de concediu medical și cea de concediu de odihnă se calculează de contabil pe baza mediei veniturilor; în model, zilele de CO sunt plătite la salariul de bază.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</si>
  <si>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</si>
  <si>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</si>
  <si>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modelexcel.ro/model-fluturas-salariu-excel/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</si>
</sst>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%;\-0.0%;0.0%"/>
    <numFmt numFmtId="165" formatCode="#,##0&quot; lei&quot;"/>
  </numFmts>
  <fonts count="19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b/>
      <sz val="10"/>
      <color theme="1"/>
      <name val="Calibri"/>
      <family val="2"/>
    </font>
    <font>
      <sz val="10"/>
      <color rgb="FFFFFFFF"/>
      <name val="Calibri"/>
      <family val="2"/>
    </font>
    <font>
      <b/>
      <sz val="10"/>
      <color rgb="FF17734A"/>
      <name val="Calibri"/>
      <family val="2"/>
    </font>
    <font>
      <b/>
      <sz val="10"/>
      <color rgb="FFFFFFFF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4"/>
      <color rgb="FF17734A"/>
      <name val="Calibri"/>
      <family val="2"/>
    </font>
    <font>
      <b/>
      <sz val="18"/>
      <color rgb="FF17734A"/>
      <name val="Calibri"/>
      <family val="2"/>
    </font>
    <font>
      <b/>
      <sz val="12"/>
      <color theme="1"/>
      <name val="Calibri"/>
      <family val="2"/>
    </font>
    <font>
      <b/>
      <sz val="14"/>
      <color rgb="FFFFFFFF"/>
      <name val="Calibri"/>
      <family val="2"/>
    </font>
    <font>
      <sz val="10"/>
      <color rgb="FF5D6B64"/>
      <name val="Calibri"/>
      <family val="2"/>
    </font>
    <font>
      <i/>
      <sz val="8"/>
      <color rgb="FF5D6B64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3F1E9"/>
        <bgColor indexed="64"/>
      </patternFill>
    </fill>
    <fill>
      <patternFill patternType="solid">
        <fgColor rgb="FF17734A"/>
        <bgColor indexed="64"/>
      </patternFill>
    </fill>
    <fill>
      <patternFill patternType="solid">
        <fgColor rgb="FF125A2E"/>
        <bgColor indexed="64"/>
      </patternFill>
    </fill>
    <fill>
      <patternFill patternType="solid">
        <fgColor rgb="FFDCE8D5"/>
        <bgColor indexed="64"/>
      </patternFill>
    </fill>
  </fills>
  <borders count="3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  <border>
      <left/>
      <right/>
      <top/>
      <bottom style="thin">
        <color rgb="FFD8E0DB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9" fontId="3" fillId="2" borderId="0" xfId="0" applyNumberFormat="1" applyFont="1" applyFill="1" applyAlignment="1">
      <alignment horizontal="left"/>
    </xf>
    <xf numFmtId="0" fontId="4" fillId="0" borderId="0" xfId="0" applyFont="1"/>
    <xf numFmtId="0" fontId="3" fillId="0" borderId="0" xfId="0" applyFont="1"/>
    <xf numFmtId="0" fontId="5" fillId="0" borderId="0" xfId="0" applyFont="1"/>
    <xf numFmtId="9" fontId="1" fillId="2" borderId="0" xfId="0" applyNumberFormat="1" applyFont="1" applyFill="1" applyAlignment="1">
      <alignment horizontal="left"/>
    </xf>
    <xf numFmtId="10" fontId="1" fillId="2" borderId="0" xfId="0" applyNumberFormat="1" applyFont="1" applyFill="1" applyAlignment="1">
      <alignment horizontal="left"/>
    </xf>
    <xf numFmtId="0" fontId="6" fillId="3" borderId="0" xfId="0" applyFont="1" applyFill="1"/>
    <xf numFmtId="14" fontId="1" fillId="0" borderId="0" xfId="0" applyNumberFormat="1" applyFont="1"/>
    <xf numFmtId="0" fontId="6" fillId="3" borderId="1" xfId="0" applyFont="1" applyFill="1" applyBorder="1" applyAlignment="1">
      <alignment wrapText="1"/>
    </xf>
    <xf numFmtId="14" fontId="1" fillId="2" borderId="1" xfId="0" applyNumberFormat="1" applyFont="1" applyFill="1" applyBorder="1"/>
    <xf numFmtId="3" fontId="1" fillId="2" borderId="1" xfId="0" applyNumberFormat="1" applyFont="1" applyFill="1" applyBorder="1"/>
    <xf numFmtId="14" fontId="1" fillId="0" borderId="1" xfId="0" applyNumberFormat="1" applyFont="1" applyBorder="1"/>
    <xf numFmtId="3" fontId="1" fillId="0" borderId="1" xfId="0" applyNumberFormat="1" applyFont="1" applyBorder="1"/>
    <xf numFmtId="0" fontId="9" fillId="0" borderId="0" xfId="0" applyFont="1"/>
    <xf numFmtId="0" fontId="6" fillId="3" borderId="1" xfId="0" applyFont="1" applyFill="1" applyBorder="1"/>
    <xf numFmtId="0" fontId="1" fillId="0" borderId="1" xfId="0" applyFont="1" applyBorder="1"/>
    <xf numFmtId="0" fontId="7" fillId="0" borderId="0" xfId="0" applyFont="1"/>
    <xf numFmtId="0" fontId="8" fillId="0" borderId="0" xfId="0" applyFont="1"/>
    <xf numFmtId="0" fontId="6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3" fontId="1" fillId="2" borderId="1" xfId="0" applyNumberFormat="1" applyFont="1" applyFill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" fontId="1" fillId="2" borderId="1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3" fillId="5" borderId="1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3" fillId="2" borderId="0" xfId="0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10" fillId="0" borderId="0" xfId="0" applyFont="1"/>
    <xf numFmtId="0" fontId="11" fillId="2" borderId="0" xfId="0" applyFont="1" applyFill="1"/>
    <xf numFmtId="0" fontId="11" fillId="0" borderId="0" xfId="0" applyFont="1" applyAlignment="1">
      <alignment horizontal="left"/>
    </xf>
    <xf numFmtId="165" fontId="12" fillId="3" borderId="0" xfId="0" applyNumberFormat="1" applyFont="1" applyFill="1" applyAlignment="1">
      <alignment horizontal="right"/>
    </xf>
    <xf numFmtId="165" fontId="1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2" xfId="0" applyFont="1" applyBorder="1"/>
    <xf numFmtId="0" fontId="12" fillId="3" borderId="0" xfId="0" applyFont="1" applyFill="1"/>
    <xf numFmtId="0" fontId="13" fillId="0" borderId="0" xfId="0" applyFont="1"/>
    <xf numFmtId="0" fontId="3" fillId="2" borderId="2" xfId="0" applyFont="1" applyFill="1" applyBorder="1"/>
    <xf numFmtId="0" fontId="6" fillId="3" borderId="0" xfId="0" applyFont="1" applyFill="1"/>
    <xf numFmtId="0" fontId="8" fillId="0" borderId="0" xfId="0" applyFont="1" applyAlignment="1">
      <alignment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">
    <dxf>
      <font>
        <b/>
        <i val="0"/>
      </font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fluturas-salariu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279E0-26D7-4B87-A19D-D78466B52CC6}">
  <sheetPr>
    <pageSetUpPr fitToPage="1"/>
  </sheetPr>
  <dimension ref="B2:H34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2.7109375" style="1" customWidth="1"/>
    <col min="3" max="3" width="22.7109375" style="1" customWidth="1"/>
    <col min="4" max="4" width="8.7109375" style="1" customWidth="1"/>
    <col min="5" max="5" width="22.7109375" style="1" customWidth="1"/>
    <col min="6" max="6" width="16.7109375" style="1" customWidth="1"/>
    <col min="7" max="16384" width="11.42578125" style="1"/>
  </cols>
  <sheetData>
    <row r="2" spans="2:8" ht="23.25" x14ac:dyDescent="0.35">
      <c r="B2" s="36" t="s">
        <v>91</v>
      </c>
    </row>
    <row r="3" spans="2:8" ht="15.75" x14ac:dyDescent="0.25">
      <c r="B3" s="7" t="s">
        <v>92</v>
      </c>
      <c r="C3" s="37" t="s">
        <v>86</v>
      </c>
      <c r="D3" s="38">
        <f>AnSal</f>
        <v>2026</v>
      </c>
      <c r="E3" s="22" t="s">
        <v>93</v>
      </c>
      <c r="H3" s="6">
        <f>MATCH(C3,ListaLuniSal,0)+4</f>
        <v>13</v>
      </c>
    </row>
    <row r="5" spans="2:8" x14ac:dyDescent="0.2">
      <c r="B5" s="7" t="s">
        <v>94</v>
      </c>
      <c r="C5" s="1" t="str">
        <f>Angajator</f>
        <v>Exemplu Servicii SRL</v>
      </c>
      <c r="E5" s="7" t="s">
        <v>98</v>
      </c>
      <c r="F5" s="24">
        <f>INDEX('Calcul lunar'!$D$1:$D$16,RandSal)</f>
        <v>22</v>
      </c>
    </row>
    <row r="6" spans="2:8" x14ac:dyDescent="0.2">
      <c r="B6" s="7" t="s">
        <v>95</v>
      </c>
      <c r="C6" s="1" t="str">
        <f>NumeAng</f>
        <v>Ionescu Andrei</v>
      </c>
      <c r="E6" s="7" t="s">
        <v>99</v>
      </c>
      <c r="F6" s="24">
        <f>N(INDEX('Calcul lunar'!$E$1:$E$16,RandSal))</f>
        <v>22</v>
      </c>
    </row>
    <row r="7" spans="2:8" x14ac:dyDescent="0.2">
      <c r="B7" s="7" t="s">
        <v>96</v>
      </c>
      <c r="C7" s="1" t="str">
        <f>FunctiaAng</f>
        <v>Operator date</v>
      </c>
      <c r="E7" s="7" t="s">
        <v>100</v>
      </c>
      <c r="F7" s="24" t="str">
        <f>N(INDEX('Calcul lunar'!$F$1:$F$16,RandSal))&amp;" / "&amp;N(INDEX('Calcul lunar'!$G$1:$G$16,RandSal))</f>
        <v>0 / 0</v>
      </c>
    </row>
    <row r="8" spans="2:8" x14ac:dyDescent="0.2">
      <c r="B8" s="7" t="s">
        <v>97</v>
      </c>
      <c r="C8" s="1" t="str">
        <f>Marca</f>
        <v>0007</v>
      </c>
      <c r="E8" s="7" t="s">
        <v>101</v>
      </c>
      <c r="F8" s="24">
        <f>NrPers</f>
        <v>1</v>
      </c>
    </row>
    <row r="10" spans="2:8" x14ac:dyDescent="0.2">
      <c r="B10" s="51" t="s">
        <v>102</v>
      </c>
      <c r="C10" s="51"/>
      <c r="D10" s="51"/>
      <c r="E10" s="51"/>
      <c r="F10" s="11"/>
    </row>
    <row r="11" spans="2:8" x14ac:dyDescent="0.2">
      <c r="B11" s="46" t="s">
        <v>55</v>
      </c>
      <c r="C11" s="46"/>
      <c r="D11" s="46"/>
      <c r="E11" s="46"/>
      <c r="F11" s="41">
        <f>N(INDEX('Calcul lunar'!$C$1:$C$16,RandSal))</f>
        <v>5000</v>
      </c>
    </row>
    <row r="12" spans="2:8" x14ac:dyDescent="0.2">
      <c r="B12" s="46" t="s">
        <v>103</v>
      </c>
      <c r="C12" s="46"/>
      <c r="D12" s="46"/>
      <c r="E12" s="46"/>
      <c r="F12" s="41">
        <f>N(INDEX('Calcul lunar'!$M$1:$M$16,RandSal))</f>
        <v>5000</v>
      </c>
    </row>
    <row r="13" spans="2:8" x14ac:dyDescent="0.2">
      <c r="B13" s="46" t="s">
        <v>66</v>
      </c>
      <c r="C13" s="46"/>
      <c r="D13" s="46"/>
      <c r="E13" s="46"/>
      <c r="F13" s="41">
        <f>N(INDEX('Calcul lunar'!$N$1:$N$16,RandSal))</f>
        <v>0</v>
      </c>
    </row>
    <row r="14" spans="2:8" x14ac:dyDescent="0.2">
      <c r="B14" s="46" t="s">
        <v>61</v>
      </c>
      <c r="C14" s="46"/>
      <c r="D14" s="46"/>
      <c r="E14" s="46"/>
      <c r="F14" s="41">
        <f>N(INDEX('Calcul lunar'!$I$1:$I$16,RandSal))</f>
        <v>0</v>
      </c>
    </row>
    <row r="15" spans="2:8" x14ac:dyDescent="0.2">
      <c r="B15" s="46" t="s">
        <v>62</v>
      </c>
      <c r="C15" s="46"/>
      <c r="D15" s="46"/>
      <c r="E15" s="46"/>
      <c r="F15" s="41">
        <f>N(INDEX('Calcul lunar'!$J$1:$J$16,RandSal))</f>
        <v>0</v>
      </c>
    </row>
    <row r="16" spans="2:8" x14ac:dyDescent="0.2">
      <c r="B16" s="50" t="s">
        <v>104</v>
      </c>
      <c r="C16" s="50"/>
      <c r="D16" s="50"/>
      <c r="E16" s="50"/>
      <c r="F16" s="42">
        <f>N(INDEX('Calcul lunar'!$O$1:$O$16,RandSal))</f>
        <v>5000</v>
      </c>
    </row>
    <row r="18" spans="2:6" x14ac:dyDescent="0.2">
      <c r="B18" s="51" t="s">
        <v>105</v>
      </c>
      <c r="C18" s="51"/>
      <c r="D18" s="51"/>
      <c r="E18" s="51"/>
      <c r="F18" s="11"/>
    </row>
    <row r="19" spans="2:6" x14ac:dyDescent="0.2">
      <c r="B19" s="46" t="s">
        <v>106</v>
      </c>
      <c r="C19" s="46"/>
      <c r="D19" s="46"/>
      <c r="E19" s="46"/>
      <c r="F19" s="41">
        <f>N(INDEX('Calcul lunar'!$P$1:$P$16,RandSal))</f>
        <v>0</v>
      </c>
    </row>
    <row r="20" spans="2:6" x14ac:dyDescent="0.2">
      <c r="B20" s="46" t="s">
        <v>107</v>
      </c>
      <c r="C20" s="46"/>
      <c r="D20" s="46"/>
      <c r="E20" s="46"/>
      <c r="F20" s="41">
        <f>N(INDEX('Calcul lunar'!$R$1:$R$16,RandSal))</f>
        <v>1250</v>
      </c>
    </row>
    <row r="21" spans="2:6" x14ac:dyDescent="0.2">
      <c r="B21" s="46" t="s">
        <v>108</v>
      </c>
      <c r="C21" s="46"/>
      <c r="D21" s="46"/>
      <c r="E21" s="46"/>
      <c r="F21" s="41">
        <f>N(INDEX('Calcul lunar'!$S$1:$S$16,RandSal))</f>
        <v>500</v>
      </c>
    </row>
    <row r="22" spans="2:6" x14ac:dyDescent="0.2">
      <c r="B22" s="46" t="s">
        <v>71</v>
      </c>
      <c r="C22" s="46"/>
      <c r="D22" s="46"/>
      <c r="E22" s="46"/>
      <c r="F22" s="41">
        <f>N(INDEX('Calcul lunar'!$T$1:$T$16,RandSal))</f>
        <v>779</v>
      </c>
    </row>
    <row r="23" spans="2:6" x14ac:dyDescent="0.2">
      <c r="B23" s="46" t="s">
        <v>109</v>
      </c>
      <c r="C23" s="46"/>
      <c r="D23" s="46"/>
      <c r="E23" s="46"/>
      <c r="F23" s="41">
        <f>N(INDEX('Calcul lunar'!$U$1:$U$16,RandSal))</f>
        <v>2471</v>
      </c>
    </row>
    <row r="24" spans="2:6" x14ac:dyDescent="0.2">
      <c r="B24" s="47" t="s">
        <v>110</v>
      </c>
      <c r="C24" s="47"/>
      <c r="D24" s="47"/>
      <c r="E24" s="47"/>
      <c r="F24" s="43">
        <f>N(INDEX('Calcul lunar'!$V$1:$V$16,RandSal))</f>
        <v>247</v>
      </c>
    </row>
    <row r="26" spans="2:6" ht="18.75" x14ac:dyDescent="0.3">
      <c r="B26" s="48" t="s">
        <v>111</v>
      </c>
      <c r="C26" s="48"/>
      <c r="D26" s="48"/>
      <c r="E26" s="48"/>
      <c r="F26" s="39">
        <f>N(INDEX('Calcul lunar'!$W$1:$W$16,RandSal))</f>
        <v>3003</v>
      </c>
    </row>
    <row r="28" spans="2:6" x14ac:dyDescent="0.2">
      <c r="B28" s="49" t="s">
        <v>112</v>
      </c>
      <c r="C28" s="49"/>
      <c r="D28" s="49"/>
      <c r="E28" s="49"/>
      <c r="F28" s="40">
        <f>N(INDEX('Calcul lunar'!$K$1:$K$16,RandSal))</f>
        <v>0</v>
      </c>
    </row>
    <row r="29" spans="2:6" x14ac:dyDescent="0.2">
      <c r="B29" s="49" t="s">
        <v>113</v>
      </c>
      <c r="C29" s="49"/>
      <c r="D29" s="49"/>
      <c r="E29" s="49"/>
      <c r="F29" s="40">
        <f>N(INDEX('Calcul lunar'!$X$1:$X$16,RandSal))</f>
        <v>113</v>
      </c>
    </row>
    <row r="30" spans="2:6" x14ac:dyDescent="0.2">
      <c r="B30" s="49" t="s">
        <v>76</v>
      </c>
      <c r="C30" s="49"/>
      <c r="D30" s="49"/>
      <c r="E30" s="49"/>
      <c r="F30" s="40">
        <f>N(INDEX('Calcul lunar'!$Y$1:$Y$16,RandSal))</f>
        <v>5113</v>
      </c>
    </row>
    <row r="32" spans="2:6" x14ac:dyDescent="0.2">
      <c r="B32" s="21" t="str">
        <f>IF(INDEX('Calcul lunar'!$Z$1:$Z$16,RandSal)="","","Față de luna precedentă, salariul net este "&amp;IF(INDEX('Calcul lunar'!$Z$1:$Z$16,RandSal)&gt;=0,"mai mare","mai mic")&amp;" cu "&amp;TEXT(ABS(INDEX('Calcul lunar'!$Z$1:$Z$16,RandSal))*100,"0")&amp;"%.")</f>
        <v>Față de luna precedentă, salariul net este mai mare cu 15%.</v>
      </c>
    </row>
    <row r="34" spans="2:6" ht="39.950000000000003" customHeight="1" x14ac:dyDescent="0.2">
      <c r="B34" s="44" t="s">
        <v>114</v>
      </c>
      <c r="C34" s="45"/>
      <c r="D34" s="45"/>
      <c r="E34" s="45"/>
      <c r="F34" s="45"/>
    </row>
  </sheetData>
  <mergeCells count="19">
    <mergeCell ref="B22:E22"/>
    <mergeCell ref="B10:E10"/>
    <mergeCell ref="B11:E11"/>
    <mergeCell ref="B12:E12"/>
    <mergeCell ref="B13:E13"/>
    <mergeCell ref="B14:E14"/>
    <mergeCell ref="B15:E15"/>
    <mergeCell ref="B16:E16"/>
    <mergeCell ref="B18:E18"/>
    <mergeCell ref="B19:E19"/>
    <mergeCell ref="B20:E20"/>
    <mergeCell ref="B21:E21"/>
    <mergeCell ref="B34:F34"/>
    <mergeCell ref="B23:E23"/>
    <mergeCell ref="B24:E24"/>
    <mergeCell ref="B26:E26"/>
    <mergeCell ref="B28:E28"/>
    <mergeCell ref="B29:E29"/>
    <mergeCell ref="B30:E30"/>
  </mergeCells>
  <dataValidations count="1">
    <dataValidation type="list" allowBlank="1" showInputMessage="1" showErrorMessage="1" sqref="C3" xr:uid="{9D7E2A53-A66E-439E-9ADF-EAA81969AA48}">
      <formula1>ListaLuniSal</formula1>
    </dataValidation>
  </dataValidations>
  <printOptions horizontalCentered="1"/>
  <pageMargins left="0.7" right="0.7" top="0.75" bottom="0.75" header="0.3" footer="0.3"/>
  <pageSetup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0DA9-0B46-4168-9A0F-C6F65B37BABB}">
  <sheetPr>
    <pageSetUpPr fitToPage="1"/>
  </sheetPr>
  <dimension ref="B1:ZZ1000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26" width="10.28515625" style="1" customWidth="1"/>
    <col min="27" max="27" width="0" style="1" hidden="1" customWidth="1"/>
    <col min="28" max="16384" width="11.42578125" style="1"/>
  </cols>
  <sheetData>
    <row r="1" spans="2:27" ht="21" x14ac:dyDescent="0.35">
      <c r="B1" s="2" t="s">
        <v>52</v>
      </c>
    </row>
    <row r="2" spans="2:27" x14ac:dyDescent="0.2">
      <c r="B2" s="7" t="str">
        <f>NumeAng&amp;" – "&amp;FunctiaAng&amp;" – anul "&amp;AnSal</f>
        <v>Ionescu Andrei – Operator date – anul 2026</v>
      </c>
      <c r="H2" s="22" t="s">
        <v>53</v>
      </c>
    </row>
    <row r="4" spans="2:27" ht="44.1" customHeight="1" x14ac:dyDescent="0.2">
      <c r="B4" s="25" t="s">
        <v>54</v>
      </c>
      <c r="C4" s="26" t="s">
        <v>55</v>
      </c>
      <c r="D4" s="26" t="s">
        <v>56</v>
      </c>
      <c r="E4" s="26" t="s">
        <v>57</v>
      </c>
      <c r="F4" s="26" t="s">
        <v>58</v>
      </c>
      <c r="G4" s="26" t="s">
        <v>59</v>
      </c>
      <c r="H4" s="26" t="s">
        <v>60</v>
      </c>
      <c r="I4" s="26" t="s">
        <v>61</v>
      </c>
      <c r="J4" s="26" t="s">
        <v>62</v>
      </c>
      <c r="K4" s="26" t="s">
        <v>63</v>
      </c>
      <c r="L4" s="25" t="s">
        <v>64</v>
      </c>
      <c r="M4" s="25" t="s">
        <v>65</v>
      </c>
      <c r="N4" s="25" t="s">
        <v>66</v>
      </c>
      <c r="O4" s="25" t="s">
        <v>67</v>
      </c>
      <c r="P4" s="25" t="s">
        <v>26</v>
      </c>
      <c r="Q4" s="25" t="s">
        <v>68</v>
      </c>
      <c r="R4" s="25" t="s">
        <v>69</v>
      </c>
      <c r="S4" s="25" t="s">
        <v>70</v>
      </c>
      <c r="T4" s="25" t="s">
        <v>71</v>
      </c>
      <c r="U4" s="25" t="s">
        <v>72</v>
      </c>
      <c r="V4" s="25" t="s">
        <v>73</v>
      </c>
      <c r="W4" s="25" t="s">
        <v>74</v>
      </c>
      <c r="X4" s="25" t="s">
        <v>75</v>
      </c>
      <c r="Y4" s="25" t="s">
        <v>76</v>
      </c>
      <c r="Z4" s="25" t="s">
        <v>77</v>
      </c>
      <c r="AA4" s="23" t="s">
        <v>34</v>
      </c>
    </row>
    <row r="5" spans="2:27" x14ac:dyDescent="0.2">
      <c r="B5" s="27" t="s">
        <v>78</v>
      </c>
      <c r="C5" s="28">
        <v>5000</v>
      </c>
      <c r="D5" s="29">
        <f t="shared" ref="D5:D16" si="0">NETWORKDAYS(AA5,EOMONTH(AA5,0),SarbSal)</f>
        <v>18</v>
      </c>
      <c r="E5" s="30">
        <v>18</v>
      </c>
      <c r="F5" s="30"/>
      <c r="G5" s="30"/>
      <c r="H5" s="30"/>
      <c r="I5" s="28"/>
      <c r="J5" s="28"/>
      <c r="K5" s="28"/>
      <c r="L5" s="31">
        <f t="shared" ref="L5:L16" si="1">INDEX(PerSM,MATCH(AA5,PerData,1))</f>
        <v>4050</v>
      </c>
      <c r="M5" s="31">
        <f t="shared" ref="M5:M16" si="2">IF(C5="","",ROUND(C5/D5*(N(E5)+N(F5)),0))</f>
        <v>5000</v>
      </c>
      <c r="N5" s="31">
        <f t="shared" ref="N5:N16" si="3">IF(C5="","",ROUND(C5/(D5*NormaZi)*N(H5)*(1+SporSupl),0))</f>
        <v>0</v>
      </c>
      <c r="O5" s="31">
        <f t="shared" ref="O5:O16" si="4">IF(C5="","",M5+N5+N(I5)+N(J5))</f>
        <v>5000</v>
      </c>
      <c r="P5" s="31">
        <f t="shared" ref="P5:P16" si="5">IF(C5="","",IF(AND(C5=L5,O5&lt;=INDEX(PerPlafon,MATCH(AA5,PerData,1)),FunctieBaza="Da"),ROUND(INDEX(PerNetax,MATCH(AA5,PerData,1))*MIN(1,(N(E5)+N(F5))/D5),0),0))</f>
        <v>0</v>
      </c>
      <c r="Q5" s="31">
        <f t="shared" ref="Q5:Q16" si="6">IF(C5="","",O5-P5)</f>
        <v>5000</v>
      </c>
      <c r="R5" s="31">
        <f t="shared" ref="R5:R16" si="7">IF(C5="","",ROUND(Q5*CotaCAS,0))</f>
        <v>1250</v>
      </c>
      <c r="S5" s="31">
        <f t="shared" ref="S5:S16" si="8">IF(C5="","",ROUND((Q5+N(K5))*CotaCASS,0))</f>
        <v>500</v>
      </c>
      <c r="T5" s="31">
        <f t="shared" ref="T5:T16" si="9">IF(C5="","",IF(OR(FunctieBaza&lt;&gt;"Da",O5&gt;L5+2000),0,ROUND(L5*MAX(0,CHOOSE(MIN(NrPers,4)+1,0.2,0.25,0.3,0.35,0.45)-0.005*MAX(0,ROUNDUP((O5-L5)/50,0))),0)+IF(EsteTanar="Da",ROUND(0.15*L5,0),0)+100*NrCopii))</f>
        <v>628</v>
      </c>
      <c r="U5" s="31">
        <f t="shared" ref="U5:U16" si="10">IF(C5="","",MAX(0,Q5+N(K5)-R5-S5-T5))</f>
        <v>2622</v>
      </c>
      <c r="V5" s="31">
        <f t="shared" ref="V5:V16" si="11">IF(C5="","",ROUND(U5*CotaImp,0))</f>
        <v>262</v>
      </c>
      <c r="W5" s="32">
        <f t="shared" ref="W5:W16" si="12">IF(C5="","",O5-R5-S5-V5)</f>
        <v>2988</v>
      </c>
      <c r="X5" s="31">
        <f t="shared" ref="X5:X16" si="13">IF(C5="","",ROUND(Q5*CotaCAM,0))</f>
        <v>113</v>
      </c>
      <c r="Y5" s="31">
        <f t="shared" ref="Y5:Y16" si="14">IF(C5="","",O5+X5+N(K5))</f>
        <v>5113</v>
      </c>
      <c r="Z5" s="33"/>
      <c r="AA5" s="12">
        <f>DATE(AnSal,1,1)</f>
        <v>46023</v>
      </c>
    </row>
    <row r="6" spans="2:27" x14ac:dyDescent="0.2">
      <c r="B6" s="27" t="s">
        <v>79</v>
      </c>
      <c r="C6" s="28">
        <v>5000</v>
      </c>
      <c r="D6" s="29">
        <f t="shared" si="0"/>
        <v>20</v>
      </c>
      <c r="E6" s="30">
        <v>20</v>
      </c>
      <c r="F6" s="30"/>
      <c r="G6" s="30"/>
      <c r="H6" s="30"/>
      <c r="I6" s="28"/>
      <c r="J6" s="28"/>
      <c r="K6" s="28"/>
      <c r="L6" s="31">
        <f t="shared" si="1"/>
        <v>4050</v>
      </c>
      <c r="M6" s="31">
        <f t="shared" si="2"/>
        <v>5000</v>
      </c>
      <c r="N6" s="31">
        <f t="shared" si="3"/>
        <v>0</v>
      </c>
      <c r="O6" s="31">
        <f t="shared" si="4"/>
        <v>5000</v>
      </c>
      <c r="P6" s="31">
        <f t="shared" si="5"/>
        <v>0</v>
      </c>
      <c r="Q6" s="31">
        <f t="shared" si="6"/>
        <v>5000</v>
      </c>
      <c r="R6" s="31">
        <f t="shared" si="7"/>
        <v>1250</v>
      </c>
      <c r="S6" s="31">
        <f t="shared" si="8"/>
        <v>500</v>
      </c>
      <c r="T6" s="31">
        <f t="shared" si="9"/>
        <v>628</v>
      </c>
      <c r="U6" s="31">
        <f t="shared" si="10"/>
        <v>2622</v>
      </c>
      <c r="V6" s="31">
        <f t="shared" si="11"/>
        <v>262</v>
      </c>
      <c r="W6" s="32">
        <f t="shared" si="12"/>
        <v>2988</v>
      </c>
      <c r="X6" s="31">
        <f t="shared" si="13"/>
        <v>113</v>
      </c>
      <c r="Y6" s="31">
        <f t="shared" si="14"/>
        <v>5113</v>
      </c>
      <c r="Z6" s="33">
        <f t="shared" ref="Z6:Z16" si="15">IF(OR(W6="",W5="",W5=0),"",W6/W5-1)</f>
        <v>0</v>
      </c>
      <c r="AA6" s="12">
        <f>DATE(AnSal,2,1)</f>
        <v>46054</v>
      </c>
    </row>
    <row r="7" spans="2:27" x14ac:dyDescent="0.2">
      <c r="B7" s="27" t="s">
        <v>80</v>
      </c>
      <c r="C7" s="28">
        <v>5000</v>
      </c>
      <c r="D7" s="29">
        <f t="shared" si="0"/>
        <v>22</v>
      </c>
      <c r="E7" s="30">
        <v>20</v>
      </c>
      <c r="F7" s="30">
        <v>2</v>
      </c>
      <c r="G7" s="30"/>
      <c r="H7" s="30">
        <v>6</v>
      </c>
      <c r="I7" s="28"/>
      <c r="J7" s="28"/>
      <c r="K7" s="28"/>
      <c r="L7" s="31">
        <f t="shared" si="1"/>
        <v>4050</v>
      </c>
      <c r="M7" s="31">
        <f t="shared" si="2"/>
        <v>5000</v>
      </c>
      <c r="N7" s="31">
        <f t="shared" si="3"/>
        <v>298</v>
      </c>
      <c r="O7" s="31">
        <f t="shared" si="4"/>
        <v>5298</v>
      </c>
      <c r="P7" s="31">
        <f t="shared" si="5"/>
        <v>0</v>
      </c>
      <c r="Q7" s="31">
        <f t="shared" si="6"/>
        <v>5298</v>
      </c>
      <c r="R7" s="31">
        <f t="shared" si="7"/>
        <v>1325</v>
      </c>
      <c r="S7" s="31">
        <f t="shared" si="8"/>
        <v>530</v>
      </c>
      <c r="T7" s="31">
        <f t="shared" si="9"/>
        <v>506</v>
      </c>
      <c r="U7" s="31">
        <f t="shared" si="10"/>
        <v>2937</v>
      </c>
      <c r="V7" s="31">
        <f t="shared" si="11"/>
        <v>294</v>
      </c>
      <c r="W7" s="32">
        <f t="shared" si="12"/>
        <v>3149</v>
      </c>
      <c r="X7" s="31">
        <f t="shared" si="13"/>
        <v>119</v>
      </c>
      <c r="Y7" s="31">
        <f t="shared" si="14"/>
        <v>5417</v>
      </c>
      <c r="Z7" s="33">
        <f t="shared" si="15"/>
        <v>5.3882195448460513E-2</v>
      </c>
      <c r="AA7" s="12">
        <f>DATE(AnSal,3,1)</f>
        <v>46082</v>
      </c>
    </row>
    <row r="8" spans="2:27" x14ac:dyDescent="0.2">
      <c r="B8" s="27" t="s">
        <v>81</v>
      </c>
      <c r="C8" s="28">
        <v>5000</v>
      </c>
      <c r="D8" s="29">
        <f t="shared" si="0"/>
        <v>20</v>
      </c>
      <c r="E8" s="30">
        <v>20</v>
      </c>
      <c r="F8" s="30"/>
      <c r="G8" s="30"/>
      <c r="H8" s="30"/>
      <c r="I8" s="28"/>
      <c r="J8" s="28"/>
      <c r="K8" s="28"/>
      <c r="L8" s="31">
        <f t="shared" si="1"/>
        <v>4050</v>
      </c>
      <c r="M8" s="31">
        <f t="shared" si="2"/>
        <v>5000</v>
      </c>
      <c r="N8" s="31">
        <f t="shared" si="3"/>
        <v>0</v>
      </c>
      <c r="O8" s="31">
        <f t="shared" si="4"/>
        <v>5000</v>
      </c>
      <c r="P8" s="31">
        <f t="shared" si="5"/>
        <v>0</v>
      </c>
      <c r="Q8" s="31">
        <f t="shared" si="6"/>
        <v>5000</v>
      </c>
      <c r="R8" s="31">
        <f t="shared" si="7"/>
        <v>1250</v>
      </c>
      <c r="S8" s="31">
        <f t="shared" si="8"/>
        <v>500</v>
      </c>
      <c r="T8" s="31">
        <f t="shared" si="9"/>
        <v>628</v>
      </c>
      <c r="U8" s="31">
        <f t="shared" si="10"/>
        <v>2622</v>
      </c>
      <c r="V8" s="31">
        <f t="shared" si="11"/>
        <v>262</v>
      </c>
      <c r="W8" s="32">
        <f t="shared" si="12"/>
        <v>2988</v>
      </c>
      <c r="X8" s="31">
        <f t="shared" si="13"/>
        <v>113</v>
      </c>
      <c r="Y8" s="31">
        <f t="shared" si="14"/>
        <v>5113</v>
      </c>
      <c r="Z8" s="33">
        <f t="shared" si="15"/>
        <v>-5.1127342013337573E-2</v>
      </c>
      <c r="AA8" s="12">
        <f>DATE(AnSal,4,1)</f>
        <v>46113</v>
      </c>
    </row>
    <row r="9" spans="2:27" x14ac:dyDescent="0.2">
      <c r="B9" s="27" t="s">
        <v>82</v>
      </c>
      <c r="C9" s="28">
        <v>5000</v>
      </c>
      <c r="D9" s="29">
        <f t="shared" si="0"/>
        <v>20</v>
      </c>
      <c r="E9" s="30">
        <v>15</v>
      </c>
      <c r="F9" s="30">
        <v>5</v>
      </c>
      <c r="G9" s="30"/>
      <c r="H9" s="30"/>
      <c r="I9" s="28"/>
      <c r="J9" s="28"/>
      <c r="K9" s="28"/>
      <c r="L9" s="31">
        <f t="shared" si="1"/>
        <v>4050</v>
      </c>
      <c r="M9" s="31">
        <f t="shared" si="2"/>
        <v>5000</v>
      </c>
      <c r="N9" s="31">
        <f t="shared" si="3"/>
        <v>0</v>
      </c>
      <c r="O9" s="31">
        <f t="shared" si="4"/>
        <v>5000</v>
      </c>
      <c r="P9" s="31">
        <f t="shared" si="5"/>
        <v>0</v>
      </c>
      <c r="Q9" s="31">
        <f t="shared" si="6"/>
        <v>5000</v>
      </c>
      <c r="R9" s="31">
        <f t="shared" si="7"/>
        <v>1250</v>
      </c>
      <c r="S9" s="31">
        <f t="shared" si="8"/>
        <v>500</v>
      </c>
      <c r="T9" s="31">
        <f t="shared" si="9"/>
        <v>628</v>
      </c>
      <c r="U9" s="31">
        <f t="shared" si="10"/>
        <v>2622</v>
      </c>
      <c r="V9" s="31">
        <f t="shared" si="11"/>
        <v>262</v>
      </c>
      <c r="W9" s="32">
        <f t="shared" si="12"/>
        <v>2988</v>
      </c>
      <c r="X9" s="31">
        <f t="shared" si="13"/>
        <v>113</v>
      </c>
      <c r="Y9" s="31">
        <f t="shared" si="14"/>
        <v>5113</v>
      </c>
      <c r="Z9" s="33">
        <f t="shared" si="15"/>
        <v>0</v>
      </c>
      <c r="AA9" s="12">
        <f>DATE(AnSal,5,1)</f>
        <v>46143</v>
      </c>
    </row>
    <row r="10" spans="2:27" x14ac:dyDescent="0.2">
      <c r="B10" s="27" t="s">
        <v>83</v>
      </c>
      <c r="C10" s="28">
        <v>5000</v>
      </c>
      <c r="D10" s="29">
        <f t="shared" si="0"/>
        <v>21</v>
      </c>
      <c r="E10" s="30">
        <v>21</v>
      </c>
      <c r="F10" s="30"/>
      <c r="G10" s="30"/>
      <c r="H10" s="30"/>
      <c r="I10" s="28"/>
      <c r="J10" s="28"/>
      <c r="K10" s="28"/>
      <c r="L10" s="31">
        <f t="shared" si="1"/>
        <v>4050</v>
      </c>
      <c r="M10" s="31">
        <f t="shared" si="2"/>
        <v>5000</v>
      </c>
      <c r="N10" s="31">
        <f t="shared" si="3"/>
        <v>0</v>
      </c>
      <c r="O10" s="31">
        <f t="shared" si="4"/>
        <v>5000</v>
      </c>
      <c r="P10" s="31">
        <f t="shared" si="5"/>
        <v>0</v>
      </c>
      <c r="Q10" s="31">
        <f t="shared" si="6"/>
        <v>5000</v>
      </c>
      <c r="R10" s="31">
        <f t="shared" si="7"/>
        <v>1250</v>
      </c>
      <c r="S10" s="31">
        <f t="shared" si="8"/>
        <v>500</v>
      </c>
      <c r="T10" s="31">
        <f t="shared" si="9"/>
        <v>628</v>
      </c>
      <c r="U10" s="31">
        <f t="shared" si="10"/>
        <v>2622</v>
      </c>
      <c r="V10" s="31">
        <f t="shared" si="11"/>
        <v>262</v>
      </c>
      <c r="W10" s="32">
        <f t="shared" si="12"/>
        <v>2988</v>
      </c>
      <c r="X10" s="31">
        <f t="shared" si="13"/>
        <v>113</v>
      </c>
      <c r="Y10" s="31">
        <f t="shared" si="14"/>
        <v>5113</v>
      </c>
      <c r="Z10" s="33">
        <f t="shared" si="15"/>
        <v>0</v>
      </c>
      <c r="AA10" s="12">
        <f>DATE(AnSal,6,1)</f>
        <v>46174</v>
      </c>
    </row>
    <row r="11" spans="2:27" x14ac:dyDescent="0.2">
      <c r="B11" s="27" t="s">
        <v>84</v>
      </c>
      <c r="C11" s="28">
        <v>5000</v>
      </c>
      <c r="D11" s="29">
        <f t="shared" si="0"/>
        <v>23</v>
      </c>
      <c r="E11" s="30">
        <v>23</v>
      </c>
      <c r="F11" s="30"/>
      <c r="G11" s="30"/>
      <c r="H11" s="30">
        <v>4</v>
      </c>
      <c r="I11" s="28">
        <v>500</v>
      </c>
      <c r="J11" s="28"/>
      <c r="K11" s="28"/>
      <c r="L11" s="31">
        <f t="shared" si="1"/>
        <v>4325</v>
      </c>
      <c r="M11" s="31">
        <f t="shared" si="2"/>
        <v>5000</v>
      </c>
      <c r="N11" s="31">
        <f t="shared" si="3"/>
        <v>190</v>
      </c>
      <c r="O11" s="31">
        <f t="shared" si="4"/>
        <v>5690</v>
      </c>
      <c r="P11" s="31">
        <f t="shared" si="5"/>
        <v>0</v>
      </c>
      <c r="Q11" s="31">
        <f t="shared" si="6"/>
        <v>5690</v>
      </c>
      <c r="R11" s="31">
        <f t="shared" si="7"/>
        <v>1423</v>
      </c>
      <c r="S11" s="31">
        <f t="shared" si="8"/>
        <v>569</v>
      </c>
      <c r="T11" s="31">
        <f t="shared" si="9"/>
        <v>476</v>
      </c>
      <c r="U11" s="31">
        <f t="shared" si="10"/>
        <v>3222</v>
      </c>
      <c r="V11" s="31">
        <f t="shared" si="11"/>
        <v>322</v>
      </c>
      <c r="W11" s="32">
        <f t="shared" si="12"/>
        <v>3376</v>
      </c>
      <c r="X11" s="31">
        <f t="shared" si="13"/>
        <v>128</v>
      </c>
      <c r="Y11" s="31">
        <f t="shared" si="14"/>
        <v>5818</v>
      </c>
      <c r="Z11" s="33">
        <f t="shared" si="15"/>
        <v>0.1298527443105757</v>
      </c>
      <c r="AA11" s="12">
        <f>DATE(AnSal,7,1)</f>
        <v>46204</v>
      </c>
    </row>
    <row r="12" spans="2:27" x14ac:dyDescent="0.2">
      <c r="B12" s="27" t="s">
        <v>85</v>
      </c>
      <c r="C12" s="28">
        <v>5000</v>
      </c>
      <c r="D12" s="29">
        <f t="shared" si="0"/>
        <v>21</v>
      </c>
      <c r="E12" s="30">
        <v>11</v>
      </c>
      <c r="F12" s="30">
        <v>7</v>
      </c>
      <c r="G12" s="30">
        <v>3</v>
      </c>
      <c r="H12" s="30"/>
      <c r="I12" s="28"/>
      <c r="J12" s="28"/>
      <c r="K12" s="28"/>
      <c r="L12" s="31">
        <f t="shared" si="1"/>
        <v>4325</v>
      </c>
      <c r="M12" s="31">
        <f t="shared" si="2"/>
        <v>4286</v>
      </c>
      <c r="N12" s="31">
        <f t="shared" si="3"/>
        <v>0</v>
      </c>
      <c r="O12" s="31">
        <f t="shared" si="4"/>
        <v>4286</v>
      </c>
      <c r="P12" s="31">
        <f t="shared" si="5"/>
        <v>0</v>
      </c>
      <c r="Q12" s="31">
        <f t="shared" si="6"/>
        <v>4286</v>
      </c>
      <c r="R12" s="31">
        <f t="shared" si="7"/>
        <v>1072</v>
      </c>
      <c r="S12" s="31">
        <f t="shared" si="8"/>
        <v>429</v>
      </c>
      <c r="T12" s="31">
        <f t="shared" si="9"/>
        <v>1081</v>
      </c>
      <c r="U12" s="31">
        <f t="shared" si="10"/>
        <v>1704</v>
      </c>
      <c r="V12" s="31">
        <f t="shared" si="11"/>
        <v>170</v>
      </c>
      <c r="W12" s="32">
        <f t="shared" si="12"/>
        <v>2615</v>
      </c>
      <c r="X12" s="31">
        <f t="shared" si="13"/>
        <v>96</v>
      </c>
      <c r="Y12" s="31">
        <f t="shared" si="14"/>
        <v>4382</v>
      </c>
      <c r="Z12" s="33">
        <f t="shared" si="15"/>
        <v>-0.22541469194312791</v>
      </c>
      <c r="AA12" s="12">
        <f>DATE(AnSal,8,1)</f>
        <v>46235</v>
      </c>
    </row>
    <row r="13" spans="2:27" x14ac:dyDescent="0.2">
      <c r="B13" s="27" t="s">
        <v>86</v>
      </c>
      <c r="C13" s="28">
        <v>5000</v>
      </c>
      <c r="D13" s="29">
        <f t="shared" si="0"/>
        <v>22</v>
      </c>
      <c r="E13" s="30">
        <v>22</v>
      </c>
      <c r="F13" s="30"/>
      <c r="G13" s="30"/>
      <c r="H13" s="30"/>
      <c r="I13" s="28"/>
      <c r="J13" s="28"/>
      <c r="K13" s="28"/>
      <c r="L13" s="31">
        <f t="shared" si="1"/>
        <v>4325</v>
      </c>
      <c r="M13" s="31">
        <f t="shared" si="2"/>
        <v>5000</v>
      </c>
      <c r="N13" s="31">
        <f t="shared" si="3"/>
        <v>0</v>
      </c>
      <c r="O13" s="31">
        <f t="shared" si="4"/>
        <v>5000</v>
      </c>
      <c r="P13" s="31">
        <f t="shared" si="5"/>
        <v>0</v>
      </c>
      <c r="Q13" s="31">
        <f t="shared" si="6"/>
        <v>5000</v>
      </c>
      <c r="R13" s="31">
        <f t="shared" si="7"/>
        <v>1250</v>
      </c>
      <c r="S13" s="31">
        <f t="shared" si="8"/>
        <v>500</v>
      </c>
      <c r="T13" s="31">
        <f t="shared" si="9"/>
        <v>779</v>
      </c>
      <c r="U13" s="31">
        <f t="shared" si="10"/>
        <v>2471</v>
      </c>
      <c r="V13" s="31">
        <f t="shared" si="11"/>
        <v>247</v>
      </c>
      <c r="W13" s="32">
        <f t="shared" si="12"/>
        <v>3003</v>
      </c>
      <c r="X13" s="31">
        <f t="shared" si="13"/>
        <v>113</v>
      </c>
      <c r="Y13" s="31">
        <f t="shared" si="14"/>
        <v>5113</v>
      </c>
      <c r="Z13" s="33">
        <f t="shared" si="15"/>
        <v>0.14837476099426383</v>
      </c>
      <c r="AA13" s="12">
        <f>DATE(AnSal,9,1)</f>
        <v>46266</v>
      </c>
    </row>
    <row r="14" spans="2:27" x14ac:dyDescent="0.2">
      <c r="B14" s="27" t="s">
        <v>87</v>
      </c>
      <c r="C14" s="28"/>
      <c r="D14" s="29">
        <f t="shared" si="0"/>
        <v>22</v>
      </c>
      <c r="E14" s="30"/>
      <c r="F14" s="30"/>
      <c r="G14" s="30"/>
      <c r="H14" s="30"/>
      <c r="I14" s="28"/>
      <c r="J14" s="28"/>
      <c r="K14" s="28"/>
      <c r="L14" s="31">
        <f t="shared" si="1"/>
        <v>4325</v>
      </c>
      <c r="M14" s="31" t="str">
        <f t="shared" si="2"/>
        <v/>
      </c>
      <c r="N14" s="31" t="str">
        <f t="shared" si="3"/>
        <v/>
      </c>
      <c r="O14" s="31" t="str">
        <f t="shared" si="4"/>
        <v/>
      </c>
      <c r="P14" s="31" t="str">
        <f t="shared" si="5"/>
        <v/>
      </c>
      <c r="Q14" s="31" t="str">
        <f t="shared" si="6"/>
        <v/>
      </c>
      <c r="R14" s="31" t="str">
        <f t="shared" si="7"/>
        <v/>
      </c>
      <c r="S14" s="31" t="str">
        <f t="shared" si="8"/>
        <v/>
      </c>
      <c r="T14" s="31" t="str">
        <f t="shared" si="9"/>
        <v/>
      </c>
      <c r="U14" s="31" t="str">
        <f t="shared" si="10"/>
        <v/>
      </c>
      <c r="V14" s="31" t="str">
        <f t="shared" si="11"/>
        <v/>
      </c>
      <c r="W14" s="32" t="str">
        <f t="shared" si="12"/>
        <v/>
      </c>
      <c r="X14" s="31" t="str">
        <f t="shared" si="13"/>
        <v/>
      </c>
      <c r="Y14" s="31" t="str">
        <f t="shared" si="14"/>
        <v/>
      </c>
      <c r="Z14" s="33" t="str">
        <f t="shared" si="15"/>
        <v/>
      </c>
      <c r="AA14" s="12">
        <f>DATE(AnSal,10,1)</f>
        <v>46296</v>
      </c>
    </row>
    <row r="15" spans="2:27" x14ac:dyDescent="0.2">
      <c r="B15" s="27" t="s">
        <v>88</v>
      </c>
      <c r="C15" s="28"/>
      <c r="D15" s="29">
        <f t="shared" si="0"/>
        <v>20</v>
      </c>
      <c r="E15" s="30"/>
      <c r="F15" s="30"/>
      <c r="G15" s="30"/>
      <c r="H15" s="30"/>
      <c r="I15" s="28"/>
      <c r="J15" s="28"/>
      <c r="K15" s="28"/>
      <c r="L15" s="31">
        <f t="shared" si="1"/>
        <v>4325</v>
      </c>
      <c r="M15" s="31" t="str">
        <f t="shared" si="2"/>
        <v/>
      </c>
      <c r="N15" s="31" t="str">
        <f t="shared" si="3"/>
        <v/>
      </c>
      <c r="O15" s="31" t="str">
        <f t="shared" si="4"/>
        <v/>
      </c>
      <c r="P15" s="31" t="str">
        <f t="shared" si="5"/>
        <v/>
      </c>
      <c r="Q15" s="31" t="str">
        <f t="shared" si="6"/>
        <v/>
      </c>
      <c r="R15" s="31" t="str">
        <f t="shared" si="7"/>
        <v/>
      </c>
      <c r="S15" s="31" t="str">
        <f t="shared" si="8"/>
        <v/>
      </c>
      <c r="T15" s="31" t="str">
        <f t="shared" si="9"/>
        <v/>
      </c>
      <c r="U15" s="31" t="str">
        <f t="shared" si="10"/>
        <v/>
      </c>
      <c r="V15" s="31" t="str">
        <f t="shared" si="11"/>
        <v/>
      </c>
      <c r="W15" s="32" t="str">
        <f t="shared" si="12"/>
        <v/>
      </c>
      <c r="X15" s="31" t="str">
        <f t="shared" si="13"/>
        <v/>
      </c>
      <c r="Y15" s="31" t="str">
        <f t="shared" si="14"/>
        <v/>
      </c>
      <c r="Z15" s="33" t="str">
        <f t="shared" si="15"/>
        <v/>
      </c>
      <c r="AA15" s="12">
        <f>DATE(AnSal,11,1)</f>
        <v>46327</v>
      </c>
    </row>
    <row r="16" spans="2:27" x14ac:dyDescent="0.2">
      <c r="B16" s="27" t="s">
        <v>89</v>
      </c>
      <c r="C16" s="28"/>
      <c r="D16" s="29">
        <f t="shared" si="0"/>
        <v>21</v>
      </c>
      <c r="E16" s="30"/>
      <c r="F16" s="30"/>
      <c r="G16" s="30"/>
      <c r="H16" s="30"/>
      <c r="I16" s="28"/>
      <c r="J16" s="28"/>
      <c r="K16" s="28"/>
      <c r="L16" s="31">
        <f t="shared" si="1"/>
        <v>4325</v>
      </c>
      <c r="M16" s="31" t="str">
        <f t="shared" si="2"/>
        <v/>
      </c>
      <c r="N16" s="31" t="str">
        <f t="shared" si="3"/>
        <v/>
      </c>
      <c r="O16" s="31" t="str">
        <f t="shared" si="4"/>
        <v/>
      </c>
      <c r="P16" s="31" t="str">
        <f t="shared" si="5"/>
        <v/>
      </c>
      <c r="Q16" s="31" t="str">
        <f t="shared" si="6"/>
        <v/>
      </c>
      <c r="R16" s="31" t="str">
        <f t="shared" si="7"/>
        <v/>
      </c>
      <c r="S16" s="31" t="str">
        <f t="shared" si="8"/>
        <v/>
      </c>
      <c r="T16" s="31" t="str">
        <f t="shared" si="9"/>
        <v/>
      </c>
      <c r="U16" s="31" t="str">
        <f t="shared" si="10"/>
        <v/>
      </c>
      <c r="V16" s="31" t="str">
        <f t="shared" si="11"/>
        <v/>
      </c>
      <c r="W16" s="32" t="str">
        <f t="shared" si="12"/>
        <v/>
      </c>
      <c r="X16" s="31" t="str">
        <f t="shared" si="13"/>
        <v/>
      </c>
      <c r="Y16" s="31" t="str">
        <f t="shared" si="14"/>
        <v/>
      </c>
      <c r="Z16" s="33" t="str">
        <f t="shared" si="15"/>
        <v/>
      </c>
      <c r="AA16" s="12">
        <f>DATE(AnSal,12,1)</f>
        <v>46357</v>
      </c>
    </row>
    <row r="17" spans="2:26" x14ac:dyDescent="0.2">
      <c r="B17" s="34" t="s">
        <v>90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>
        <f t="shared" ref="M17:Y17" si="16">SUM(M5:M16)</f>
        <v>44286</v>
      </c>
      <c r="N17" s="35">
        <f t="shared" si="16"/>
        <v>488</v>
      </c>
      <c r="O17" s="35">
        <f t="shared" si="16"/>
        <v>45274</v>
      </c>
      <c r="P17" s="35">
        <f t="shared" si="16"/>
        <v>0</v>
      </c>
      <c r="Q17" s="35">
        <f t="shared" si="16"/>
        <v>45274</v>
      </c>
      <c r="R17" s="35">
        <f t="shared" si="16"/>
        <v>11320</v>
      </c>
      <c r="S17" s="35">
        <f t="shared" si="16"/>
        <v>4528</v>
      </c>
      <c r="T17" s="35">
        <f t="shared" si="16"/>
        <v>5982</v>
      </c>
      <c r="U17" s="35">
        <f t="shared" si="16"/>
        <v>23444</v>
      </c>
      <c r="V17" s="35">
        <f t="shared" si="16"/>
        <v>2343</v>
      </c>
      <c r="W17" s="35">
        <f t="shared" si="16"/>
        <v>27083</v>
      </c>
      <c r="X17" s="35">
        <f t="shared" si="16"/>
        <v>1021</v>
      </c>
      <c r="Y17" s="35">
        <f t="shared" si="16"/>
        <v>46295</v>
      </c>
      <c r="Z17" s="34"/>
    </row>
    <row r="1000" spans="702:702" ht="15" x14ac:dyDescent="0.25">
      <c r="ZZ1000"/>
    </row>
  </sheetData>
  <conditionalFormatting sqref="Z5:Z16">
    <cfRule type="expression" dxfId="0" priority="1" stopIfTrue="1">
      <formula>AND(ISNUMBER(Z5),ABS(Z5)&gt;0.05)</formula>
    </cfRule>
  </conditionalFormatting>
  <pageMargins left="0.7" right="0.7" top="0.75" bottom="0.75" header="0.3" footer="0.3"/>
  <pageSetup scale="46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363D7-9CFC-4035-8568-5149EA821E62}">
  <dimension ref="B2:H5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2.7109375" style="1" customWidth="1"/>
    <col min="3" max="5" width="18.7109375" style="1" customWidth="1"/>
    <col min="6" max="6" width="30.7109375" style="1" customWidth="1"/>
    <col min="7" max="16384" width="11.42578125" style="1"/>
  </cols>
  <sheetData>
    <row r="2" spans="2:8" ht="21" x14ac:dyDescent="0.35">
      <c r="B2" s="2" t="s">
        <v>0</v>
      </c>
    </row>
    <row r="4" spans="2:8" x14ac:dyDescent="0.2">
      <c r="B4" s="1" t="s">
        <v>1</v>
      </c>
      <c r="C4" s="3" t="s">
        <v>2</v>
      </c>
      <c r="H4" s="6" t="s">
        <v>12</v>
      </c>
    </row>
    <row r="5" spans="2:8" x14ac:dyDescent="0.2">
      <c r="B5" s="1" t="s">
        <v>3</v>
      </c>
      <c r="C5" s="3" t="s">
        <v>4</v>
      </c>
      <c r="H5" s="6" t="s">
        <v>15</v>
      </c>
    </row>
    <row r="6" spans="2:8" x14ac:dyDescent="0.2">
      <c r="B6" s="1" t="s">
        <v>5</v>
      </c>
      <c r="C6" s="3" t="s">
        <v>6</v>
      </c>
    </row>
    <row r="7" spans="2:8" x14ac:dyDescent="0.2">
      <c r="B7" s="1" t="s">
        <v>7</v>
      </c>
      <c r="C7" s="4" t="s">
        <v>8</v>
      </c>
    </row>
    <row r="8" spans="2:8" x14ac:dyDescent="0.2">
      <c r="B8" s="1" t="s">
        <v>9</v>
      </c>
      <c r="C8" s="3">
        <v>2026</v>
      </c>
    </row>
    <row r="9" spans="2:8" x14ac:dyDescent="0.2">
      <c r="B9" s="1" t="s">
        <v>10</v>
      </c>
      <c r="C9" s="3">
        <v>8</v>
      </c>
    </row>
    <row r="10" spans="2:8" x14ac:dyDescent="0.2">
      <c r="B10" s="1" t="s">
        <v>11</v>
      </c>
      <c r="C10" s="3" t="s">
        <v>12</v>
      </c>
    </row>
    <row r="11" spans="2:8" x14ac:dyDescent="0.2">
      <c r="B11" s="1" t="s">
        <v>13</v>
      </c>
      <c r="C11" s="3">
        <v>1</v>
      </c>
    </row>
    <row r="12" spans="2:8" x14ac:dyDescent="0.2">
      <c r="B12" s="1" t="s">
        <v>14</v>
      </c>
      <c r="C12" s="3" t="s">
        <v>15</v>
      </c>
    </row>
    <row r="13" spans="2:8" x14ac:dyDescent="0.2">
      <c r="B13" s="1" t="s">
        <v>16</v>
      </c>
      <c r="C13" s="3">
        <v>0</v>
      </c>
    </row>
    <row r="14" spans="2:8" x14ac:dyDescent="0.2">
      <c r="B14" s="1" t="s">
        <v>17</v>
      </c>
      <c r="C14" s="5">
        <v>0.75</v>
      </c>
    </row>
    <row r="16" spans="2:8" x14ac:dyDescent="0.2">
      <c r="B16" s="8" t="s">
        <v>18</v>
      </c>
    </row>
    <row r="17" spans="2:6" x14ac:dyDescent="0.2">
      <c r="B17" s="1" t="s">
        <v>19</v>
      </c>
      <c r="C17" s="9">
        <v>0.25</v>
      </c>
    </row>
    <row r="18" spans="2:6" x14ac:dyDescent="0.2">
      <c r="B18" s="1" t="s">
        <v>20</v>
      </c>
      <c r="C18" s="9">
        <v>0.1</v>
      </c>
    </row>
    <row r="19" spans="2:6" x14ac:dyDescent="0.2">
      <c r="B19" s="1" t="s">
        <v>21</v>
      </c>
      <c r="C19" s="9">
        <v>0.1</v>
      </c>
    </row>
    <row r="20" spans="2:6" x14ac:dyDescent="0.2">
      <c r="B20" s="1" t="s">
        <v>22</v>
      </c>
      <c r="C20" s="10">
        <v>2.2499999999999999E-2</v>
      </c>
    </row>
    <row r="22" spans="2:6" x14ac:dyDescent="0.2">
      <c r="B22" s="8" t="s">
        <v>23</v>
      </c>
    </row>
    <row r="23" spans="2:6" x14ac:dyDescent="0.2">
      <c r="B23" s="13" t="s">
        <v>24</v>
      </c>
      <c r="C23" s="13" t="s">
        <v>25</v>
      </c>
      <c r="D23" s="13" t="s">
        <v>26</v>
      </c>
      <c r="E23" s="13" t="s">
        <v>27</v>
      </c>
    </row>
    <row r="24" spans="2:6" x14ac:dyDescent="0.2">
      <c r="B24" s="14">
        <f>DATE(2025,1,1)</f>
        <v>45658</v>
      </c>
      <c r="C24" s="15">
        <v>4050</v>
      </c>
      <c r="D24" s="15">
        <v>300</v>
      </c>
      <c r="E24" s="15">
        <v>4300</v>
      </c>
    </row>
    <row r="25" spans="2:6" x14ac:dyDescent="0.2">
      <c r="B25" s="14">
        <f>DATE(2026,1,1)</f>
        <v>46023</v>
      </c>
      <c r="C25" s="15">
        <v>4050</v>
      </c>
      <c r="D25" s="15">
        <v>300</v>
      </c>
      <c r="E25" s="15">
        <v>4300</v>
      </c>
    </row>
    <row r="26" spans="2:6" x14ac:dyDescent="0.2">
      <c r="B26" s="14">
        <f>DATE(2026,7,1)</f>
        <v>46204</v>
      </c>
      <c r="C26" s="15">
        <v>4325</v>
      </c>
      <c r="D26" s="15">
        <v>200</v>
      </c>
      <c r="E26" s="15">
        <v>4600</v>
      </c>
    </row>
    <row r="27" spans="2:6" x14ac:dyDescent="0.2">
      <c r="B27" s="16"/>
      <c r="C27" s="17"/>
      <c r="D27" s="17"/>
      <c r="E27" s="17"/>
    </row>
    <row r="28" spans="2:6" x14ac:dyDescent="0.2">
      <c r="B28" s="16"/>
      <c r="C28" s="17"/>
      <c r="D28" s="17"/>
      <c r="E28" s="17"/>
    </row>
    <row r="29" spans="2:6" x14ac:dyDescent="0.2">
      <c r="B29" s="16"/>
      <c r="C29" s="17"/>
      <c r="D29" s="17"/>
      <c r="E29" s="17"/>
    </row>
    <row r="30" spans="2:6" x14ac:dyDescent="0.2">
      <c r="B30" s="16"/>
      <c r="C30" s="17"/>
      <c r="D30" s="17"/>
      <c r="E30" s="17"/>
    </row>
    <row r="32" spans="2:6" ht="30" customHeight="1" x14ac:dyDescent="0.2">
      <c r="B32" s="52" t="s">
        <v>28</v>
      </c>
      <c r="C32" s="45"/>
      <c r="D32" s="45"/>
      <c r="E32" s="45"/>
      <c r="F32" s="45"/>
    </row>
    <row r="33" spans="2:8" ht="30" customHeight="1" x14ac:dyDescent="0.2">
      <c r="B33" s="52" t="s">
        <v>29</v>
      </c>
      <c r="C33" s="45"/>
      <c r="D33" s="45"/>
      <c r="E33" s="45"/>
      <c r="F33" s="45"/>
    </row>
    <row r="34" spans="2:8" ht="30" customHeight="1" x14ac:dyDescent="0.2">
      <c r="B34" s="52" t="s">
        <v>30</v>
      </c>
      <c r="C34" s="45"/>
      <c r="D34" s="45"/>
      <c r="E34" s="45"/>
      <c r="F34" s="45"/>
    </row>
    <row r="35" spans="2:8" ht="30" customHeight="1" x14ac:dyDescent="0.2">
      <c r="B35" s="52" t="s">
        <v>31</v>
      </c>
      <c r="C35" s="45"/>
      <c r="D35" s="45"/>
      <c r="E35" s="45"/>
      <c r="F35" s="45"/>
    </row>
    <row r="40" spans="2:8" x14ac:dyDescent="0.2">
      <c r="H40" s="6" t="s">
        <v>78</v>
      </c>
    </row>
    <row r="41" spans="2:8" x14ac:dyDescent="0.2">
      <c r="H41" s="6" t="s">
        <v>79</v>
      </c>
    </row>
    <row r="42" spans="2:8" x14ac:dyDescent="0.2">
      <c r="H42" s="6" t="s">
        <v>80</v>
      </c>
    </row>
    <row r="43" spans="2:8" x14ac:dyDescent="0.2">
      <c r="H43" s="6" t="s">
        <v>81</v>
      </c>
    </row>
    <row r="44" spans="2:8" x14ac:dyDescent="0.2">
      <c r="H44" s="6" t="s">
        <v>82</v>
      </c>
    </row>
    <row r="45" spans="2:8" x14ac:dyDescent="0.2">
      <c r="H45" s="6" t="s">
        <v>83</v>
      </c>
    </row>
    <row r="46" spans="2:8" x14ac:dyDescent="0.2">
      <c r="H46" s="6" t="s">
        <v>84</v>
      </c>
    </row>
    <row r="47" spans="2:8" x14ac:dyDescent="0.2">
      <c r="H47" s="6" t="s">
        <v>85</v>
      </c>
    </row>
    <row r="48" spans="2:8" x14ac:dyDescent="0.2">
      <c r="H48" s="6" t="s">
        <v>86</v>
      </c>
    </row>
    <row r="49" spans="2:8" x14ac:dyDescent="0.2">
      <c r="H49" s="6" t="s">
        <v>87</v>
      </c>
    </row>
    <row r="50" spans="2:8" x14ac:dyDescent="0.2">
      <c r="H50" s="6" t="s">
        <v>88</v>
      </c>
    </row>
    <row r="51" spans="2:8" x14ac:dyDescent="0.2">
      <c r="H51" s="6" t="s">
        <v>89</v>
      </c>
    </row>
    <row r="53" spans="2:8" x14ac:dyDescent="0.2">
      <c r="B53" s="53" t="s">
        <v>115</v>
      </c>
    </row>
    <row r="54" spans="2:8" x14ac:dyDescent="0.2">
      <c r="B54" s="54" t="s">
        <v>116</v>
      </c>
    </row>
    <row r="55" spans="2:8" x14ac:dyDescent="0.2">
      <c r="B55" s="55" t="s">
        <v>117</v>
      </c>
    </row>
  </sheetData>
  <mergeCells count="4">
    <mergeCell ref="B32:F32"/>
    <mergeCell ref="B33:F33"/>
    <mergeCell ref="B34:F34"/>
    <mergeCell ref="B35:F35"/>
  </mergeCells>
  <dataValidations count="1">
    <dataValidation type="list" allowBlank="1" showInputMessage="1" showErrorMessage="1" sqref="C10 C12" xr:uid="{4A54151D-08CD-4CE2-B2B1-8B91A4FABAEA}">
      <formula1>DaNuSal</formula1>
    </dataValidation>
  </dataValidations>
  <hyperlinks>
    <hyperlink ref="B55" r:id="rId1" tooltip="Instrucțiuni și alte modele gratuite" xr:uid="{BC582DFF-6F5F-49D1-8321-7A794847695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5C8E6-0D13-4379-879B-DDA83E3B3F20}">
  <dimension ref="B2:G21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4.7109375" style="1" customWidth="1"/>
    <col min="3" max="3" width="12.7109375" style="1" customWidth="1"/>
    <col min="4" max="6" width="11.42578125" style="1"/>
    <col min="7" max="7" width="0" style="1" hidden="1" customWidth="1"/>
    <col min="8" max="16384" width="11.42578125" style="1"/>
  </cols>
  <sheetData>
    <row r="2" spans="2:7" ht="18.75" x14ac:dyDescent="0.3">
      <c r="B2" s="18" t="s">
        <v>32</v>
      </c>
    </row>
    <row r="4" spans="2:7" x14ac:dyDescent="0.2">
      <c r="B4" s="19" t="s">
        <v>33</v>
      </c>
      <c r="C4" s="19" t="s">
        <v>34</v>
      </c>
      <c r="G4" s="12">
        <f>DATE(AnSal,INT((MOD(19*MOD(AnSal,19)+15,30)+MOD(2*MOD(AnSal,4)+4*MOD(AnSal,7)-MOD(19*MOD(AnSal,19)+15,30)+34,7)+114)/31),MOD(MOD(19*MOD(AnSal,19)+15,30)+MOD(2*MOD(AnSal,4)+4*MOD(AnSal,7)-MOD(19*MOD(AnSal,19)+15,30)+34,7)+114,31)+1)+13</f>
        <v>46124</v>
      </c>
    </row>
    <row r="5" spans="2:7" x14ac:dyDescent="0.2">
      <c r="B5" s="20" t="s">
        <v>35</v>
      </c>
      <c r="C5" s="20" t="str">
        <f t="shared" ref="C5:C21" si="0">RIGHT("0"&amp;DAY(G5),2)&amp;"."&amp;RIGHT("0"&amp;MONTH(G5),2)&amp;"."&amp;YEAR(G5)</f>
        <v>01.01.2026</v>
      </c>
      <c r="G5" s="12">
        <f>DATE(AnSal,1,1)</f>
        <v>46023</v>
      </c>
    </row>
    <row r="6" spans="2:7" x14ac:dyDescent="0.2">
      <c r="B6" s="20" t="s">
        <v>36</v>
      </c>
      <c r="C6" s="20" t="str">
        <f t="shared" si="0"/>
        <v>02.01.2026</v>
      </c>
      <c r="G6" s="12">
        <f>DATE(AnSal,1,2)</f>
        <v>46024</v>
      </c>
    </row>
    <row r="7" spans="2:7" x14ac:dyDescent="0.2">
      <c r="B7" s="20" t="s">
        <v>37</v>
      </c>
      <c r="C7" s="20" t="str">
        <f t="shared" si="0"/>
        <v>06.01.2026</v>
      </c>
      <c r="G7" s="12">
        <f>DATE(AnSal,1,6)</f>
        <v>46028</v>
      </c>
    </row>
    <row r="8" spans="2:7" x14ac:dyDescent="0.2">
      <c r="B8" s="20" t="s">
        <v>38</v>
      </c>
      <c r="C8" s="20" t="str">
        <f t="shared" si="0"/>
        <v>07.01.2026</v>
      </c>
      <c r="G8" s="12">
        <f>DATE(AnSal,1,7)</f>
        <v>46029</v>
      </c>
    </row>
    <row r="9" spans="2:7" x14ac:dyDescent="0.2">
      <c r="B9" s="20" t="s">
        <v>39</v>
      </c>
      <c r="C9" s="20" t="str">
        <f t="shared" si="0"/>
        <v>24.01.2026</v>
      </c>
      <c r="G9" s="12">
        <f>DATE(AnSal,1,24)</f>
        <v>46046</v>
      </c>
    </row>
    <row r="10" spans="2:7" x14ac:dyDescent="0.2">
      <c r="B10" s="20" t="s">
        <v>40</v>
      </c>
      <c r="C10" s="20" t="str">
        <f t="shared" si="0"/>
        <v>10.04.2026</v>
      </c>
      <c r="G10" s="12">
        <f>$G$4-2</f>
        <v>46122</v>
      </c>
    </row>
    <row r="11" spans="2:7" x14ac:dyDescent="0.2">
      <c r="B11" s="20" t="s">
        <v>41</v>
      </c>
      <c r="C11" s="20" t="str">
        <f t="shared" si="0"/>
        <v>12.04.2026</v>
      </c>
      <c r="G11" s="12">
        <f>$G$4</f>
        <v>46124</v>
      </c>
    </row>
    <row r="12" spans="2:7" x14ac:dyDescent="0.2">
      <c r="B12" s="20" t="s">
        <v>42</v>
      </c>
      <c r="C12" s="20" t="str">
        <f t="shared" si="0"/>
        <v>13.04.2026</v>
      </c>
      <c r="G12" s="12">
        <f>$G$4+1</f>
        <v>46125</v>
      </c>
    </row>
    <row r="13" spans="2:7" x14ac:dyDescent="0.2">
      <c r="B13" s="20" t="s">
        <v>43</v>
      </c>
      <c r="C13" s="20" t="str">
        <f t="shared" si="0"/>
        <v>01.05.2026</v>
      </c>
      <c r="G13" s="12">
        <f>DATE(AnSal,5,1)</f>
        <v>46143</v>
      </c>
    </row>
    <row r="14" spans="2:7" x14ac:dyDescent="0.2">
      <c r="B14" s="20" t="s">
        <v>44</v>
      </c>
      <c r="C14" s="20" t="str">
        <f t="shared" si="0"/>
        <v>01.06.2026</v>
      </c>
      <c r="G14" s="12">
        <f>DATE(AnSal,6,1)</f>
        <v>46174</v>
      </c>
    </row>
    <row r="15" spans="2:7" x14ac:dyDescent="0.2">
      <c r="B15" s="20" t="s">
        <v>45</v>
      </c>
      <c r="C15" s="20" t="str">
        <f t="shared" si="0"/>
        <v>31.05.2026</v>
      </c>
      <c r="G15" s="12">
        <f>$G$4+49</f>
        <v>46173</v>
      </c>
    </row>
    <row r="16" spans="2:7" x14ac:dyDescent="0.2">
      <c r="B16" s="20" t="s">
        <v>46</v>
      </c>
      <c r="C16" s="20" t="str">
        <f t="shared" si="0"/>
        <v>01.06.2026</v>
      </c>
      <c r="G16" s="12">
        <f>$G$4+50</f>
        <v>46174</v>
      </c>
    </row>
    <row r="17" spans="2:7" x14ac:dyDescent="0.2">
      <c r="B17" s="20" t="s">
        <v>47</v>
      </c>
      <c r="C17" s="20" t="str">
        <f t="shared" si="0"/>
        <v>15.08.2026</v>
      </c>
      <c r="G17" s="12">
        <f>DATE(AnSal,8,15)</f>
        <v>46249</v>
      </c>
    </row>
    <row r="18" spans="2:7" x14ac:dyDescent="0.2">
      <c r="B18" s="20" t="s">
        <v>48</v>
      </c>
      <c r="C18" s="20" t="str">
        <f t="shared" si="0"/>
        <v>30.11.2026</v>
      </c>
      <c r="G18" s="12">
        <f>DATE(AnSal,11,30)</f>
        <v>46356</v>
      </c>
    </row>
    <row r="19" spans="2:7" x14ac:dyDescent="0.2">
      <c r="B19" s="20" t="s">
        <v>49</v>
      </c>
      <c r="C19" s="20" t="str">
        <f t="shared" si="0"/>
        <v>01.12.2026</v>
      </c>
      <c r="G19" s="12">
        <f>DATE(AnSal,12,1)</f>
        <v>46357</v>
      </c>
    </row>
    <row r="20" spans="2:7" x14ac:dyDescent="0.2">
      <c r="B20" s="20" t="s">
        <v>50</v>
      </c>
      <c r="C20" s="20" t="str">
        <f t="shared" si="0"/>
        <v>25.12.2026</v>
      </c>
      <c r="G20" s="12">
        <f>DATE(AnSal,12,25)</f>
        <v>46381</v>
      </c>
    </row>
    <row r="21" spans="2:7" x14ac:dyDescent="0.2">
      <c r="B21" s="20" t="s">
        <v>51</v>
      </c>
      <c r="C21" s="20" t="str">
        <f t="shared" si="0"/>
        <v>26.12.2026</v>
      </c>
      <c r="G21" s="12">
        <f>DATE(AnSal,12,26)</f>
        <v>46382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24</vt:i4>
      </vt:variant>
    </vt:vector>
  </HeadingPairs>
  <TitlesOfParts>
    <vt:vector size="28" baseType="lpstr">
      <vt:lpstr>Fluturaș</vt:lpstr>
      <vt:lpstr>Calcul lunar</vt:lpstr>
      <vt:lpstr>Setări</vt:lpstr>
      <vt:lpstr>Zile libere</vt:lpstr>
      <vt:lpstr>Angajator</vt:lpstr>
      <vt:lpstr>AnSal</vt:lpstr>
      <vt:lpstr>Fluturaș!Área_de_impresión</vt:lpstr>
      <vt:lpstr>CotaCAM</vt:lpstr>
      <vt:lpstr>CotaCAS</vt:lpstr>
      <vt:lpstr>CotaCASS</vt:lpstr>
      <vt:lpstr>CotaImp</vt:lpstr>
      <vt:lpstr>DaNuSal</vt:lpstr>
      <vt:lpstr>EsteTanar</vt:lpstr>
      <vt:lpstr>FunctiaAng</vt:lpstr>
      <vt:lpstr>FunctieBaza</vt:lpstr>
      <vt:lpstr>ListaLuniSal</vt:lpstr>
      <vt:lpstr>Marca</vt:lpstr>
      <vt:lpstr>NormaZi</vt:lpstr>
      <vt:lpstr>NrCopii</vt:lpstr>
      <vt:lpstr>NrPers</vt:lpstr>
      <vt:lpstr>NumeAng</vt:lpstr>
      <vt:lpstr>PerData</vt:lpstr>
      <vt:lpstr>PerNetax</vt:lpstr>
      <vt:lpstr>PerPlafon</vt:lpstr>
      <vt:lpstr>PerSM</vt:lpstr>
      <vt:lpstr>RandSal</vt:lpstr>
      <vt:lpstr>SarbSal</vt:lpstr>
      <vt:lpstr>SporSupl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fluturaș de salariu Excel 2026</dc:title>
  <dc:subject>Model Excel gratuit în limba română</dc:subject>
  <dc:creator>Ray Moreno · modelexcel.ro</dc:creator>
  <cp:keywords>modelexcel.ro, model Excel, Model fluturaș de salariu Excel 2026</cp:keywords>
  <dc:description>© 2026 Ray Moreno – modelexcel.ro. Model gratuit: îl poți folosi și adapta în activitatea ta. Nu este permisă revânzarea lui sau publicarea pe alte site-uri. https://modelexcel.ro/model-fluturas-salariu-excel/</dc:description>
  <cp:lastModifiedBy>Ray Moreno · modelexcel.ro</cp:lastModifiedBy>
  <dcterms:created xsi:type="dcterms:W3CDTF">2026-10-10T21:45:13Z</dcterms:created>
  <dcterms:modified xsi:type="dcterms:W3CDTF">2026-10-13T17:31:11Z</dcterms:modified>
  <cp:category>Model Excel</cp:category>
</cp:coreProperties>
</file>