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F1BCD3AD-0CFD-49C2-B7A2-FD97BB0C5595}" xr6:coauthVersionLast="47" xr6:coauthVersionMax="47" xr10:uidLastSave="{00000000-0000-0000-0000-000000000000}"/>
  <bookViews>
    <workbookView xWindow="-28920" yWindow="-120" windowWidth="29040" windowHeight="15720" xr2:uid="{0AD33253-E7AB-4B5C-989E-B804C00DFDCC}"/>
  </bookViews>
  <sheets>
    <sheet name="Notă de comandă" sheetId="1" r:id="rId1"/>
    <sheet name="Registru comenzi" sheetId="2" r:id="rId2"/>
    <sheet name="Linii comandă" sheetId="3" r:id="rId3"/>
    <sheet name="Produse" sheetId="4" r:id="rId4"/>
    <sheet name="Setări" sheetId="5" r:id="rId5"/>
  </sheets>
  <definedNames>
    <definedName name="Adresa">Setări!$C$6</definedName>
    <definedName name="_xlnm.Print_Area" localSheetId="0">'Notă de comandă'!$A$3:$J$38</definedName>
    <definedName name="Catalog">Produse!$B$5:$F$204</definedName>
    <definedName name="CIF">Setări!$C$5</definedName>
    <definedName name="Coduri">Produse!$B$5:$B$204</definedName>
    <definedName name="Contact">Setări!$C$7</definedName>
    <definedName name="Firma">Setări!$C$4</definedName>
    <definedName name="ListaConf">Setări!$F$5:$F$7</definedName>
    <definedName name="ListaPlata">Setări!$E$5:$E$8</definedName>
    <definedName name="RandC">'Notă de comandă'!$N$1</definedName>
    <definedName name="Seria">Setări!$C$8</definedName>
    <definedName name="_xlnm.Print_Titles" localSheetId="1">'Registru comenzi'!$4:$4</definedName>
    <definedName name="ZileConf">Setări!$C$9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" i="1" l="1"/>
  <c r="B10" i="1"/>
  <c r="B9" i="1"/>
  <c r="B8" i="1"/>
  <c r="B7" i="1"/>
  <c r="N1" i="1"/>
  <c r="O6" i="3"/>
  <c r="O8" i="3"/>
  <c r="O10" i="3"/>
  <c r="O11" i="3"/>
  <c r="O12" i="3"/>
  <c r="O13" i="3"/>
  <c r="O14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1001" i="3"/>
  <c r="O1002" i="3"/>
  <c r="O1003" i="3"/>
  <c r="O100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K17" i="3"/>
  <c r="L17" i="3" s="1"/>
  <c r="K18" i="3"/>
  <c r="L18" i="3" s="1"/>
  <c r="K19" i="3"/>
  <c r="L19" i="3" s="1"/>
  <c r="K20" i="3"/>
  <c r="L20" i="3" s="1"/>
  <c r="O9" i="2" s="1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H5" i="3"/>
  <c r="K5" i="3" s="1"/>
  <c r="H6" i="3"/>
  <c r="K6" i="3" s="1"/>
  <c r="L6" i="3" s="1"/>
  <c r="H7" i="3"/>
  <c r="K7" i="3" s="1"/>
  <c r="L7" i="3" s="1"/>
  <c r="H8" i="3"/>
  <c r="K8" i="3" s="1"/>
  <c r="L8" i="3" s="1"/>
  <c r="H9" i="3"/>
  <c r="K9" i="3" s="1"/>
  <c r="L9" i="3" s="1"/>
  <c r="H10" i="3"/>
  <c r="K10" i="3" s="1"/>
  <c r="L10" i="3" s="1"/>
  <c r="H11" i="3"/>
  <c r="K11" i="3" s="1"/>
  <c r="H12" i="3"/>
  <c r="K12" i="3" s="1"/>
  <c r="L12" i="3" s="1"/>
  <c r="H13" i="3"/>
  <c r="K13" i="3" s="1"/>
  <c r="H14" i="3"/>
  <c r="K14" i="3" s="1"/>
  <c r="L14" i="3" s="1"/>
  <c r="H15" i="3"/>
  <c r="K15" i="3" s="1"/>
  <c r="H16" i="3"/>
  <c r="K16" i="3" s="1"/>
  <c r="L16" i="3" s="1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E5" i="3"/>
  <c r="O5" i="3" s="1"/>
  <c r="E6" i="3"/>
  <c r="E7" i="3"/>
  <c r="O7" i="3" s="1"/>
  <c r="E8" i="3"/>
  <c r="E9" i="3"/>
  <c r="O9" i="3" s="1"/>
  <c r="E10" i="3"/>
  <c r="E11" i="3"/>
  <c r="E12" i="3"/>
  <c r="E13" i="3"/>
  <c r="E14" i="3"/>
  <c r="E15" i="3"/>
  <c r="O15" i="3" s="1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Q289" i="2" s="1"/>
  <c r="B288" i="2"/>
  <c r="B287" i="2"/>
  <c r="B286" i="2"/>
  <c r="B285" i="2"/>
  <c r="B284" i="2"/>
  <c r="B283" i="2"/>
  <c r="B282" i="2"/>
  <c r="B281" i="2"/>
  <c r="B280" i="2"/>
  <c r="B279" i="2"/>
  <c r="Q279" i="2" s="1"/>
  <c r="B278" i="2"/>
  <c r="B277" i="2"/>
  <c r="B276" i="2"/>
  <c r="B275" i="2"/>
  <c r="B274" i="2"/>
  <c r="B273" i="2"/>
  <c r="B272" i="2"/>
  <c r="B271" i="2"/>
  <c r="B270" i="2"/>
  <c r="Q270" i="2" s="1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Q248" i="2" s="1"/>
  <c r="B247" i="2"/>
  <c r="B246" i="2"/>
  <c r="B245" i="2"/>
  <c r="B244" i="2"/>
  <c r="B243" i="2"/>
  <c r="B242" i="2"/>
  <c r="B241" i="2"/>
  <c r="B240" i="2"/>
  <c r="T240" i="2" s="1"/>
  <c r="B239" i="2"/>
  <c r="Q239" i="2" s="1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Q226" i="2" s="1"/>
  <c r="B225" i="2"/>
  <c r="B224" i="2"/>
  <c r="B223" i="2"/>
  <c r="Q223" i="2" s="1"/>
  <c r="B222" i="2"/>
  <c r="B221" i="2"/>
  <c r="B220" i="2"/>
  <c r="B219" i="2"/>
  <c r="B218" i="2"/>
  <c r="B217" i="2"/>
  <c r="Q217" i="2" s="1"/>
  <c r="B216" i="2"/>
  <c r="B215" i="2"/>
  <c r="B214" i="2"/>
  <c r="B213" i="2"/>
  <c r="B212" i="2"/>
  <c r="B211" i="2"/>
  <c r="Q211" i="2" s="1"/>
  <c r="B210" i="2"/>
  <c r="B209" i="2"/>
  <c r="Q209" i="2" s="1"/>
  <c r="B208" i="2"/>
  <c r="Q208" i="2" s="1"/>
  <c r="B207" i="2"/>
  <c r="B206" i="2"/>
  <c r="B205" i="2"/>
  <c r="B204" i="2"/>
  <c r="B203" i="2"/>
  <c r="B202" i="2"/>
  <c r="B201" i="2"/>
  <c r="Q201" i="2" s="1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P187" i="2" s="1"/>
  <c r="B186" i="2"/>
  <c r="P186" i="2" s="1"/>
  <c r="B185" i="2"/>
  <c r="B184" i="2"/>
  <c r="B183" i="2"/>
  <c r="B182" i="2"/>
  <c r="B181" i="2"/>
  <c r="B180" i="2"/>
  <c r="B179" i="2"/>
  <c r="B178" i="2"/>
  <c r="B177" i="2"/>
  <c r="P177" i="2" s="1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P164" i="2" s="1"/>
  <c r="B163" i="2"/>
  <c r="B162" i="2"/>
  <c r="B161" i="2"/>
  <c r="B160" i="2"/>
  <c r="B159" i="2"/>
  <c r="B158" i="2"/>
  <c r="B157" i="2"/>
  <c r="B156" i="2"/>
  <c r="P156" i="2" s="1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P133" i="2" s="1"/>
  <c r="B132" i="2"/>
  <c r="O132" i="2" s="1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P107" i="2" s="1"/>
  <c r="B106" i="2"/>
  <c r="B105" i="2"/>
  <c r="B104" i="2"/>
  <c r="B103" i="2"/>
  <c r="B102" i="2"/>
  <c r="B101" i="2"/>
  <c r="P101" i="2" s="1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Q85" i="2" s="1"/>
  <c r="B84" i="2"/>
  <c r="B83" i="2"/>
  <c r="Q83" i="2" s="1"/>
  <c r="B82" i="2"/>
  <c r="B81" i="2"/>
  <c r="B80" i="2"/>
  <c r="B79" i="2"/>
  <c r="Q79" i="2" s="1"/>
  <c r="B78" i="2"/>
  <c r="B77" i="2"/>
  <c r="B76" i="2"/>
  <c r="Q76" i="2" s="1"/>
  <c r="B75" i="2"/>
  <c r="B74" i="2"/>
  <c r="Q74" i="2" s="1"/>
  <c r="B73" i="2"/>
  <c r="Q73" i="2" s="1"/>
  <c r="B72" i="2"/>
  <c r="Q72" i="2" s="1"/>
  <c r="B71" i="2"/>
  <c r="Q71" i="2" s="1"/>
  <c r="B70" i="2"/>
  <c r="B69" i="2"/>
  <c r="B68" i="2"/>
  <c r="B67" i="2"/>
  <c r="B66" i="2"/>
  <c r="Q66" i="2" s="1"/>
  <c r="B65" i="2"/>
  <c r="B64" i="2"/>
  <c r="B63" i="2"/>
  <c r="B62" i="2"/>
  <c r="Q62" i="2" s="1"/>
  <c r="B61" i="2"/>
  <c r="Q61" i="2" s="1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P29" i="2" s="1"/>
  <c r="B28" i="2"/>
  <c r="B27" i="2"/>
  <c r="B26" i="2"/>
  <c r="B25" i="2"/>
  <c r="P25" i="2" s="1"/>
  <c r="B24" i="2"/>
  <c r="B23" i="2"/>
  <c r="B22" i="2"/>
  <c r="B21" i="2"/>
  <c r="B20" i="2"/>
  <c r="B19" i="2"/>
  <c r="P19" i="2" s="1"/>
  <c r="B18" i="2"/>
  <c r="B17" i="2"/>
  <c r="B16" i="2"/>
  <c r="B15" i="2"/>
  <c r="B14" i="2"/>
  <c r="B13" i="2"/>
  <c r="B12" i="2"/>
  <c r="B11" i="2"/>
  <c r="B10" i="2"/>
  <c r="M9" i="2"/>
  <c r="J9" i="2"/>
  <c r="C9" i="2"/>
  <c r="J8" i="2"/>
  <c r="C8" i="2"/>
  <c r="M7" i="2"/>
  <c r="J7" i="2"/>
  <c r="C7" i="2"/>
  <c r="M6" i="2"/>
  <c r="J6" i="2"/>
  <c r="C6" i="2"/>
  <c r="M5" i="2"/>
  <c r="J5" i="2"/>
  <c r="C5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Q5" i="2"/>
  <c r="S5" i="2" s="1"/>
  <c r="T5" i="2" s="1"/>
  <c r="Q6" i="2"/>
  <c r="S6" i="2" s="1"/>
  <c r="T6" i="2" s="1"/>
  <c r="Q7" i="2"/>
  <c r="S7" i="2" s="1"/>
  <c r="T7" i="2" s="1"/>
  <c r="Q8" i="2"/>
  <c r="S8" i="2" s="1"/>
  <c r="T8" i="2" s="1"/>
  <c r="Q9" i="2"/>
  <c r="S9" i="2" s="1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3" i="2"/>
  <c r="Q64" i="2"/>
  <c r="Q65" i="2"/>
  <c r="Q67" i="2"/>
  <c r="Q68" i="2"/>
  <c r="Q69" i="2"/>
  <c r="Q75" i="2"/>
  <c r="Q77" i="2"/>
  <c r="Q78" i="2"/>
  <c r="Q80" i="2"/>
  <c r="Q81" i="2"/>
  <c r="Q84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7" i="2"/>
  <c r="Q198" i="2"/>
  <c r="Q199" i="2"/>
  <c r="Q200" i="2"/>
  <c r="Q202" i="2"/>
  <c r="Q203" i="2"/>
  <c r="Q205" i="2"/>
  <c r="Q206" i="2"/>
  <c r="Q207" i="2"/>
  <c r="Q210" i="2"/>
  <c r="Q212" i="2"/>
  <c r="Q213" i="2"/>
  <c r="Q214" i="2"/>
  <c r="Q215" i="2"/>
  <c r="Q216" i="2"/>
  <c r="Q218" i="2"/>
  <c r="Q219" i="2"/>
  <c r="Q220" i="2"/>
  <c r="Q221" i="2"/>
  <c r="Q222" i="2"/>
  <c r="Q224" i="2"/>
  <c r="Q225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40" i="2"/>
  <c r="Q241" i="2"/>
  <c r="Q242" i="2"/>
  <c r="Q243" i="2"/>
  <c r="Q244" i="2"/>
  <c r="Q245" i="2"/>
  <c r="Q246" i="2"/>
  <c r="Q247" i="2"/>
  <c r="Q249" i="2"/>
  <c r="Q250" i="2"/>
  <c r="Q251" i="2"/>
  <c r="Q252" i="2"/>
  <c r="Q253" i="2"/>
  <c r="Q254" i="2"/>
  <c r="Q255" i="2"/>
  <c r="Q256" i="2"/>
  <c r="Q257" i="2"/>
  <c r="Q258" i="2"/>
  <c r="Q259" i="2"/>
  <c r="Q261" i="2"/>
  <c r="Q262" i="2"/>
  <c r="Q263" i="2"/>
  <c r="Q264" i="2"/>
  <c r="Q265" i="2"/>
  <c r="Q266" i="2"/>
  <c r="Q267" i="2"/>
  <c r="Q268" i="2"/>
  <c r="Q269" i="2"/>
  <c r="Q271" i="2"/>
  <c r="Q272" i="2"/>
  <c r="Q273" i="2"/>
  <c r="Q274" i="2"/>
  <c r="Q275" i="2"/>
  <c r="Q276" i="2"/>
  <c r="Q277" i="2"/>
  <c r="Q278" i="2"/>
  <c r="Q280" i="2"/>
  <c r="Q281" i="2"/>
  <c r="Q282" i="2"/>
  <c r="Q283" i="2"/>
  <c r="Q284" i="2"/>
  <c r="Q285" i="2"/>
  <c r="Q286" i="2"/>
  <c r="Q287" i="2"/>
  <c r="Q288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P10" i="2"/>
  <c r="P11" i="2"/>
  <c r="P12" i="2"/>
  <c r="P13" i="2"/>
  <c r="P14" i="2"/>
  <c r="P15" i="2"/>
  <c r="P16" i="2"/>
  <c r="P17" i="2"/>
  <c r="P18" i="2"/>
  <c r="P20" i="2"/>
  <c r="P21" i="2"/>
  <c r="P22" i="2"/>
  <c r="P23" i="2"/>
  <c r="P24" i="2"/>
  <c r="P26" i="2"/>
  <c r="P27" i="2"/>
  <c r="P28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2" i="2"/>
  <c r="P103" i="2"/>
  <c r="P104" i="2"/>
  <c r="P105" i="2"/>
  <c r="P106" i="2"/>
  <c r="P108" i="2"/>
  <c r="P109" i="2"/>
  <c r="P110" i="2"/>
  <c r="P111" i="2"/>
  <c r="P112" i="2"/>
  <c r="P113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7" i="2"/>
  <c r="P158" i="2"/>
  <c r="P159" i="2"/>
  <c r="P160" i="2"/>
  <c r="P161" i="2"/>
  <c r="P162" i="2"/>
  <c r="P163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9" i="2"/>
  <c r="P181" i="2"/>
  <c r="P182" i="2"/>
  <c r="P183" i="2"/>
  <c r="P184" i="2"/>
  <c r="P185" i="2"/>
  <c r="P189" i="2"/>
  <c r="P190" i="2"/>
  <c r="P191" i="2"/>
  <c r="P192" i="2"/>
  <c r="P193" i="2"/>
  <c r="P194" i="2"/>
  <c r="P195" i="2"/>
  <c r="P197" i="2"/>
  <c r="P198" i="2"/>
  <c r="P199" i="2"/>
  <c r="P200" i="2"/>
  <c r="P201" i="2"/>
  <c r="P202" i="2"/>
  <c r="P203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9" i="2"/>
  <c r="O181" i="2"/>
  <c r="O182" i="2"/>
  <c r="O183" i="2"/>
  <c r="O184" i="2"/>
  <c r="O185" i="2"/>
  <c r="O186" i="2"/>
  <c r="O187" i="2"/>
  <c r="O189" i="2"/>
  <c r="O190" i="2"/>
  <c r="O191" i="2"/>
  <c r="O192" i="2"/>
  <c r="O193" i="2"/>
  <c r="O194" i="2"/>
  <c r="O195" i="2"/>
  <c r="O197" i="2"/>
  <c r="O198" i="2"/>
  <c r="O199" i="2"/>
  <c r="O200" i="2"/>
  <c r="O201" i="2"/>
  <c r="O202" i="2"/>
  <c r="O203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9" i="2"/>
  <c r="N181" i="2"/>
  <c r="N182" i="2"/>
  <c r="N183" i="2"/>
  <c r="N184" i="2"/>
  <c r="N185" i="2"/>
  <c r="N186" i="2"/>
  <c r="N187" i="2"/>
  <c r="N189" i="2"/>
  <c r="N190" i="2"/>
  <c r="N191" i="2"/>
  <c r="N192" i="2"/>
  <c r="N193" i="2"/>
  <c r="N194" i="2"/>
  <c r="N195" i="2"/>
  <c r="N197" i="2"/>
  <c r="N198" i="2"/>
  <c r="N199" i="2"/>
  <c r="N200" i="2"/>
  <c r="N201" i="2"/>
  <c r="N202" i="2"/>
  <c r="N203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24" i="1" l="1"/>
  <c r="N23" i="1"/>
  <c r="N22" i="1"/>
  <c r="N21" i="1"/>
  <c r="N20" i="1"/>
  <c r="N19" i="1"/>
  <c r="N18" i="1"/>
  <c r="N17" i="1"/>
  <c r="N16" i="1"/>
  <c r="N15" i="1"/>
  <c r="N14" i="1"/>
  <c r="N13" i="1"/>
  <c r="B24" i="1"/>
  <c r="F24" i="1"/>
  <c r="G24" i="1"/>
  <c r="H24" i="1"/>
  <c r="I24" i="1"/>
  <c r="J24" i="1"/>
  <c r="C24" i="1"/>
  <c r="E24" i="1"/>
  <c r="F23" i="1"/>
  <c r="G23" i="1"/>
  <c r="H23" i="1"/>
  <c r="I23" i="1"/>
  <c r="J23" i="1"/>
  <c r="B23" i="1"/>
  <c r="C23" i="1"/>
  <c r="E23" i="1"/>
  <c r="J22" i="1"/>
  <c r="G22" i="1"/>
  <c r="C22" i="1"/>
  <c r="E22" i="1"/>
  <c r="F22" i="1"/>
  <c r="H22" i="1"/>
  <c r="I22" i="1"/>
  <c r="B22" i="1"/>
  <c r="I21" i="1"/>
  <c r="J21" i="1"/>
  <c r="B21" i="1"/>
  <c r="C21" i="1"/>
  <c r="B30" i="1"/>
  <c r="B35" i="1"/>
  <c r="I25" i="1"/>
  <c r="J25" i="1"/>
  <c r="I26" i="1"/>
  <c r="B29" i="1"/>
  <c r="B4" i="1"/>
  <c r="G9" i="1"/>
  <c r="G10" i="1"/>
  <c r="G8" i="1"/>
  <c r="G7" i="1"/>
  <c r="T9" i="2"/>
  <c r="B39" i="1" s="1"/>
  <c r="P9" i="2"/>
  <c r="L15" i="3"/>
  <c r="O8" i="2" s="1"/>
  <c r="N8" i="2"/>
  <c r="L13" i="3"/>
  <c r="O7" i="2" s="1"/>
  <c r="N7" i="2"/>
  <c r="L11" i="3"/>
  <c r="O6" i="2" s="1"/>
  <c r="N6" i="2"/>
  <c r="L5" i="3"/>
  <c r="O5" i="2" s="1"/>
  <c r="N5" i="2"/>
  <c r="Q260" i="2"/>
  <c r="O260" i="2"/>
  <c r="N260" i="2"/>
  <c r="P260" i="2"/>
  <c r="Q204" i="2"/>
  <c r="P204" i="2"/>
  <c r="O204" i="2"/>
  <c r="N204" i="2"/>
  <c r="Q196" i="2"/>
  <c r="O196" i="2"/>
  <c r="N196" i="2"/>
  <c r="P196" i="2"/>
  <c r="O188" i="2"/>
  <c r="N188" i="2"/>
  <c r="P188" i="2"/>
  <c r="P180" i="2"/>
  <c r="O180" i="2"/>
  <c r="N180" i="2"/>
  <c r="O178" i="2"/>
  <c r="N178" i="2"/>
  <c r="P178" i="2"/>
  <c r="T114" i="2"/>
  <c r="P114" i="2"/>
  <c r="Q82" i="2"/>
  <c r="P82" i="2"/>
  <c r="Q70" i="2"/>
  <c r="P70" i="2"/>
  <c r="E21" i="1" l="1"/>
  <c r="F21" i="1"/>
  <c r="G21" i="1"/>
  <c r="H21" i="1"/>
  <c r="H20" i="1"/>
  <c r="B20" i="1"/>
  <c r="J20" i="1"/>
  <c r="I20" i="1"/>
  <c r="G20" i="1"/>
  <c r="F20" i="1"/>
  <c r="E20" i="1"/>
  <c r="C20" i="1"/>
  <c r="G19" i="1"/>
  <c r="H19" i="1"/>
  <c r="I19" i="1"/>
  <c r="J19" i="1"/>
  <c r="B19" i="1"/>
  <c r="C19" i="1"/>
  <c r="E19" i="1"/>
  <c r="F19" i="1"/>
  <c r="J18" i="1"/>
  <c r="G18" i="1"/>
  <c r="C18" i="1"/>
  <c r="H18" i="1"/>
  <c r="I18" i="1"/>
  <c r="B18" i="1"/>
  <c r="F18" i="1"/>
  <c r="E18" i="1"/>
  <c r="C17" i="1"/>
  <c r="F17" i="1"/>
  <c r="E17" i="1"/>
  <c r="B17" i="1"/>
  <c r="I17" i="1"/>
  <c r="G17" i="1"/>
  <c r="H17" i="1"/>
  <c r="J17" i="1"/>
  <c r="H16" i="1"/>
  <c r="F16" i="1"/>
  <c r="B16" i="1"/>
  <c r="I16" i="1"/>
  <c r="C16" i="1"/>
  <c r="J16" i="1"/>
  <c r="G16" i="1"/>
  <c r="E16" i="1"/>
  <c r="J15" i="1"/>
  <c r="E15" i="1"/>
  <c r="F15" i="1"/>
  <c r="H15" i="1"/>
  <c r="G15" i="1"/>
  <c r="I15" i="1"/>
  <c r="B15" i="1"/>
  <c r="C15" i="1"/>
  <c r="B14" i="1"/>
  <c r="I14" i="1"/>
  <c r="H14" i="1"/>
  <c r="E14" i="1"/>
  <c r="C14" i="1"/>
  <c r="F14" i="1"/>
  <c r="G14" i="1"/>
  <c r="J14" i="1"/>
  <c r="G13" i="1"/>
  <c r="E13" i="1"/>
  <c r="B13" i="1"/>
  <c r="I13" i="1"/>
  <c r="C13" i="1"/>
  <c r="F13" i="1"/>
  <c r="H13" i="1"/>
  <c r="J13" i="1"/>
  <c r="P8" i="2"/>
  <c r="P7" i="2"/>
  <c r="P6" i="2"/>
  <c r="P5" i="2"/>
</calcChain>
</file>

<file path=xl/sharedStrings.xml><?xml version="1.0" encoding="utf-8"?>
<sst xmlns="http://schemas.openxmlformats.org/spreadsheetml/2006/main" count="173" uniqueCount="126">
  <si>
    <t>Setări</t>
  </si>
  <si>
    <t>Datele firmei apar pe nota de comandă. Listele alimentează meniurile din registru.</t>
  </si>
  <si>
    <t>Furnizor</t>
  </si>
  <si>
    <t>Exemplu Distribuție SRL</t>
  </si>
  <si>
    <t>CIF</t>
  </si>
  <si>
    <t>RO12345678</t>
  </si>
  <si>
    <t>Sediu</t>
  </si>
  <si>
    <t>Str. Gării nr. 10, Ploiești, jud. Prahova</t>
  </si>
  <si>
    <t>Telefon / e-mail</t>
  </si>
  <si>
    <t>0244 000 000 · comenzi@exemplu.ro</t>
  </si>
  <si>
    <t>Seria comenzilor</t>
  </si>
  <si>
    <t>CMD</t>
  </si>
  <si>
    <t>Zile până la alerta „neconfirmată”</t>
  </si>
  <si>
    <t>Condiții de plată</t>
  </si>
  <si>
    <t>Plată în avans</t>
  </si>
  <si>
    <t>La livrare</t>
  </si>
  <si>
    <t>OP la 15 zile</t>
  </si>
  <si>
    <t>OP la 30 zile</t>
  </si>
  <si>
    <t>Confirmare client</t>
  </si>
  <si>
    <t>Da</t>
  </si>
  <si>
    <t>Nu</t>
  </si>
  <si>
    <t>Anulată</t>
  </si>
  <si>
    <t>Produse și servicii</t>
  </si>
  <si>
    <t>Catalogul din care se completează denumirea, unitatea de măsură, prețul și cota de TVA pe comandă.</t>
  </si>
  <si>
    <t>Cod</t>
  </si>
  <si>
    <t>Denumire</t>
  </si>
  <si>
    <t>U.M.</t>
  </si>
  <si>
    <t>Preț fără TVA (lei)</t>
  </si>
  <si>
    <t>Cota TVA</t>
  </si>
  <si>
    <t>P01</t>
  </si>
  <si>
    <t>Cablu CYY-F 3x2,5</t>
  </si>
  <si>
    <t>m</t>
  </si>
  <si>
    <t>P02</t>
  </si>
  <si>
    <t>Tub flexibil PVC 20 mm</t>
  </si>
  <si>
    <t>P03</t>
  </si>
  <si>
    <t>Doză aparat îngropată</t>
  </si>
  <si>
    <t>buc</t>
  </si>
  <si>
    <t>P04</t>
  </si>
  <si>
    <t>Întrerupător simplu Schneider Sedna</t>
  </si>
  <si>
    <t>P05</t>
  </si>
  <si>
    <t>Priză dublă cu împământare</t>
  </si>
  <si>
    <t>P06</t>
  </si>
  <si>
    <t>Tablou electric 12 module</t>
  </si>
  <si>
    <t>P07</t>
  </si>
  <si>
    <t>Siguranță automată 16A</t>
  </si>
  <si>
    <t>P08</t>
  </si>
  <si>
    <t>Corp iluminat LED 36W</t>
  </si>
  <si>
    <t>S01</t>
  </si>
  <si>
    <t>Manoperă montaj instalație electrică</t>
  </si>
  <si>
    <t>ore</t>
  </si>
  <si>
    <t>Registrul comenzilor de la clienți</t>
  </si>
  <si>
    <t>Un rând pentru fiecare comandă. Valoarea, livrarea și statusul se calculează automat; produsele se trec în foaia „Linii comandă”.</t>
  </si>
  <si>
    <t>Nr. comandă</t>
  </si>
  <si>
    <t>Data</t>
  </si>
  <si>
    <t>Client</t>
  </si>
  <si>
    <t>CIF / CNP</t>
  </si>
  <si>
    <t>Persoana de contact</t>
  </si>
  <si>
    <t>Adresa de livrare</t>
  </si>
  <si>
    <t>Oferta nr.</t>
  </si>
  <si>
    <t>Livrare promisă</t>
  </si>
  <si>
    <t>Data confirmării</t>
  </si>
  <si>
    <t>Valoare fără TVA</t>
  </si>
  <si>
    <t>TVA</t>
  </si>
  <si>
    <t>Total</t>
  </si>
  <si>
    <t>Livrare</t>
  </si>
  <si>
    <t>Factura nr.</t>
  </si>
  <si>
    <t>Status</t>
  </si>
  <si>
    <t>Verificare</t>
  </si>
  <si>
    <t>Exemplu Construct SRL</t>
  </si>
  <si>
    <t>RO23456789</t>
  </si>
  <si>
    <t>Dan Ilie</t>
  </si>
  <si>
    <t>0722 111 222</t>
  </si>
  <si>
    <t>Str. Florilor 5, Câmpina</t>
  </si>
  <si>
    <t>OF-052</t>
  </si>
  <si>
    <t>EXF 1201</t>
  </si>
  <si>
    <t>Electro Plus SRL</t>
  </si>
  <si>
    <t>RO34567890</t>
  </si>
  <si>
    <t>Maria Stoica</t>
  </si>
  <si>
    <t>achizitii@electroplus.ro</t>
  </si>
  <si>
    <t>Bd. București 118, Ploiești</t>
  </si>
  <si>
    <t>EXF 1202</t>
  </si>
  <si>
    <t>Instal Rapid SRL</t>
  </si>
  <si>
    <t>RO45678901</t>
  </si>
  <si>
    <t>Sorin Neagu</t>
  </si>
  <si>
    <t>0733 222 333</t>
  </si>
  <si>
    <t>Str. Republicii 22, Ploiești</t>
  </si>
  <si>
    <t>EXF 1212</t>
  </si>
  <si>
    <t>Montaj Expert SRL</t>
  </si>
  <si>
    <t>RO56789012</t>
  </si>
  <si>
    <t>Andrei Toma</t>
  </si>
  <si>
    <t>0744 333 444</t>
  </si>
  <si>
    <t>Str. Mihai Bravu 40, Ploiești</t>
  </si>
  <si>
    <t>OF-055</t>
  </si>
  <si>
    <t>Casa Verde SRL</t>
  </si>
  <si>
    <t>RO67890123</t>
  </si>
  <si>
    <t>Elena Dinu</t>
  </si>
  <si>
    <t>office@casaverde.ro</t>
  </si>
  <si>
    <t>Str. Lalelor 3, Bucov</t>
  </si>
  <si>
    <t>Produsele comandate</t>
  </si>
  <si>
    <t>Scrie numărul comenzii, codul și cantitatea. Denumirea, U.M., prețul și TVA vin din catalog (poți scrie peste preț). La livrare, completează cantitatea livrată.</t>
  </si>
  <si>
    <t>Nr. crt.</t>
  </si>
  <si>
    <t>Cantitate comandată</t>
  </si>
  <si>
    <t>Preț unitar fără TVA</t>
  </si>
  <si>
    <t>Discount</t>
  </si>
  <si>
    <t>Valoare</t>
  </si>
  <si>
    <t>Cantitate livrată</t>
  </si>
  <si>
    <t>Rest de livrat</t>
  </si>
  <si>
    <t>Comanda nr.:</t>
  </si>
  <si>
    <t>← scrie numărul din registru; restul se completează automat</t>
  </si>
  <si>
    <t>NOTĂ DE COMANDĂ</t>
  </si>
  <si>
    <t>FURNIZOR</t>
  </si>
  <si>
    <t>CLIENT</t>
  </si>
  <si>
    <t>Nr.</t>
  </si>
  <si>
    <t>Denumirea produselor / serviciilor</t>
  </si>
  <si>
    <t>Cantitate</t>
  </si>
  <si>
    <t>Preț unitar</t>
  </si>
  <si>
    <t>Total:</t>
  </si>
  <si>
    <t>Total cu TVA:</t>
  </si>
  <si>
    <t>CONDIȚII</t>
  </si>
  <si>
    <t>Confirmăm comanda de mai sus, cu produsele, cantitățile, prețurile și condițiile menționate.</t>
  </si>
  <si>
    <t>CLIENT (confirmare comandă)</t>
  </si>
  <si>
    <t>FURNIZOR (comandă primită)</t>
  </si>
  <si>
    <t>Semnătura ____________   Data ________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</si>
  <si>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</si>
  <si>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</si>
  <si>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modelexcel.ro/model-nota-de-comanda-excel/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</si>
</sst>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5E35B1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b/>
      <sz val="10"/>
      <color rgb="FF5E35B1"/>
      <name val="Calibri"/>
      <family val="2"/>
    </font>
    <font>
      <sz val="10"/>
      <color rgb="FF5D6B64"/>
      <name val="Calibri"/>
      <family val="2"/>
    </font>
    <font>
      <b/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F8FD"/>
        <bgColor indexed="64"/>
      </patternFill>
    </fill>
    <fill>
      <patternFill patternType="solid">
        <fgColor rgb="FF5E35B1"/>
        <bgColor indexed="64"/>
      </patternFill>
    </fill>
    <fill>
      <patternFill patternType="solid">
        <fgColor rgb="FFEDE7F6"/>
        <bgColor indexed="64"/>
      </patternFill>
    </fill>
  </fills>
  <borders count="1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5E35B1"/>
      </left>
      <right/>
      <top style="thin">
        <color rgb="FF5E35B1"/>
      </top>
      <bottom/>
      <diagonal/>
    </border>
    <border>
      <left/>
      <right/>
      <top style="thin">
        <color rgb="FF5E35B1"/>
      </top>
      <bottom/>
      <diagonal/>
    </border>
    <border>
      <left/>
      <right style="thin">
        <color rgb="FF5E35B1"/>
      </right>
      <top style="thin">
        <color rgb="FF5E35B1"/>
      </top>
      <bottom/>
      <diagonal/>
    </border>
    <border>
      <left style="thin">
        <color rgb="FF5E35B1"/>
      </left>
      <right/>
      <top/>
      <bottom/>
      <diagonal/>
    </border>
    <border>
      <left/>
      <right style="thin">
        <color rgb="FF5E35B1"/>
      </right>
      <top/>
      <bottom/>
      <diagonal/>
    </border>
    <border>
      <left style="thin">
        <color rgb="FF5E35B1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5E35B1"/>
      </right>
      <top style="thin">
        <color rgb="FFD2DCD9"/>
      </top>
      <bottom style="thin">
        <color rgb="FFD2DCD9"/>
      </bottom>
      <diagonal/>
    </border>
    <border>
      <left style="thin">
        <color rgb="FF5E35B1"/>
      </left>
      <right/>
      <top/>
      <bottom style="thin">
        <color rgb="FF5E35B1"/>
      </bottom>
      <diagonal/>
    </border>
    <border>
      <left/>
      <right/>
      <top/>
      <bottom style="thin">
        <color rgb="FF5E35B1"/>
      </bottom>
      <diagonal/>
    </border>
    <border>
      <left/>
      <right style="thin">
        <color rgb="FF5E35B1"/>
      </right>
      <top/>
      <bottom style="thin">
        <color rgb="FF5E35B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/>
    <xf numFmtId="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9" fontId="1" fillId="2" borderId="1" xfId="0" applyNumberFormat="1" applyFont="1" applyFill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4" borderId="0" xfId="0" applyFont="1" applyFill="1" applyAlignment="1">
      <alignment horizontal="center"/>
    </xf>
    <xf numFmtId="0" fontId="9" fillId="0" borderId="0" xfId="0" applyFont="1"/>
    <xf numFmtId="4" fontId="5" fillId="0" borderId="1" xfId="0" applyNumberFormat="1" applyFont="1" applyBorder="1"/>
    <xf numFmtId="0" fontId="13" fillId="0" borderId="0" xfId="0" applyFont="1"/>
    <xf numFmtId="0" fontId="1" fillId="0" borderId="5" xfId="0" applyFont="1" applyBorder="1"/>
    <xf numFmtId="0" fontId="1" fillId="0" borderId="6" xfId="0" applyFont="1" applyBorder="1"/>
    <xf numFmtId="0" fontId="11" fillId="0" borderId="5" xfId="0" applyFont="1" applyBorder="1"/>
    <xf numFmtId="0" fontId="11" fillId="0" borderId="0" xfId="0" applyFont="1"/>
    <xf numFmtId="0" fontId="11" fillId="0" borderId="6" xfId="0" applyFont="1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" fontId="1" fillId="0" borderId="8" xfId="0" applyNumberFormat="1" applyFont="1" applyBorder="1"/>
    <xf numFmtId="0" fontId="5" fillId="0" borderId="0" xfId="0" applyFont="1" applyAlignment="1">
      <alignment horizontal="right"/>
    </xf>
    <xf numFmtId="4" fontId="5" fillId="0" borderId="8" xfId="0" applyNumberFormat="1" applyFont="1" applyBorder="1"/>
    <xf numFmtId="0" fontId="5" fillId="0" borderId="5" xfId="0" applyFont="1" applyBorder="1"/>
    <xf numFmtId="0" fontId="5" fillId="0" borderId="6" xfId="0" applyFont="1" applyBorder="1"/>
    <xf numFmtId="0" fontId="12" fillId="0" borderId="5" xfId="0" applyFont="1" applyBorder="1"/>
    <xf numFmtId="0" fontId="12" fillId="0" borderId="0" xfId="0" applyFont="1"/>
    <xf numFmtId="0" fontId="12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4" fontId="5" fillId="0" borderId="1" xfId="0" applyNumberFormat="1" applyFont="1" applyBorder="1"/>
    <xf numFmtId="4" fontId="5" fillId="0" borderId="8" xfId="0" applyNumberFormat="1" applyFont="1" applyBorder="1"/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7">
    <dxf>
      <font>
        <b/>
        <i val="0"/>
        <color rgb="FFC06000"/>
      </font>
    </dxf>
    <dxf>
      <font>
        <strike/>
        <color rgb="FF5D6B64"/>
      </font>
    </dxf>
    <dxf>
      <font>
        <b/>
        <i val="0"/>
        <color rgb="FFC06000"/>
      </font>
    </dxf>
    <dxf>
      <font>
        <b/>
        <i val="0"/>
        <color rgb="FFC06000"/>
      </font>
    </dxf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327D2E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nota-de-comand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C4AD-ED91-478B-8D82-11E99C98708D}">
  <sheetPr>
    <pageSetUpPr fitToPage="1"/>
  </sheetPr>
  <dimension ref="B1:N39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2.7109375" style="1" customWidth="1"/>
    <col min="4" max="4" width="12.7109375" style="1" customWidth="1"/>
    <col min="5" max="5" width="6.7109375" style="1" customWidth="1"/>
    <col min="6" max="6" width="9.7109375" style="1" customWidth="1"/>
    <col min="7" max="7" width="10.7109375" style="1" customWidth="1"/>
    <col min="8" max="8" width="9.7109375" style="1" customWidth="1"/>
    <col min="9" max="9" width="12.7109375" style="1" customWidth="1"/>
    <col min="10" max="10" width="11.7109375" style="1" customWidth="1"/>
    <col min="11" max="16384" width="11.42578125" style="1"/>
  </cols>
  <sheetData>
    <row r="1" spans="2:14" ht="15.75" x14ac:dyDescent="0.25">
      <c r="B1" s="4" t="s">
        <v>107</v>
      </c>
      <c r="D1" s="24">
        <v>319</v>
      </c>
      <c r="E1" s="3" t="s">
        <v>108</v>
      </c>
      <c r="N1" s="25">
        <f>IFERROR(MATCH(D1,'Registru comenzi'!$B$5:$B$304,0),0)</f>
        <v>5</v>
      </c>
    </row>
    <row r="3" spans="2:14" ht="21" x14ac:dyDescent="0.2">
      <c r="B3" s="55" t="s">
        <v>109</v>
      </c>
      <c r="C3" s="56"/>
      <c r="D3" s="56"/>
      <c r="E3" s="56"/>
      <c r="F3" s="56"/>
      <c r="G3" s="56"/>
      <c r="H3" s="56"/>
      <c r="I3" s="56"/>
      <c r="J3" s="57"/>
    </row>
    <row r="4" spans="2:14" ht="15" x14ac:dyDescent="0.2">
      <c r="B4" s="58" t="str">
        <f>IF(RandC=0,"","Seria "&amp;Seria&amp;" nr. "&amp;D1&amp;" din "&amp;RIGHT("0"&amp;DAY(INDEX('Registru comenzi'!$C$5:$C$304,RandC)),2)&amp;"."&amp;RIGHT("0"&amp;MONTH(INDEX('Registru comenzi'!$C$5:$C$304,RandC)),2)&amp;"."&amp;YEAR(INDEX('Registru comenzi'!$C$5:$C$304,RandC))&amp;IF(IF(RandC=0,"",INDEX('Registru comenzi'!$I$5:$I$304,RandC)&amp;"")="","","   ·   conform ofertei "&amp;IF(RandC=0,"",INDEX('Registru comenzi'!$I$5:$I$304,RandC)&amp;"")))</f>
        <v>Seria CMD nr. 319 din 12.10.2026</v>
      </c>
      <c r="C4" s="59"/>
      <c r="D4" s="59"/>
      <c r="E4" s="59"/>
      <c r="F4" s="59"/>
      <c r="G4" s="59"/>
      <c r="H4" s="59"/>
      <c r="I4" s="59"/>
      <c r="J4" s="60"/>
    </row>
    <row r="5" spans="2:14" x14ac:dyDescent="0.2">
      <c r="B5" s="28"/>
      <c r="J5" s="29"/>
    </row>
    <row r="6" spans="2:14" x14ac:dyDescent="0.2">
      <c r="B6" s="30" t="s">
        <v>110</v>
      </c>
      <c r="C6" s="31"/>
      <c r="D6" s="31"/>
      <c r="E6" s="31"/>
      <c r="F6" s="31"/>
      <c r="G6" s="31" t="s">
        <v>111</v>
      </c>
      <c r="H6" s="31"/>
      <c r="I6" s="31"/>
      <c r="J6" s="32"/>
    </row>
    <row r="7" spans="2:14" x14ac:dyDescent="0.2">
      <c r="B7" s="61" t="str">
        <f>Firma</f>
        <v>Exemplu Distribuție SRL</v>
      </c>
      <c r="C7" s="51"/>
      <c r="D7" s="51"/>
      <c r="E7" s="51"/>
      <c r="F7" s="51"/>
      <c r="G7" s="62" t="str">
        <f>IF(RandC=0,"",INDEX('Registru comenzi'!$D$5:$D$304,RandC)&amp;"")</f>
        <v>Casa Verde SRL</v>
      </c>
      <c r="H7" s="51"/>
      <c r="I7" s="51"/>
      <c r="J7" s="52"/>
    </row>
    <row r="8" spans="2:14" x14ac:dyDescent="0.2">
      <c r="B8" s="50" t="str">
        <f>"CIF: "&amp;CIF</f>
        <v>CIF: RO12345678</v>
      </c>
      <c r="C8" s="51"/>
      <c r="D8" s="51"/>
      <c r="E8" s="51"/>
      <c r="F8" s="51"/>
      <c r="G8" s="51" t="str">
        <f>IF(RandC=0,"","CIF / CNP: "&amp;IF(RandC=0,"",INDEX('Registru comenzi'!$E$5:$E$304,RandC)&amp;""))</f>
        <v>CIF / CNP: RO67890123</v>
      </c>
      <c r="H8" s="51"/>
      <c r="I8" s="51"/>
      <c r="J8" s="52"/>
    </row>
    <row r="9" spans="2:14" x14ac:dyDescent="0.2">
      <c r="B9" s="50" t="str">
        <f>Adresa</f>
        <v>Str. Gării nr. 10, Ploiești, jud. Prahova</v>
      </c>
      <c r="C9" s="51"/>
      <c r="D9" s="51"/>
      <c r="E9" s="51"/>
      <c r="F9" s="51"/>
      <c r="G9" s="51" t="str">
        <f>IF(RandC=0,"","Persoana de contact: "&amp;IF(RandC=0,"",INDEX('Registru comenzi'!$F$5:$F$304,RandC)&amp;""))</f>
        <v>Persoana de contact: Elena Dinu</v>
      </c>
      <c r="H9" s="51"/>
      <c r="I9" s="51"/>
      <c r="J9" s="52"/>
    </row>
    <row r="10" spans="2:14" x14ac:dyDescent="0.2">
      <c r="B10" s="50" t="str">
        <f>Contact</f>
        <v>0244 000 000 · comenzi@exemplu.ro</v>
      </c>
      <c r="C10" s="51"/>
      <c r="D10" s="51"/>
      <c r="E10" s="51"/>
      <c r="F10" s="51"/>
      <c r="G10" s="51" t="str">
        <f>IF(RandC=0,"",INDEX('Registru comenzi'!$G$5:$G$304,RandC)&amp;"")</f>
        <v>office@casaverde.ro</v>
      </c>
      <c r="H10" s="51"/>
      <c r="I10" s="51"/>
      <c r="J10" s="52"/>
    </row>
    <row r="11" spans="2:14" x14ac:dyDescent="0.2">
      <c r="B11" s="28"/>
      <c r="J11" s="29"/>
    </row>
    <row r="12" spans="2:14" ht="27.95" customHeight="1" x14ac:dyDescent="0.2">
      <c r="B12" s="33" t="s">
        <v>112</v>
      </c>
      <c r="C12" s="54" t="s">
        <v>113</v>
      </c>
      <c r="D12" s="54"/>
      <c r="E12" s="7" t="s">
        <v>26</v>
      </c>
      <c r="F12" s="7" t="s">
        <v>114</v>
      </c>
      <c r="G12" s="7" t="s">
        <v>115</v>
      </c>
      <c r="H12" s="7" t="s">
        <v>103</v>
      </c>
      <c r="I12" s="7" t="s">
        <v>104</v>
      </c>
      <c r="J12" s="34" t="s">
        <v>62</v>
      </c>
    </row>
    <row r="13" spans="2:14" x14ac:dyDescent="0.2">
      <c r="B13" s="35">
        <f>IF($N13=0,"",1)</f>
        <v>1</v>
      </c>
      <c r="C13" s="47" t="str">
        <f>IF($N13=0,"",IF(INDEX('Linii comandă'!$E$5:$E$1004,$N13)="","",INDEX('Linii comandă'!$E$5:$E$1004,$N13)))</f>
        <v>Priză dublă cu împământare</v>
      </c>
      <c r="D13" s="47"/>
      <c r="E13" s="18" t="str">
        <f>IF($N13=0,"",IF(INDEX('Linii comandă'!$F$5:$F$1004,$N13)="","",INDEX('Linii comandă'!$F$5:$F$1004,$N13)))</f>
        <v>buc</v>
      </c>
      <c r="F13" s="18">
        <f>IF($N13=0,"",IF(INDEX('Linii comandă'!$G$5:$G$1004,$N13)="","",INDEX('Linii comandă'!$G$5:$G$1004,$N13)))</f>
        <v>40</v>
      </c>
      <c r="G13" s="20">
        <f>IF($N13=0,"",IF(INDEX('Linii comandă'!$H$5:$H$1004,$N13)="","",INDEX('Linii comandă'!$H$5:$H$1004,$N13)))</f>
        <v>18.899999999999999</v>
      </c>
      <c r="H13" s="22">
        <f>IF($N13=0,"",IF(INDEX('Linii comandă'!$I$5:$I$1004,$N13)="","",INDEX('Linii comandă'!$I$5:$I$1004,$N13)))</f>
        <v>0.05</v>
      </c>
      <c r="I13" s="20">
        <f>IF($N13=0,"",IF(INDEX('Linii comandă'!$K$5:$K$1004,$N13)="","",INDEX('Linii comandă'!$K$5:$K$1004,$N13)))</f>
        <v>718.2</v>
      </c>
      <c r="J13" s="36">
        <f>IF($N13=0,"",IF(INDEX('Linii comandă'!$L$5:$L$1004,$N13)="","",INDEX('Linii comandă'!$L$5:$L$1004,$N13)))</f>
        <v>150.82</v>
      </c>
      <c r="N13" s="25">
        <f>IFERROR(MATCH($D$1&amp;"|"&amp;1,'Linii comandă'!$A$5:$A$1004,0),0)</f>
        <v>14</v>
      </c>
    </row>
    <row r="14" spans="2:14" x14ac:dyDescent="0.2">
      <c r="B14" s="35">
        <f>IF($N14=0,"",2)</f>
        <v>2</v>
      </c>
      <c r="C14" s="47" t="str">
        <f>IF($N14=0,"",IF(INDEX('Linii comandă'!$E$5:$E$1004,$N14)="","",INDEX('Linii comandă'!$E$5:$E$1004,$N14)))</f>
        <v>Întrerupător simplu Schneider Sedna</v>
      </c>
      <c r="D14" s="47"/>
      <c r="E14" s="18" t="str">
        <f>IF($N14=0,"",IF(INDEX('Linii comandă'!$F$5:$F$1004,$N14)="","",INDEX('Linii comandă'!$F$5:$F$1004,$N14)))</f>
        <v>buc</v>
      </c>
      <c r="F14" s="18">
        <f>IF($N14=0,"",IF(INDEX('Linii comandă'!$G$5:$G$1004,$N14)="","",INDEX('Linii comandă'!$G$5:$G$1004,$N14)))</f>
        <v>40</v>
      </c>
      <c r="G14" s="20">
        <f>IF($N14=0,"",IF(INDEX('Linii comandă'!$H$5:$H$1004,$N14)="","",INDEX('Linii comandă'!$H$5:$H$1004,$N14)))</f>
        <v>14.5</v>
      </c>
      <c r="H14" s="22">
        <f>IF($N14=0,"",IF(INDEX('Linii comandă'!$I$5:$I$1004,$N14)="","",INDEX('Linii comandă'!$I$5:$I$1004,$N14)))</f>
        <v>0.05</v>
      </c>
      <c r="I14" s="20">
        <f>IF($N14=0,"",IF(INDEX('Linii comandă'!$K$5:$K$1004,$N14)="","",INDEX('Linii comandă'!$K$5:$K$1004,$N14)))</f>
        <v>551</v>
      </c>
      <c r="J14" s="36">
        <f>IF($N14=0,"",IF(INDEX('Linii comandă'!$L$5:$L$1004,$N14)="","",INDEX('Linii comandă'!$L$5:$L$1004,$N14)))</f>
        <v>115.71</v>
      </c>
      <c r="N14" s="25">
        <f>IFERROR(MATCH($D$1&amp;"|"&amp;2,'Linii comandă'!$A$5:$A$1004,0),0)</f>
        <v>15</v>
      </c>
    </row>
    <row r="15" spans="2:14" x14ac:dyDescent="0.2">
      <c r="B15" s="35">
        <f>IF($N15=0,"",3)</f>
        <v>3</v>
      </c>
      <c r="C15" s="47" t="str">
        <f>IF($N15=0,"",IF(INDEX('Linii comandă'!$E$5:$E$1004,$N15)="","",INDEX('Linii comandă'!$E$5:$E$1004,$N15)))</f>
        <v>Doză aparat îngropată</v>
      </c>
      <c r="D15" s="47"/>
      <c r="E15" s="18" t="str">
        <f>IF($N15=0,"",IF(INDEX('Linii comandă'!$F$5:$F$1004,$N15)="","",INDEX('Linii comandă'!$F$5:$F$1004,$N15)))</f>
        <v>buc</v>
      </c>
      <c r="F15" s="18">
        <f>IF($N15=0,"",IF(INDEX('Linii comandă'!$G$5:$G$1004,$N15)="","",INDEX('Linii comandă'!$G$5:$G$1004,$N15)))</f>
        <v>80</v>
      </c>
      <c r="G15" s="20">
        <f>IF($N15=0,"",IF(INDEX('Linii comandă'!$H$5:$H$1004,$N15)="","",INDEX('Linii comandă'!$H$5:$H$1004,$N15)))</f>
        <v>1.2</v>
      </c>
      <c r="H15" s="22" t="str">
        <f>IF($N15=0,"",IF(INDEX('Linii comandă'!$I$5:$I$1004,$N15)="","",INDEX('Linii comandă'!$I$5:$I$1004,$N15)))</f>
        <v/>
      </c>
      <c r="I15" s="20">
        <f>IF($N15=0,"",IF(INDEX('Linii comandă'!$K$5:$K$1004,$N15)="","",INDEX('Linii comandă'!$K$5:$K$1004,$N15)))</f>
        <v>96</v>
      </c>
      <c r="J15" s="36">
        <f>IF($N15=0,"",IF(INDEX('Linii comandă'!$L$5:$L$1004,$N15)="","",INDEX('Linii comandă'!$L$5:$L$1004,$N15)))</f>
        <v>20.16</v>
      </c>
      <c r="N15" s="25">
        <f>IFERROR(MATCH($D$1&amp;"|"&amp;3,'Linii comandă'!$A$5:$A$1004,0),0)</f>
        <v>16</v>
      </c>
    </row>
    <row r="16" spans="2:14" x14ac:dyDescent="0.2">
      <c r="B16" s="35" t="str">
        <f>IF($N16=0,"",4)</f>
        <v/>
      </c>
      <c r="C16" s="47" t="str">
        <f>IF($N16=0,"",IF(INDEX('Linii comandă'!$E$5:$E$1004,$N16)="","",INDEX('Linii comandă'!$E$5:$E$1004,$N16)))</f>
        <v/>
      </c>
      <c r="D16" s="47"/>
      <c r="E16" s="18" t="str">
        <f>IF($N16=0,"",IF(INDEX('Linii comandă'!$F$5:$F$1004,$N16)="","",INDEX('Linii comandă'!$F$5:$F$1004,$N16)))</f>
        <v/>
      </c>
      <c r="F16" s="18" t="str">
        <f>IF($N16=0,"",IF(INDEX('Linii comandă'!$G$5:$G$1004,$N16)="","",INDEX('Linii comandă'!$G$5:$G$1004,$N16)))</f>
        <v/>
      </c>
      <c r="G16" s="20" t="str">
        <f>IF($N16=0,"",IF(INDEX('Linii comandă'!$H$5:$H$1004,$N16)="","",INDEX('Linii comandă'!$H$5:$H$1004,$N16)))</f>
        <v/>
      </c>
      <c r="H16" s="22" t="str">
        <f>IF($N16=0,"",IF(INDEX('Linii comandă'!$I$5:$I$1004,$N16)="","",INDEX('Linii comandă'!$I$5:$I$1004,$N16)))</f>
        <v/>
      </c>
      <c r="I16" s="20" t="str">
        <f>IF($N16=0,"",IF(INDEX('Linii comandă'!$K$5:$K$1004,$N16)="","",INDEX('Linii comandă'!$K$5:$K$1004,$N16)))</f>
        <v/>
      </c>
      <c r="J16" s="36" t="str">
        <f>IF($N16=0,"",IF(INDEX('Linii comandă'!$L$5:$L$1004,$N16)="","",INDEX('Linii comandă'!$L$5:$L$1004,$N16)))</f>
        <v/>
      </c>
      <c r="N16" s="25">
        <f>IFERROR(MATCH($D$1&amp;"|"&amp;4,'Linii comandă'!$A$5:$A$1004,0),0)</f>
        <v>0</v>
      </c>
    </row>
    <row r="17" spans="2:14" x14ac:dyDescent="0.2">
      <c r="B17" s="35" t="str">
        <f>IF($N17=0,"",5)</f>
        <v/>
      </c>
      <c r="C17" s="47" t="str">
        <f>IF($N17=0,"",IF(INDEX('Linii comandă'!$E$5:$E$1004,$N17)="","",INDEX('Linii comandă'!$E$5:$E$1004,$N17)))</f>
        <v/>
      </c>
      <c r="D17" s="47"/>
      <c r="E17" s="18" t="str">
        <f>IF($N17=0,"",IF(INDEX('Linii comandă'!$F$5:$F$1004,$N17)="","",INDEX('Linii comandă'!$F$5:$F$1004,$N17)))</f>
        <v/>
      </c>
      <c r="F17" s="18" t="str">
        <f>IF($N17=0,"",IF(INDEX('Linii comandă'!$G$5:$G$1004,$N17)="","",INDEX('Linii comandă'!$G$5:$G$1004,$N17)))</f>
        <v/>
      </c>
      <c r="G17" s="20" t="str">
        <f>IF($N17=0,"",IF(INDEX('Linii comandă'!$H$5:$H$1004,$N17)="","",INDEX('Linii comandă'!$H$5:$H$1004,$N17)))</f>
        <v/>
      </c>
      <c r="H17" s="22" t="str">
        <f>IF($N17=0,"",IF(INDEX('Linii comandă'!$I$5:$I$1004,$N17)="","",INDEX('Linii comandă'!$I$5:$I$1004,$N17)))</f>
        <v/>
      </c>
      <c r="I17" s="20" t="str">
        <f>IF($N17=0,"",IF(INDEX('Linii comandă'!$K$5:$K$1004,$N17)="","",INDEX('Linii comandă'!$K$5:$K$1004,$N17)))</f>
        <v/>
      </c>
      <c r="J17" s="36" t="str">
        <f>IF($N17=0,"",IF(INDEX('Linii comandă'!$L$5:$L$1004,$N17)="","",INDEX('Linii comandă'!$L$5:$L$1004,$N17)))</f>
        <v/>
      </c>
      <c r="N17" s="25">
        <f>IFERROR(MATCH($D$1&amp;"|"&amp;5,'Linii comandă'!$A$5:$A$1004,0),0)</f>
        <v>0</v>
      </c>
    </row>
    <row r="18" spans="2:14" x14ac:dyDescent="0.2">
      <c r="B18" s="35" t="str">
        <f>IF($N18=0,"",6)</f>
        <v/>
      </c>
      <c r="C18" s="47" t="str">
        <f>IF($N18=0,"",IF(INDEX('Linii comandă'!$E$5:$E$1004,$N18)="","",INDEX('Linii comandă'!$E$5:$E$1004,$N18)))</f>
        <v/>
      </c>
      <c r="D18" s="47"/>
      <c r="E18" s="18" t="str">
        <f>IF($N18=0,"",IF(INDEX('Linii comandă'!$F$5:$F$1004,$N18)="","",INDEX('Linii comandă'!$F$5:$F$1004,$N18)))</f>
        <v/>
      </c>
      <c r="F18" s="18" t="str">
        <f>IF($N18=0,"",IF(INDEX('Linii comandă'!$G$5:$G$1004,$N18)="","",INDEX('Linii comandă'!$G$5:$G$1004,$N18)))</f>
        <v/>
      </c>
      <c r="G18" s="20" t="str">
        <f>IF($N18=0,"",IF(INDEX('Linii comandă'!$H$5:$H$1004,$N18)="","",INDEX('Linii comandă'!$H$5:$H$1004,$N18)))</f>
        <v/>
      </c>
      <c r="H18" s="22" t="str">
        <f>IF($N18=0,"",IF(INDEX('Linii comandă'!$I$5:$I$1004,$N18)="","",INDEX('Linii comandă'!$I$5:$I$1004,$N18)))</f>
        <v/>
      </c>
      <c r="I18" s="20" t="str">
        <f>IF($N18=0,"",IF(INDEX('Linii comandă'!$K$5:$K$1004,$N18)="","",INDEX('Linii comandă'!$K$5:$K$1004,$N18)))</f>
        <v/>
      </c>
      <c r="J18" s="36" t="str">
        <f>IF($N18=0,"",IF(INDEX('Linii comandă'!$L$5:$L$1004,$N18)="","",INDEX('Linii comandă'!$L$5:$L$1004,$N18)))</f>
        <v/>
      </c>
      <c r="N18" s="25">
        <f>IFERROR(MATCH($D$1&amp;"|"&amp;6,'Linii comandă'!$A$5:$A$1004,0),0)</f>
        <v>0</v>
      </c>
    </row>
    <row r="19" spans="2:14" x14ac:dyDescent="0.2">
      <c r="B19" s="35" t="str">
        <f>IF($N19=0,"",7)</f>
        <v/>
      </c>
      <c r="C19" s="47" t="str">
        <f>IF($N19=0,"",IF(INDEX('Linii comandă'!$E$5:$E$1004,$N19)="","",INDEX('Linii comandă'!$E$5:$E$1004,$N19)))</f>
        <v/>
      </c>
      <c r="D19" s="47"/>
      <c r="E19" s="18" t="str">
        <f>IF($N19=0,"",IF(INDEX('Linii comandă'!$F$5:$F$1004,$N19)="","",INDEX('Linii comandă'!$F$5:$F$1004,$N19)))</f>
        <v/>
      </c>
      <c r="F19" s="18" t="str">
        <f>IF($N19=0,"",IF(INDEX('Linii comandă'!$G$5:$G$1004,$N19)="","",INDEX('Linii comandă'!$G$5:$G$1004,$N19)))</f>
        <v/>
      </c>
      <c r="G19" s="20" t="str">
        <f>IF($N19=0,"",IF(INDEX('Linii comandă'!$H$5:$H$1004,$N19)="","",INDEX('Linii comandă'!$H$5:$H$1004,$N19)))</f>
        <v/>
      </c>
      <c r="H19" s="22" t="str">
        <f>IF($N19=0,"",IF(INDEX('Linii comandă'!$I$5:$I$1004,$N19)="","",INDEX('Linii comandă'!$I$5:$I$1004,$N19)))</f>
        <v/>
      </c>
      <c r="I19" s="20" t="str">
        <f>IF($N19=0,"",IF(INDEX('Linii comandă'!$K$5:$K$1004,$N19)="","",INDEX('Linii comandă'!$K$5:$K$1004,$N19)))</f>
        <v/>
      </c>
      <c r="J19" s="36" t="str">
        <f>IF($N19=0,"",IF(INDEX('Linii comandă'!$L$5:$L$1004,$N19)="","",INDEX('Linii comandă'!$L$5:$L$1004,$N19)))</f>
        <v/>
      </c>
      <c r="N19" s="25">
        <f>IFERROR(MATCH($D$1&amp;"|"&amp;7,'Linii comandă'!$A$5:$A$1004,0),0)</f>
        <v>0</v>
      </c>
    </row>
    <row r="20" spans="2:14" x14ac:dyDescent="0.2">
      <c r="B20" s="35" t="str">
        <f>IF($N20=0,"",8)</f>
        <v/>
      </c>
      <c r="C20" s="47" t="str">
        <f>IF($N20=0,"",IF(INDEX('Linii comandă'!$E$5:$E$1004,$N20)="","",INDEX('Linii comandă'!$E$5:$E$1004,$N20)))</f>
        <v/>
      </c>
      <c r="D20" s="47"/>
      <c r="E20" s="18" t="str">
        <f>IF($N20=0,"",IF(INDEX('Linii comandă'!$F$5:$F$1004,$N20)="","",INDEX('Linii comandă'!$F$5:$F$1004,$N20)))</f>
        <v/>
      </c>
      <c r="F20" s="18" t="str">
        <f>IF($N20=0,"",IF(INDEX('Linii comandă'!$G$5:$G$1004,$N20)="","",INDEX('Linii comandă'!$G$5:$G$1004,$N20)))</f>
        <v/>
      </c>
      <c r="G20" s="20" t="str">
        <f>IF($N20=0,"",IF(INDEX('Linii comandă'!$H$5:$H$1004,$N20)="","",INDEX('Linii comandă'!$H$5:$H$1004,$N20)))</f>
        <v/>
      </c>
      <c r="H20" s="22" t="str">
        <f>IF($N20=0,"",IF(INDEX('Linii comandă'!$I$5:$I$1004,$N20)="","",INDEX('Linii comandă'!$I$5:$I$1004,$N20)))</f>
        <v/>
      </c>
      <c r="I20" s="20" t="str">
        <f>IF($N20=0,"",IF(INDEX('Linii comandă'!$K$5:$K$1004,$N20)="","",INDEX('Linii comandă'!$K$5:$K$1004,$N20)))</f>
        <v/>
      </c>
      <c r="J20" s="36" t="str">
        <f>IF($N20=0,"",IF(INDEX('Linii comandă'!$L$5:$L$1004,$N20)="","",INDEX('Linii comandă'!$L$5:$L$1004,$N20)))</f>
        <v/>
      </c>
      <c r="N20" s="25">
        <f>IFERROR(MATCH($D$1&amp;"|"&amp;8,'Linii comandă'!$A$5:$A$1004,0),0)</f>
        <v>0</v>
      </c>
    </row>
    <row r="21" spans="2:14" x14ac:dyDescent="0.2">
      <c r="B21" s="35" t="str">
        <f>IF($N21=0,"",9)</f>
        <v/>
      </c>
      <c r="C21" s="47" t="str">
        <f>IF($N21=0,"",IF(INDEX('Linii comandă'!$E$5:$E$1004,$N21)="","",INDEX('Linii comandă'!$E$5:$E$1004,$N21)))</f>
        <v/>
      </c>
      <c r="D21" s="47"/>
      <c r="E21" s="18" t="str">
        <f>IF($N21=0,"",IF(INDEX('Linii comandă'!$F$5:$F$1004,$N21)="","",INDEX('Linii comandă'!$F$5:$F$1004,$N21)))</f>
        <v/>
      </c>
      <c r="F21" s="18" t="str">
        <f>IF($N21=0,"",IF(INDEX('Linii comandă'!$G$5:$G$1004,$N21)="","",INDEX('Linii comandă'!$G$5:$G$1004,$N21)))</f>
        <v/>
      </c>
      <c r="G21" s="20" t="str">
        <f>IF($N21=0,"",IF(INDEX('Linii comandă'!$H$5:$H$1004,$N21)="","",INDEX('Linii comandă'!$H$5:$H$1004,$N21)))</f>
        <v/>
      </c>
      <c r="H21" s="22" t="str">
        <f>IF($N21=0,"",IF(INDEX('Linii comandă'!$I$5:$I$1004,$N21)="","",INDEX('Linii comandă'!$I$5:$I$1004,$N21)))</f>
        <v/>
      </c>
      <c r="I21" s="20" t="str">
        <f>IF($N21=0,"",IF(INDEX('Linii comandă'!$K$5:$K$1004,$N21)="","",INDEX('Linii comandă'!$K$5:$K$1004,$N21)))</f>
        <v/>
      </c>
      <c r="J21" s="36" t="str">
        <f>IF($N21=0,"",IF(INDEX('Linii comandă'!$L$5:$L$1004,$N21)="","",INDEX('Linii comandă'!$L$5:$L$1004,$N21)))</f>
        <v/>
      </c>
      <c r="N21" s="25">
        <f>IFERROR(MATCH($D$1&amp;"|"&amp;9,'Linii comandă'!$A$5:$A$1004,0),0)</f>
        <v>0</v>
      </c>
    </row>
    <row r="22" spans="2:14" x14ac:dyDescent="0.2">
      <c r="B22" s="35" t="str">
        <f>IF($N22=0,"",10)</f>
        <v/>
      </c>
      <c r="C22" s="47" t="str">
        <f>IF($N22=0,"",IF(INDEX('Linii comandă'!$E$5:$E$1004,$N22)="","",INDEX('Linii comandă'!$E$5:$E$1004,$N22)))</f>
        <v/>
      </c>
      <c r="D22" s="47"/>
      <c r="E22" s="18" t="str">
        <f>IF($N22=0,"",IF(INDEX('Linii comandă'!$F$5:$F$1004,$N22)="","",INDEX('Linii comandă'!$F$5:$F$1004,$N22)))</f>
        <v/>
      </c>
      <c r="F22" s="18" t="str">
        <f>IF($N22=0,"",IF(INDEX('Linii comandă'!$G$5:$G$1004,$N22)="","",INDEX('Linii comandă'!$G$5:$G$1004,$N22)))</f>
        <v/>
      </c>
      <c r="G22" s="20" t="str">
        <f>IF($N22=0,"",IF(INDEX('Linii comandă'!$H$5:$H$1004,$N22)="","",INDEX('Linii comandă'!$H$5:$H$1004,$N22)))</f>
        <v/>
      </c>
      <c r="H22" s="22" t="str">
        <f>IF($N22=0,"",IF(INDEX('Linii comandă'!$I$5:$I$1004,$N22)="","",INDEX('Linii comandă'!$I$5:$I$1004,$N22)))</f>
        <v/>
      </c>
      <c r="I22" s="20" t="str">
        <f>IF($N22=0,"",IF(INDEX('Linii comandă'!$K$5:$K$1004,$N22)="","",INDEX('Linii comandă'!$K$5:$K$1004,$N22)))</f>
        <v/>
      </c>
      <c r="J22" s="36" t="str">
        <f>IF($N22=0,"",IF(INDEX('Linii comandă'!$L$5:$L$1004,$N22)="","",INDEX('Linii comandă'!$L$5:$L$1004,$N22)))</f>
        <v/>
      </c>
      <c r="N22" s="25">
        <f>IFERROR(MATCH($D$1&amp;"|"&amp;10,'Linii comandă'!$A$5:$A$1004,0),0)</f>
        <v>0</v>
      </c>
    </row>
    <row r="23" spans="2:14" x14ac:dyDescent="0.2">
      <c r="B23" s="35" t="str">
        <f>IF($N23=0,"",11)</f>
        <v/>
      </c>
      <c r="C23" s="47" t="str">
        <f>IF($N23=0,"",IF(INDEX('Linii comandă'!$E$5:$E$1004,$N23)="","",INDEX('Linii comandă'!$E$5:$E$1004,$N23)))</f>
        <v/>
      </c>
      <c r="D23" s="47"/>
      <c r="E23" s="18" t="str">
        <f>IF($N23=0,"",IF(INDEX('Linii comandă'!$F$5:$F$1004,$N23)="","",INDEX('Linii comandă'!$F$5:$F$1004,$N23)))</f>
        <v/>
      </c>
      <c r="F23" s="18" t="str">
        <f>IF($N23=0,"",IF(INDEX('Linii comandă'!$G$5:$G$1004,$N23)="","",INDEX('Linii comandă'!$G$5:$G$1004,$N23)))</f>
        <v/>
      </c>
      <c r="G23" s="20" t="str">
        <f>IF($N23=0,"",IF(INDEX('Linii comandă'!$H$5:$H$1004,$N23)="","",INDEX('Linii comandă'!$H$5:$H$1004,$N23)))</f>
        <v/>
      </c>
      <c r="H23" s="22" t="str">
        <f>IF($N23=0,"",IF(INDEX('Linii comandă'!$I$5:$I$1004,$N23)="","",INDEX('Linii comandă'!$I$5:$I$1004,$N23)))</f>
        <v/>
      </c>
      <c r="I23" s="20" t="str">
        <f>IF($N23=0,"",IF(INDEX('Linii comandă'!$K$5:$K$1004,$N23)="","",INDEX('Linii comandă'!$K$5:$K$1004,$N23)))</f>
        <v/>
      </c>
      <c r="J23" s="36" t="str">
        <f>IF($N23=0,"",IF(INDEX('Linii comandă'!$L$5:$L$1004,$N23)="","",INDEX('Linii comandă'!$L$5:$L$1004,$N23)))</f>
        <v/>
      </c>
      <c r="N23" s="25">
        <f>IFERROR(MATCH($D$1&amp;"|"&amp;11,'Linii comandă'!$A$5:$A$1004,0),0)</f>
        <v>0</v>
      </c>
    </row>
    <row r="24" spans="2:14" x14ac:dyDescent="0.2">
      <c r="B24" s="35" t="str">
        <f>IF($N24=0,"",12)</f>
        <v/>
      </c>
      <c r="C24" s="47" t="str">
        <f>IF($N24=0,"",IF(INDEX('Linii comandă'!$E$5:$E$1004,$N24)="","",INDEX('Linii comandă'!$E$5:$E$1004,$N24)))</f>
        <v/>
      </c>
      <c r="D24" s="47"/>
      <c r="E24" s="18" t="str">
        <f>IF($N24=0,"",IF(INDEX('Linii comandă'!$F$5:$F$1004,$N24)="","",INDEX('Linii comandă'!$F$5:$F$1004,$N24)))</f>
        <v/>
      </c>
      <c r="F24" s="18" t="str">
        <f>IF($N24=0,"",IF(INDEX('Linii comandă'!$G$5:$G$1004,$N24)="","",INDEX('Linii comandă'!$G$5:$G$1004,$N24)))</f>
        <v/>
      </c>
      <c r="G24" s="20" t="str">
        <f>IF($N24=0,"",IF(INDEX('Linii comandă'!$H$5:$H$1004,$N24)="","",INDEX('Linii comandă'!$H$5:$H$1004,$N24)))</f>
        <v/>
      </c>
      <c r="H24" s="22" t="str">
        <f>IF($N24=0,"",IF(INDEX('Linii comandă'!$I$5:$I$1004,$N24)="","",INDEX('Linii comandă'!$I$5:$I$1004,$N24)))</f>
        <v/>
      </c>
      <c r="I24" s="20" t="str">
        <f>IF($N24=0,"",IF(INDEX('Linii comandă'!$K$5:$K$1004,$N24)="","",INDEX('Linii comandă'!$K$5:$K$1004,$N24)))</f>
        <v/>
      </c>
      <c r="J24" s="36" t="str">
        <f>IF($N24=0,"",IF(INDEX('Linii comandă'!$L$5:$L$1004,$N24)="","",INDEX('Linii comandă'!$L$5:$L$1004,$N24)))</f>
        <v/>
      </c>
      <c r="N24" s="25">
        <f>IFERROR(MATCH($D$1&amp;"|"&amp;12,'Linii comandă'!$A$5:$A$1004,0),0)</f>
        <v>0</v>
      </c>
    </row>
    <row r="25" spans="2:14" x14ac:dyDescent="0.2">
      <c r="B25" s="28"/>
      <c r="H25" s="37" t="s">
        <v>116</v>
      </c>
      <c r="I25" s="26">
        <f>IF(RandC=0,"",INDEX('Registru comenzi'!$N$5:$N$304,RandC))</f>
        <v>1365.2</v>
      </c>
      <c r="J25" s="38">
        <f>IF(RandC=0,"",INDEX('Registru comenzi'!$O$5:$O$304,RandC))</f>
        <v>286.69</v>
      </c>
    </row>
    <row r="26" spans="2:14" x14ac:dyDescent="0.2">
      <c r="B26" s="28"/>
      <c r="H26" s="37" t="s">
        <v>117</v>
      </c>
      <c r="I26" s="48">
        <f>IF(RandC=0,"",INDEX('Registru comenzi'!$P$5:$P$304,RandC))</f>
        <v>1651.89</v>
      </c>
      <c r="J26" s="49"/>
    </row>
    <row r="27" spans="2:14" x14ac:dyDescent="0.2">
      <c r="B27" s="28"/>
      <c r="J27" s="29"/>
    </row>
    <row r="28" spans="2:14" x14ac:dyDescent="0.2">
      <c r="B28" s="30" t="s">
        <v>118</v>
      </c>
      <c r="J28" s="29"/>
    </row>
    <row r="29" spans="2:14" x14ac:dyDescent="0.2">
      <c r="B29" s="50" t="str">
        <f>IF(RandC=0,"","Termen de livrare: "&amp;IF(IF(RandC=0,"",INDEX('Registru comenzi'!$J$5:$J$304,RandC)&amp;"")="","–",RIGHT("0"&amp;DAY(INDEX('Registru comenzi'!$J$5:$J$304,RandC)),2)&amp;"."&amp;RIGHT("0"&amp;MONTH(INDEX('Registru comenzi'!$J$5:$J$304,RandC)),2)&amp;"."&amp;YEAR(INDEX('Registru comenzi'!$J$5:$J$304,RandC)))&amp;"   ·   Adresa de livrare: "&amp;IF(RandC=0,"",INDEX('Registru comenzi'!$H$5:$H$304,RandC)&amp;""))</f>
        <v>Termen de livrare: 20.10.2026   ·   Adresa de livrare: Str. Lalelor 3, Bucov</v>
      </c>
      <c r="C29" s="51"/>
      <c r="D29" s="51"/>
      <c r="E29" s="51"/>
      <c r="F29" s="51"/>
      <c r="G29" s="51"/>
      <c r="H29" s="51"/>
      <c r="I29" s="51"/>
      <c r="J29" s="52"/>
    </row>
    <row r="30" spans="2:14" x14ac:dyDescent="0.2">
      <c r="B30" s="50" t="str">
        <f>IF(RandC=0,"","Condiții de plată: "&amp;IF(RandC=0,"",INDEX('Registru comenzi'!$K$5:$K$304,RandC)&amp;""))</f>
        <v>Condiții de plată: Plată în avans</v>
      </c>
      <c r="C30" s="51"/>
      <c r="D30" s="51"/>
      <c r="E30" s="51"/>
      <c r="F30" s="51"/>
      <c r="G30" s="51"/>
      <c r="H30" s="51"/>
      <c r="I30" s="51"/>
      <c r="J30" s="52"/>
    </row>
    <row r="31" spans="2:14" x14ac:dyDescent="0.2">
      <c r="B31" s="28"/>
      <c r="J31" s="29"/>
    </row>
    <row r="32" spans="2:14" x14ac:dyDescent="0.2">
      <c r="B32" s="53" t="s">
        <v>119</v>
      </c>
      <c r="C32" s="51"/>
      <c r="D32" s="51"/>
      <c r="E32" s="51"/>
      <c r="F32" s="51"/>
      <c r="G32" s="51"/>
      <c r="H32" s="51"/>
      <c r="I32" s="51"/>
      <c r="J32" s="52"/>
    </row>
    <row r="33" spans="2:10" x14ac:dyDescent="0.2">
      <c r="B33" s="28"/>
      <c r="J33" s="29"/>
    </row>
    <row r="34" spans="2:10" x14ac:dyDescent="0.2">
      <c r="B34" s="39" t="s">
        <v>120</v>
      </c>
      <c r="C34" s="4"/>
      <c r="D34" s="4"/>
      <c r="E34" s="4"/>
      <c r="F34" s="4"/>
      <c r="G34" s="4" t="s">
        <v>121</v>
      </c>
      <c r="H34" s="4"/>
      <c r="I34" s="4"/>
      <c r="J34" s="40"/>
    </row>
    <row r="35" spans="2:10" x14ac:dyDescent="0.2">
      <c r="B35" s="41" t="str">
        <f>IF(RandC=0,"",INDEX('Registru comenzi'!$F$5:$F$304,RandC)&amp;"")</f>
        <v>Elena Dinu</v>
      </c>
      <c r="C35" s="42"/>
      <c r="D35" s="42"/>
      <c r="E35" s="42"/>
      <c r="F35" s="42"/>
      <c r="G35" s="42" t="str">
        <f>Firma</f>
        <v>Exemplu Distribuție SRL</v>
      </c>
      <c r="H35" s="42"/>
      <c r="I35" s="42"/>
      <c r="J35" s="43"/>
    </row>
    <row r="36" spans="2:10" x14ac:dyDescent="0.2">
      <c r="B36" s="28"/>
      <c r="J36" s="29"/>
    </row>
    <row r="37" spans="2:10" x14ac:dyDescent="0.2">
      <c r="B37" s="28" t="s">
        <v>122</v>
      </c>
      <c r="G37" s="1" t="s">
        <v>122</v>
      </c>
      <c r="J37" s="29"/>
    </row>
    <row r="38" spans="2:10" x14ac:dyDescent="0.2">
      <c r="B38" s="44"/>
      <c r="C38" s="45"/>
      <c r="D38" s="45"/>
      <c r="E38" s="45"/>
      <c r="F38" s="45"/>
      <c r="G38" s="45"/>
      <c r="H38" s="45"/>
      <c r="I38" s="45"/>
      <c r="J38" s="46"/>
    </row>
    <row r="39" spans="2:10" x14ac:dyDescent="0.2">
      <c r="B39" s="27" t="str">
        <f ca="1">IF(RandC=0,"Numărul nu există în registru.","Status: "&amp;IF(RandC=0,"",INDEX('Registru comenzi'!$S$5:$S$304,RandC)&amp;"")&amp;IF(IF(RandC=0,"",INDEX('Registru comenzi'!$T$5:$T$304,RandC)&amp;"")="","","  ·  "&amp;IF(RandC=0,"",INDEX('Registru comenzi'!$T$5:$T$304,RandC)&amp;"")))</f>
        <v>Status: Confirmată – în pregătire</v>
      </c>
    </row>
  </sheetData>
  <mergeCells count="27">
    <mergeCell ref="B10:F10"/>
    <mergeCell ref="G7:J7"/>
    <mergeCell ref="G8:J8"/>
    <mergeCell ref="G9:J9"/>
    <mergeCell ref="G10:J10"/>
    <mergeCell ref="B3:J3"/>
    <mergeCell ref="B4:J4"/>
    <mergeCell ref="B7:F7"/>
    <mergeCell ref="B8:F8"/>
    <mergeCell ref="B9:F9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4:D24"/>
    <mergeCell ref="I26:J26"/>
    <mergeCell ref="B29:J29"/>
    <mergeCell ref="B30:J30"/>
    <mergeCell ref="B32:J32"/>
  </mergeCells>
  <printOptions horizontalCentered="1"/>
  <pageMargins left="0.7" right="0.7" top="0.75" bottom="0.75" header="0.3" footer="0.3"/>
  <pageSetup scale="85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E39F-2872-4FDA-BCCB-88986C678F87}">
  <sheetPr>
    <pageSetUpPr fitToPage="1"/>
  </sheetPr>
  <dimension ref="B1:ZZ1000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10.7109375" style="1" customWidth="1"/>
    <col min="4" max="4" width="20.7109375" style="1" customWidth="1"/>
    <col min="5" max="5" width="11.7109375" style="1" customWidth="1"/>
    <col min="6" max="6" width="12.7109375" style="1" customWidth="1"/>
    <col min="7" max="7" width="15.7109375" style="1" customWidth="1"/>
    <col min="8" max="8" width="20.7109375" style="1" customWidth="1"/>
    <col min="9" max="9" width="8.7109375" style="1" customWidth="1"/>
    <col min="10" max="10" width="10.7109375" style="1" customWidth="1"/>
    <col min="11" max="11" width="12.7109375" style="1" customWidth="1"/>
    <col min="12" max="13" width="10.7109375" style="1" customWidth="1"/>
    <col min="14" max="14" width="11.7109375" style="1" customWidth="1"/>
    <col min="15" max="15" width="10.7109375" style="1" customWidth="1"/>
    <col min="16" max="16" width="11.7109375" style="1" customWidth="1"/>
    <col min="17" max="18" width="9.7109375" style="1" customWidth="1"/>
    <col min="19" max="19" width="20.7109375" style="1" customWidth="1"/>
    <col min="20" max="20" width="30.7109375" style="1" customWidth="1"/>
    <col min="21" max="16384" width="11.42578125" style="1"/>
  </cols>
  <sheetData>
    <row r="1" spans="2:20" ht="21" x14ac:dyDescent="0.35">
      <c r="B1" s="2" t="s">
        <v>50</v>
      </c>
    </row>
    <row r="2" spans="2:20" x14ac:dyDescent="0.2">
      <c r="B2" s="3" t="s">
        <v>51</v>
      </c>
    </row>
    <row r="4" spans="2:20" ht="44.1" customHeight="1" x14ac:dyDescent="0.2"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8</v>
      </c>
      <c r="H4" s="7" t="s">
        <v>57</v>
      </c>
      <c r="I4" s="7" t="s">
        <v>58</v>
      </c>
      <c r="J4" s="7" t="s">
        <v>59</v>
      </c>
      <c r="K4" s="7" t="s">
        <v>13</v>
      </c>
      <c r="L4" s="7" t="s">
        <v>18</v>
      </c>
      <c r="M4" s="7" t="s">
        <v>60</v>
      </c>
      <c r="N4" s="7" t="s">
        <v>61</v>
      </c>
      <c r="O4" s="7" t="s">
        <v>62</v>
      </c>
      <c r="P4" s="7" t="s">
        <v>63</v>
      </c>
      <c r="Q4" s="7" t="s">
        <v>64</v>
      </c>
      <c r="R4" s="7" t="s">
        <v>65</v>
      </c>
      <c r="S4" s="7" t="s">
        <v>66</v>
      </c>
      <c r="T4" s="7" t="s">
        <v>67</v>
      </c>
    </row>
    <row r="5" spans="2:20" x14ac:dyDescent="0.2">
      <c r="B5" s="10">
        <v>315</v>
      </c>
      <c r="C5" s="11">
        <f>DATE(2026,9,29)</f>
        <v>46294</v>
      </c>
      <c r="D5" s="12" t="s">
        <v>68</v>
      </c>
      <c r="E5" s="12" t="s">
        <v>69</v>
      </c>
      <c r="F5" s="12" t="s">
        <v>70</v>
      </c>
      <c r="G5" s="12" t="s">
        <v>71</v>
      </c>
      <c r="H5" s="12" t="s">
        <v>72</v>
      </c>
      <c r="I5" s="10" t="s">
        <v>73</v>
      </c>
      <c r="J5" s="11">
        <f>DATE(2026,10,1)</f>
        <v>46296</v>
      </c>
      <c r="K5" s="13" t="s">
        <v>16</v>
      </c>
      <c r="L5" s="10" t="s">
        <v>19</v>
      </c>
      <c r="M5" s="11">
        <f>DATE(2026,9,30)</f>
        <v>46295</v>
      </c>
      <c r="N5" s="14">
        <f>IF(B5="","",SUMIF('Linii comandă'!$B$5:$B$1004,B5,'Linii comandă'!$K$5:$K$1004))</f>
        <v>3507</v>
      </c>
      <c r="O5" s="14">
        <f>IF(B5="","",SUMIF('Linii comandă'!$B$5:$B$1004,B5,'Linii comandă'!$L$5:$L$1004))</f>
        <v>736.47</v>
      </c>
      <c r="P5" s="14">
        <f t="shared" ref="P5:P68" si="0">IF(B5="","",N5+O5)</f>
        <v>4243.47</v>
      </c>
      <c r="Q5" s="15" t="str">
        <f>IF(OR(B5="",COUNTIF('Linii comandă'!$B$5:$B$1004,B5)=0),"",IF(SUMIF('Linii comandă'!$B$5:$B$1004,B5,'Linii comandă'!$N$5:$N$1004)&lt;=0,"Completă",IF(SUMIF('Linii comandă'!$B$5:$B$1004,B5,'Linii comandă'!$M$5:$M$1004)&gt;0,"Parțială","Nelivrată")))</f>
        <v>Completă</v>
      </c>
      <c r="R5" s="10" t="s">
        <v>74</v>
      </c>
      <c r="S5" s="15" t="str">
        <f t="shared" ref="S5:S68" ca="1" si="1">IF(B5="","",IF(L5="Anulată","Anulată",IF(AND(L5="Da",Q5&lt;&gt;"Completă",J5&lt;&gt;"",J5&lt;TODAY()),"Întârziată",IF(AND(Q5="Completă",R5&lt;&gt;""),"Facturată",IF(Q5="Completă","Livrată – de facturat",IF(L5&lt;&gt;"Da","Neconfirmată",IF(Q5="Parțială","Livrată parțial","Confirmată – în pregătire")))))))</f>
        <v>Facturată</v>
      </c>
      <c r="T5" s="16" t="str">
        <f ca="1">IF(AND(B5="",D5=""),"",IF(S5="Anulată","",TRIM(IF(COUNTIF($B$5:$B$304,B5)&gt;1,"Număr dublat. ","")&amp;IF(OR(C5="",D5="",H5="",J5="",K5=""),"Date incomplete. ","")&amp;IF(COUNTIF('Linii comandă'!$B$5:$B$1004,B5)=0,"Nicio linie de comandă. ","")&amp;IF(AND(L5&lt;&gt;"Da",C5&lt;&gt;"",TODAY()-C5&gt;ZileConf),"Neconfirmată de "&amp;(TODAY()-C5)&amp;" zile. ","")&amp;IF(S5="Întârziată","Termenul de livrare a trecut: "&amp;RIGHT("0"&amp;DAY(J5),2)&amp;"."&amp;RIGHT("0"&amp;MONTH(J5),2)&amp;"."&amp;YEAR(J5)&amp;". ","")&amp;IF(S5="Livrată – de facturat","Emite factura. ",""))))</f>
        <v/>
      </c>
    </row>
    <row r="6" spans="2:20" ht="25.5" x14ac:dyDescent="0.2">
      <c r="B6" s="10">
        <v>316</v>
      </c>
      <c r="C6" s="11">
        <f>DATE(2026,10,1)</f>
        <v>46296</v>
      </c>
      <c r="D6" s="12" t="s">
        <v>75</v>
      </c>
      <c r="E6" s="12" t="s">
        <v>76</v>
      </c>
      <c r="F6" s="12" t="s">
        <v>77</v>
      </c>
      <c r="G6" s="12" t="s">
        <v>78</v>
      </c>
      <c r="H6" s="12" t="s">
        <v>79</v>
      </c>
      <c r="I6" s="10"/>
      <c r="J6" s="11">
        <f>DATE(2026,10,5)</f>
        <v>46300</v>
      </c>
      <c r="K6" s="13" t="s">
        <v>17</v>
      </c>
      <c r="L6" s="10" t="s">
        <v>19</v>
      </c>
      <c r="M6" s="11">
        <f>DATE(2026,10,1)</f>
        <v>46296</v>
      </c>
      <c r="N6" s="14">
        <f>IF(B6="","",SUMIF('Linii comandă'!$B$5:$B$1004,B6,'Linii comandă'!$K$5:$K$1004))</f>
        <v>2346</v>
      </c>
      <c r="O6" s="14">
        <f>IF(B6="","",SUMIF('Linii comandă'!$B$5:$B$1004,B6,'Linii comandă'!$L$5:$L$1004))</f>
        <v>492.65999999999997</v>
      </c>
      <c r="P6" s="14">
        <f t="shared" si="0"/>
        <v>2838.66</v>
      </c>
      <c r="Q6" s="15" t="str">
        <f>IF(OR(B6="",COUNTIF('Linii comandă'!$B$5:$B$1004,B6)=0),"",IF(SUMIF('Linii comandă'!$B$5:$B$1004,B6,'Linii comandă'!$N$5:$N$1004)&lt;=0,"Completă",IF(SUMIF('Linii comandă'!$B$5:$B$1004,B6,'Linii comandă'!$M$5:$M$1004)&gt;0,"Parțială","Nelivrată")))</f>
        <v>Completă</v>
      </c>
      <c r="R6" s="10" t="s">
        <v>80</v>
      </c>
      <c r="S6" s="15" t="str">
        <f t="shared" ca="1" si="1"/>
        <v>Facturată</v>
      </c>
      <c r="T6" s="16" t="str">
        <f ca="1">IF(AND(B6="",D6=""),"",IF(S6="Anulată","",TRIM(IF(COUNTIF($B$5:$B$304,B6)&gt;1,"Număr dublat. ","")&amp;IF(OR(C6="",D6="",H6="",J6="",K6=""),"Date incomplete. ","")&amp;IF(COUNTIF('Linii comandă'!$B$5:$B$1004,B6)=0,"Nicio linie de comandă. ","")&amp;IF(AND(L6&lt;&gt;"Da",C6&lt;&gt;"",TODAY()-C6&gt;ZileConf),"Neconfirmată de "&amp;(TODAY()-C6)&amp;" zile. ","")&amp;IF(S6="Întârziată","Termenul de livrare a trecut: "&amp;RIGHT("0"&amp;DAY(J6),2)&amp;"."&amp;RIGHT("0"&amp;MONTH(J6),2)&amp;"."&amp;YEAR(J6)&amp;". ","")&amp;IF(S6="Livrată – de facturat","Emite factura. ",""))))</f>
        <v/>
      </c>
    </row>
    <row r="7" spans="2:20" ht="25.5" x14ac:dyDescent="0.2">
      <c r="B7" s="10">
        <v>317</v>
      </c>
      <c r="C7" s="11">
        <f>DATE(2026,10,5)</f>
        <v>46300</v>
      </c>
      <c r="D7" s="12" t="s">
        <v>81</v>
      </c>
      <c r="E7" s="12" t="s">
        <v>82</v>
      </c>
      <c r="F7" s="12" t="s">
        <v>83</v>
      </c>
      <c r="G7" s="12" t="s">
        <v>84</v>
      </c>
      <c r="H7" s="12" t="s">
        <v>85</v>
      </c>
      <c r="I7" s="10"/>
      <c r="J7" s="11">
        <f>DATE(2026,10,10)</f>
        <v>46305</v>
      </c>
      <c r="K7" s="13" t="s">
        <v>15</v>
      </c>
      <c r="L7" s="10" t="s">
        <v>19</v>
      </c>
      <c r="M7" s="11">
        <f>DATE(2026,10,5)</f>
        <v>46300</v>
      </c>
      <c r="N7" s="14">
        <f>IF(B7="","",SUMIF('Linii comandă'!$B$5:$B$1004,B7,'Linii comandă'!$K$5:$K$1004))</f>
        <v>2228</v>
      </c>
      <c r="O7" s="14">
        <f>IF(B7="","",SUMIF('Linii comandă'!$B$5:$B$1004,B7,'Linii comandă'!$L$5:$L$1004))</f>
        <v>467.88</v>
      </c>
      <c r="P7" s="14">
        <f t="shared" si="0"/>
        <v>2695.88</v>
      </c>
      <c r="Q7" s="15" t="str">
        <f>IF(OR(B7="",COUNTIF('Linii comandă'!$B$5:$B$1004,B7)=0),"",IF(SUMIF('Linii comandă'!$B$5:$B$1004,B7,'Linii comandă'!$N$5:$N$1004)&lt;=0,"Completă",IF(SUMIF('Linii comandă'!$B$5:$B$1004,B7,'Linii comandă'!$M$5:$M$1004)&gt;0,"Parțială","Nelivrată")))</f>
        <v>Parțială</v>
      </c>
      <c r="R7" s="10" t="s">
        <v>86</v>
      </c>
      <c r="S7" s="15" t="str">
        <f t="shared" ca="1" si="1"/>
        <v>Întârziată</v>
      </c>
      <c r="T7" s="16" t="str">
        <f ca="1">IF(AND(B7="",D7=""),"",IF(S7="Anulată","",TRIM(IF(COUNTIF($B$5:$B$304,B7)&gt;1,"Număr dublat. ","")&amp;IF(OR(C7="",D7="",H7="",J7="",K7=""),"Date incomplete. ","")&amp;IF(COUNTIF('Linii comandă'!$B$5:$B$1004,B7)=0,"Nicio linie de comandă. ","")&amp;IF(AND(L7&lt;&gt;"Da",C7&lt;&gt;"",TODAY()-C7&gt;ZileConf),"Neconfirmată de "&amp;(TODAY()-C7)&amp;" zile. ","")&amp;IF(S7="Întârziată","Termenul de livrare a trecut: "&amp;RIGHT("0"&amp;DAY(J7),2)&amp;"."&amp;RIGHT("0"&amp;MONTH(J7),2)&amp;"."&amp;YEAR(J7)&amp;". ","")&amp;IF(S7="Livrată – de facturat","Emite factura. ",""))))</f>
        <v>Termenul de livrare a trecut: 10.10.2026.</v>
      </c>
    </row>
    <row r="8" spans="2:20" ht="25.5" x14ac:dyDescent="0.2">
      <c r="B8" s="10">
        <v>318</v>
      </c>
      <c r="C8" s="11">
        <f>DATE(2026,10,9)</f>
        <v>46304</v>
      </c>
      <c r="D8" s="12" t="s">
        <v>87</v>
      </c>
      <c r="E8" s="12" t="s">
        <v>88</v>
      </c>
      <c r="F8" s="12" t="s">
        <v>89</v>
      </c>
      <c r="G8" s="12" t="s">
        <v>90</v>
      </c>
      <c r="H8" s="12" t="s">
        <v>91</v>
      </c>
      <c r="I8" s="10" t="s">
        <v>92</v>
      </c>
      <c r="J8" s="11">
        <f>DATE(2026,10,16)</f>
        <v>46311</v>
      </c>
      <c r="K8" s="13" t="s">
        <v>16</v>
      </c>
      <c r="L8" s="10" t="s">
        <v>20</v>
      </c>
      <c r="M8" s="11"/>
      <c r="N8" s="14">
        <f>IF(B8="","",SUMIF('Linii comandă'!$B$5:$B$1004,B8,'Linii comandă'!$K$5:$K$1004))</f>
        <v>3110.2</v>
      </c>
      <c r="O8" s="14">
        <f>IF(B8="","",SUMIF('Linii comandă'!$B$5:$B$1004,B8,'Linii comandă'!$L$5:$L$1004))</f>
        <v>653.14</v>
      </c>
      <c r="P8" s="14">
        <f t="shared" si="0"/>
        <v>3763.3399999999997</v>
      </c>
      <c r="Q8" s="15" t="str">
        <f>IF(OR(B8="",COUNTIF('Linii comandă'!$B$5:$B$1004,B8)=0),"",IF(SUMIF('Linii comandă'!$B$5:$B$1004,B8,'Linii comandă'!$N$5:$N$1004)&lt;=0,"Completă",IF(SUMIF('Linii comandă'!$B$5:$B$1004,B8,'Linii comandă'!$M$5:$M$1004)&gt;0,"Parțială","Nelivrată")))</f>
        <v>Nelivrată</v>
      </c>
      <c r="R8" s="10"/>
      <c r="S8" s="15" t="str">
        <f t="shared" ca="1" si="1"/>
        <v>Neconfirmată</v>
      </c>
      <c r="T8" s="16" t="str">
        <f ca="1">IF(AND(B8="",D8=""),"",IF(S8="Anulată","",TRIM(IF(COUNTIF($B$5:$B$304,B8)&gt;1,"Număr dublat. ","")&amp;IF(OR(C8="",D8="",H8="",J8="",K8=""),"Date incomplete. ","")&amp;IF(COUNTIF('Linii comandă'!$B$5:$B$1004,B8)=0,"Nicio linie de comandă. ","")&amp;IF(AND(L8&lt;&gt;"Da",C8&lt;&gt;"",TODAY()-C8&gt;ZileConf),"Neconfirmată de "&amp;(TODAY()-C8)&amp;" zile. ","")&amp;IF(S8="Întârziată","Termenul de livrare a trecut: "&amp;RIGHT("0"&amp;DAY(J8),2)&amp;"."&amp;RIGHT("0"&amp;MONTH(J8),2)&amp;"."&amp;YEAR(J8)&amp;". ","")&amp;IF(S8="Livrată – de facturat","Emite factura. ",""))))</f>
        <v>Neconfirmată de 4 zile.</v>
      </c>
    </row>
    <row r="9" spans="2:20" ht="25.5" x14ac:dyDescent="0.2">
      <c r="B9" s="10">
        <v>319</v>
      </c>
      <c r="C9" s="11">
        <f>DATE(2026,10,12)</f>
        <v>46307</v>
      </c>
      <c r="D9" s="12" t="s">
        <v>93</v>
      </c>
      <c r="E9" s="12" t="s">
        <v>94</v>
      </c>
      <c r="F9" s="12" t="s">
        <v>95</v>
      </c>
      <c r="G9" s="12" t="s">
        <v>96</v>
      </c>
      <c r="H9" s="12" t="s">
        <v>97</v>
      </c>
      <c r="I9" s="10"/>
      <c r="J9" s="11">
        <f>DATE(2026,10,20)</f>
        <v>46315</v>
      </c>
      <c r="K9" s="13" t="s">
        <v>14</v>
      </c>
      <c r="L9" s="10" t="s">
        <v>19</v>
      </c>
      <c r="M9" s="11">
        <f>DATE(2026,10,12)</f>
        <v>46307</v>
      </c>
      <c r="N9" s="14">
        <f>IF(B9="","",SUMIF('Linii comandă'!$B$5:$B$1004,B9,'Linii comandă'!$K$5:$K$1004))</f>
        <v>1365.2</v>
      </c>
      <c r="O9" s="14">
        <f>IF(B9="","",SUMIF('Linii comandă'!$B$5:$B$1004,B9,'Linii comandă'!$L$5:$L$1004))</f>
        <v>286.69</v>
      </c>
      <c r="P9" s="14">
        <f t="shared" si="0"/>
        <v>1651.89</v>
      </c>
      <c r="Q9" s="15" t="str">
        <f>IF(OR(B9="",COUNTIF('Linii comandă'!$B$5:$B$1004,B9)=0),"",IF(SUMIF('Linii comandă'!$B$5:$B$1004,B9,'Linii comandă'!$N$5:$N$1004)&lt;=0,"Completă",IF(SUMIF('Linii comandă'!$B$5:$B$1004,B9,'Linii comandă'!$M$5:$M$1004)&gt;0,"Parțială","Nelivrată")))</f>
        <v>Nelivrată</v>
      </c>
      <c r="R9" s="10"/>
      <c r="S9" s="15" t="str">
        <f t="shared" ca="1" si="1"/>
        <v>Confirmată – în pregătire</v>
      </c>
      <c r="T9" s="16" t="str">
        <f ca="1">IF(AND(B9="",D9=""),"",IF(S9="Anulată","",TRIM(IF(COUNTIF($B$5:$B$304,B9)&gt;1,"Număr dublat. ","")&amp;IF(OR(C9="",D9="",H9="",J9="",K9=""),"Date incomplete. ","")&amp;IF(COUNTIF('Linii comandă'!$B$5:$B$1004,B9)=0,"Nicio linie de comandă. ","")&amp;IF(AND(L9&lt;&gt;"Da",C9&lt;&gt;"",TODAY()-C9&gt;ZileConf),"Neconfirmată de "&amp;(TODAY()-C9)&amp;" zile. ","")&amp;IF(S9="Întârziată","Termenul de livrare a trecut: "&amp;RIGHT("0"&amp;DAY(J9),2)&amp;"."&amp;RIGHT("0"&amp;MONTH(J9),2)&amp;"."&amp;YEAR(J9)&amp;". ","")&amp;IF(S9="Livrată – de facturat","Emite factura. ",""))))</f>
        <v/>
      </c>
    </row>
    <row r="10" spans="2:20" x14ac:dyDescent="0.2">
      <c r="B10" s="10" t="str">
        <f>IF(D10="","",MAX($B$5:B9)+1)</f>
        <v/>
      </c>
      <c r="C10" s="11"/>
      <c r="D10" s="12"/>
      <c r="E10" s="12"/>
      <c r="F10" s="12"/>
      <c r="G10" s="12"/>
      <c r="H10" s="12"/>
      <c r="I10" s="10"/>
      <c r="J10" s="11"/>
      <c r="K10" s="13"/>
      <c r="L10" s="10"/>
      <c r="M10" s="11"/>
      <c r="N10" s="14" t="str">
        <f>IF(B10="","",SUMIF('Linii comandă'!$B$5:$B$1004,B10,'Linii comandă'!$K$5:$K$1004))</f>
        <v/>
      </c>
      <c r="O10" s="14" t="str">
        <f>IF(B10="","",SUMIF('Linii comandă'!$B$5:$B$1004,B10,'Linii comandă'!$L$5:$L$1004))</f>
        <v/>
      </c>
      <c r="P10" s="14" t="str">
        <f t="shared" si="0"/>
        <v/>
      </c>
      <c r="Q10" s="15" t="str">
        <f>IF(OR(B10="",COUNTIF('Linii comandă'!$B$5:$B$1004,B10)=0),"",IF(SUMIF('Linii comandă'!$B$5:$B$1004,B10,'Linii comandă'!$N$5:$N$1004)&lt;=0,"Completă",IF(SUMIF('Linii comandă'!$B$5:$B$1004,B10,'Linii comandă'!$M$5:$M$1004)&gt;0,"Parțială","Nelivrată")))</f>
        <v/>
      </c>
      <c r="R10" s="10"/>
      <c r="S10" s="15" t="str">
        <f t="shared" ca="1" si="1"/>
        <v/>
      </c>
      <c r="T10" s="16" t="str">
        <f ca="1">IF(AND(B10="",D10=""),"",IF(S10="Anulată","",TRIM(IF(COUNTIF($B$5:$B$304,B10)&gt;1,"Număr dublat. ","")&amp;IF(OR(C10="",D10="",H10="",J10="",K10=""),"Date incomplete. ","")&amp;IF(COUNTIF('Linii comandă'!$B$5:$B$1004,B10)=0,"Nicio linie de comandă. ","")&amp;IF(AND(L10&lt;&gt;"Da",C10&lt;&gt;"",TODAY()-C10&gt;ZileConf),"Neconfirmată de "&amp;(TODAY()-C10)&amp;" zile. ","")&amp;IF(S10="Întârziată","Termenul de livrare a trecut: "&amp;RIGHT("0"&amp;DAY(J10),2)&amp;"."&amp;RIGHT("0"&amp;MONTH(J10),2)&amp;"."&amp;YEAR(J10)&amp;". ","")&amp;IF(S10="Livrată – de facturat","Emite factura. ",""))))</f>
        <v/>
      </c>
    </row>
    <row r="11" spans="2:20" x14ac:dyDescent="0.2">
      <c r="B11" s="10" t="str">
        <f>IF(D11="","",MAX($B$5:B10)+1)</f>
        <v/>
      </c>
      <c r="C11" s="11"/>
      <c r="D11" s="12"/>
      <c r="E11" s="12"/>
      <c r="F11" s="12"/>
      <c r="G11" s="12"/>
      <c r="H11" s="12"/>
      <c r="I11" s="10"/>
      <c r="J11" s="11"/>
      <c r="K11" s="13"/>
      <c r="L11" s="10"/>
      <c r="M11" s="11"/>
      <c r="N11" s="14" t="str">
        <f>IF(B11="","",SUMIF('Linii comandă'!$B$5:$B$1004,B11,'Linii comandă'!$K$5:$K$1004))</f>
        <v/>
      </c>
      <c r="O11" s="14" t="str">
        <f>IF(B11="","",SUMIF('Linii comandă'!$B$5:$B$1004,B11,'Linii comandă'!$L$5:$L$1004))</f>
        <v/>
      </c>
      <c r="P11" s="14" t="str">
        <f t="shared" si="0"/>
        <v/>
      </c>
      <c r="Q11" s="15" t="str">
        <f>IF(OR(B11="",COUNTIF('Linii comandă'!$B$5:$B$1004,B11)=0),"",IF(SUMIF('Linii comandă'!$B$5:$B$1004,B11,'Linii comandă'!$N$5:$N$1004)&lt;=0,"Completă",IF(SUMIF('Linii comandă'!$B$5:$B$1004,B11,'Linii comandă'!$M$5:$M$1004)&gt;0,"Parțială","Nelivrată")))</f>
        <v/>
      </c>
      <c r="R11" s="10"/>
      <c r="S11" s="15" t="str">
        <f t="shared" ca="1" si="1"/>
        <v/>
      </c>
      <c r="T11" s="16" t="str">
        <f ca="1">IF(AND(B11="",D11=""),"",IF(S11="Anulată","",TRIM(IF(COUNTIF($B$5:$B$304,B11)&gt;1,"Număr dublat. ","")&amp;IF(OR(C11="",D11="",H11="",J11="",K11=""),"Date incomplete. ","")&amp;IF(COUNTIF('Linii comandă'!$B$5:$B$1004,B11)=0,"Nicio linie de comandă. ","")&amp;IF(AND(L11&lt;&gt;"Da",C11&lt;&gt;"",TODAY()-C11&gt;ZileConf),"Neconfirmată de "&amp;(TODAY()-C11)&amp;" zile. ","")&amp;IF(S11="Întârziată","Termenul de livrare a trecut: "&amp;RIGHT("0"&amp;DAY(J11),2)&amp;"."&amp;RIGHT("0"&amp;MONTH(J11),2)&amp;"."&amp;YEAR(J11)&amp;". ","")&amp;IF(S11="Livrată – de facturat","Emite factura. ",""))))</f>
        <v/>
      </c>
    </row>
    <row r="12" spans="2:20" x14ac:dyDescent="0.2">
      <c r="B12" s="10" t="str">
        <f>IF(D12="","",MAX($B$5:B11)+1)</f>
        <v/>
      </c>
      <c r="C12" s="11"/>
      <c r="D12" s="12"/>
      <c r="E12" s="12"/>
      <c r="F12" s="12"/>
      <c r="G12" s="12"/>
      <c r="H12" s="12"/>
      <c r="I12" s="10"/>
      <c r="J12" s="11"/>
      <c r="K12" s="13"/>
      <c r="L12" s="10"/>
      <c r="M12" s="11"/>
      <c r="N12" s="14" t="str">
        <f>IF(B12="","",SUMIF('Linii comandă'!$B$5:$B$1004,B12,'Linii comandă'!$K$5:$K$1004))</f>
        <v/>
      </c>
      <c r="O12" s="14" t="str">
        <f>IF(B12="","",SUMIF('Linii comandă'!$B$5:$B$1004,B12,'Linii comandă'!$L$5:$L$1004))</f>
        <v/>
      </c>
      <c r="P12" s="14" t="str">
        <f t="shared" si="0"/>
        <v/>
      </c>
      <c r="Q12" s="15" t="str">
        <f>IF(OR(B12="",COUNTIF('Linii comandă'!$B$5:$B$1004,B12)=0),"",IF(SUMIF('Linii comandă'!$B$5:$B$1004,B12,'Linii comandă'!$N$5:$N$1004)&lt;=0,"Completă",IF(SUMIF('Linii comandă'!$B$5:$B$1004,B12,'Linii comandă'!$M$5:$M$1004)&gt;0,"Parțială","Nelivrată")))</f>
        <v/>
      </c>
      <c r="R12" s="10"/>
      <c r="S12" s="15" t="str">
        <f t="shared" ca="1" si="1"/>
        <v/>
      </c>
      <c r="T12" s="16" t="str">
        <f ca="1">IF(AND(B12="",D12=""),"",IF(S12="Anulată","",TRIM(IF(COUNTIF($B$5:$B$304,B12)&gt;1,"Număr dublat. ","")&amp;IF(OR(C12="",D12="",H12="",J12="",K12=""),"Date incomplete. ","")&amp;IF(COUNTIF('Linii comandă'!$B$5:$B$1004,B12)=0,"Nicio linie de comandă. ","")&amp;IF(AND(L12&lt;&gt;"Da",C12&lt;&gt;"",TODAY()-C12&gt;ZileConf),"Neconfirmată de "&amp;(TODAY()-C12)&amp;" zile. ","")&amp;IF(S12="Întârziată","Termenul de livrare a trecut: "&amp;RIGHT("0"&amp;DAY(J12),2)&amp;"."&amp;RIGHT("0"&amp;MONTH(J12),2)&amp;"."&amp;YEAR(J12)&amp;". ","")&amp;IF(S12="Livrată – de facturat","Emite factura. ",""))))</f>
        <v/>
      </c>
    </row>
    <row r="13" spans="2:20" x14ac:dyDescent="0.2">
      <c r="B13" s="10" t="str">
        <f>IF(D13="","",MAX($B$5:B12)+1)</f>
        <v/>
      </c>
      <c r="C13" s="11"/>
      <c r="D13" s="12"/>
      <c r="E13" s="12"/>
      <c r="F13" s="12"/>
      <c r="G13" s="12"/>
      <c r="H13" s="12"/>
      <c r="I13" s="10"/>
      <c r="J13" s="11"/>
      <c r="K13" s="13"/>
      <c r="L13" s="10"/>
      <c r="M13" s="11"/>
      <c r="N13" s="14" t="str">
        <f>IF(B13="","",SUMIF('Linii comandă'!$B$5:$B$1004,B13,'Linii comandă'!$K$5:$K$1004))</f>
        <v/>
      </c>
      <c r="O13" s="14" t="str">
        <f>IF(B13="","",SUMIF('Linii comandă'!$B$5:$B$1004,B13,'Linii comandă'!$L$5:$L$1004))</f>
        <v/>
      </c>
      <c r="P13" s="14" t="str">
        <f t="shared" si="0"/>
        <v/>
      </c>
      <c r="Q13" s="15" t="str">
        <f>IF(OR(B13="",COUNTIF('Linii comandă'!$B$5:$B$1004,B13)=0),"",IF(SUMIF('Linii comandă'!$B$5:$B$1004,B13,'Linii comandă'!$N$5:$N$1004)&lt;=0,"Completă",IF(SUMIF('Linii comandă'!$B$5:$B$1004,B13,'Linii comandă'!$M$5:$M$1004)&gt;0,"Parțială","Nelivrată")))</f>
        <v/>
      </c>
      <c r="R13" s="10"/>
      <c r="S13" s="15" t="str">
        <f t="shared" ca="1" si="1"/>
        <v/>
      </c>
      <c r="T13" s="16" t="str">
        <f ca="1">IF(AND(B13="",D13=""),"",IF(S13="Anulată","",TRIM(IF(COUNTIF($B$5:$B$304,B13)&gt;1,"Număr dublat. ","")&amp;IF(OR(C13="",D13="",H13="",J13="",K13=""),"Date incomplete. ","")&amp;IF(COUNTIF('Linii comandă'!$B$5:$B$1004,B13)=0,"Nicio linie de comandă. ","")&amp;IF(AND(L13&lt;&gt;"Da",C13&lt;&gt;"",TODAY()-C13&gt;ZileConf),"Neconfirmată de "&amp;(TODAY()-C13)&amp;" zile. ","")&amp;IF(S13="Întârziată","Termenul de livrare a trecut: "&amp;RIGHT("0"&amp;DAY(J13),2)&amp;"."&amp;RIGHT("0"&amp;MONTH(J13),2)&amp;"."&amp;YEAR(J13)&amp;". ","")&amp;IF(S13="Livrată – de facturat","Emite factura. ",""))))</f>
        <v/>
      </c>
    </row>
    <row r="14" spans="2:20" x14ac:dyDescent="0.2">
      <c r="B14" s="10" t="str">
        <f>IF(D14="","",MAX($B$5:B13)+1)</f>
        <v/>
      </c>
      <c r="C14" s="11"/>
      <c r="D14" s="12"/>
      <c r="E14" s="12"/>
      <c r="F14" s="12"/>
      <c r="G14" s="12"/>
      <c r="H14" s="12"/>
      <c r="I14" s="10"/>
      <c r="J14" s="11"/>
      <c r="K14" s="13"/>
      <c r="L14" s="10"/>
      <c r="M14" s="11"/>
      <c r="N14" s="14" t="str">
        <f>IF(B14="","",SUMIF('Linii comandă'!$B$5:$B$1004,B14,'Linii comandă'!$K$5:$K$1004))</f>
        <v/>
      </c>
      <c r="O14" s="14" t="str">
        <f>IF(B14="","",SUMIF('Linii comandă'!$B$5:$B$1004,B14,'Linii comandă'!$L$5:$L$1004))</f>
        <v/>
      </c>
      <c r="P14" s="14" t="str">
        <f t="shared" si="0"/>
        <v/>
      </c>
      <c r="Q14" s="15" t="str">
        <f>IF(OR(B14="",COUNTIF('Linii comandă'!$B$5:$B$1004,B14)=0),"",IF(SUMIF('Linii comandă'!$B$5:$B$1004,B14,'Linii comandă'!$N$5:$N$1004)&lt;=0,"Completă",IF(SUMIF('Linii comandă'!$B$5:$B$1004,B14,'Linii comandă'!$M$5:$M$1004)&gt;0,"Parțială","Nelivrată")))</f>
        <v/>
      </c>
      <c r="R14" s="10"/>
      <c r="S14" s="15" t="str">
        <f t="shared" ca="1" si="1"/>
        <v/>
      </c>
      <c r="T14" s="16" t="str">
        <f ca="1">IF(AND(B14="",D14=""),"",IF(S14="Anulată","",TRIM(IF(COUNTIF($B$5:$B$304,B14)&gt;1,"Număr dublat. ","")&amp;IF(OR(C14="",D14="",H14="",J14="",K14=""),"Date incomplete. ","")&amp;IF(COUNTIF('Linii comandă'!$B$5:$B$1004,B14)=0,"Nicio linie de comandă. ","")&amp;IF(AND(L14&lt;&gt;"Da",C14&lt;&gt;"",TODAY()-C14&gt;ZileConf),"Neconfirmată de "&amp;(TODAY()-C14)&amp;" zile. ","")&amp;IF(S14="Întârziată","Termenul de livrare a trecut: "&amp;RIGHT("0"&amp;DAY(J14),2)&amp;"."&amp;RIGHT("0"&amp;MONTH(J14),2)&amp;"."&amp;YEAR(J14)&amp;". ","")&amp;IF(S14="Livrată – de facturat","Emite factura. ",""))))</f>
        <v/>
      </c>
    </row>
    <row r="15" spans="2:20" x14ac:dyDescent="0.2">
      <c r="B15" s="10" t="str">
        <f>IF(D15="","",MAX($B$5:B14)+1)</f>
        <v/>
      </c>
      <c r="C15" s="11"/>
      <c r="D15" s="12"/>
      <c r="E15" s="12"/>
      <c r="F15" s="12"/>
      <c r="G15" s="12"/>
      <c r="H15" s="12"/>
      <c r="I15" s="10"/>
      <c r="J15" s="11"/>
      <c r="K15" s="13"/>
      <c r="L15" s="10"/>
      <c r="M15" s="11"/>
      <c r="N15" s="14" t="str">
        <f>IF(B15="","",SUMIF('Linii comandă'!$B$5:$B$1004,B15,'Linii comandă'!$K$5:$K$1004))</f>
        <v/>
      </c>
      <c r="O15" s="14" t="str">
        <f>IF(B15="","",SUMIF('Linii comandă'!$B$5:$B$1004,B15,'Linii comandă'!$L$5:$L$1004))</f>
        <v/>
      </c>
      <c r="P15" s="14" t="str">
        <f t="shared" si="0"/>
        <v/>
      </c>
      <c r="Q15" s="15" t="str">
        <f>IF(OR(B15="",COUNTIF('Linii comandă'!$B$5:$B$1004,B15)=0),"",IF(SUMIF('Linii comandă'!$B$5:$B$1004,B15,'Linii comandă'!$N$5:$N$1004)&lt;=0,"Completă",IF(SUMIF('Linii comandă'!$B$5:$B$1004,B15,'Linii comandă'!$M$5:$M$1004)&gt;0,"Parțială","Nelivrată")))</f>
        <v/>
      </c>
      <c r="R15" s="10"/>
      <c r="S15" s="15" t="str">
        <f t="shared" ca="1" si="1"/>
        <v/>
      </c>
      <c r="T15" s="16" t="str">
        <f ca="1">IF(AND(B15="",D15=""),"",IF(S15="Anulată","",TRIM(IF(COUNTIF($B$5:$B$304,B15)&gt;1,"Număr dublat. ","")&amp;IF(OR(C15="",D15="",H15="",J15="",K15=""),"Date incomplete. ","")&amp;IF(COUNTIF('Linii comandă'!$B$5:$B$1004,B15)=0,"Nicio linie de comandă. ","")&amp;IF(AND(L15&lt;&gt;"Da",C15&lt;&gt;"",TODAY()-C15&gt;ZileConf),"Neconfirmată de "&amp;(TODAY()-C15)&amp;" zile. ","")&amp;IF(S15="Întârziată","Termenul de livrare a trecut: "&amp;RIGHT("0"&amp;DAY(J15),2)&amp;"."&amp;RIGHT("0"&amp;MONTH(J15),2)&amp;"."&amp;YEAR(J15)&amp;". ","")&amp;IF(S15="Livrată – de facturat","Emite factura. ",""))))</f>
        <v/>
      </c>
    </row>
    <row r="16" spans="2:20" x14ac:dyDescent="0.2">
      <c r="B16" s="10" t="str">
        <f>IF(D16="","",MAX($B$5:B15)+1)</f>
        <v/>
      </c>
      <c r="C16" s="11"/>
      <c r="D16" s="12"/>
      <c r="E16" s="12"/>
      <c r="F16" s="12"/>
      <c r="G16" s="12"/>
      <c r="H16" s="12"/>
      <c r="I16" s="10"/>
      <c r="J16" s="11"/>
      <c r="K16" s="13"/>
      <c r="L16" s="10"/>
      <c r="M16" s="11"/>
      <c r="N16" s="14" t="str">
        <f>IF(B16="","",SUMIF('Linii comandă'!$B$5:$B$1004,B16,'Linii comandă'!$K$5:$K$1004))</f>
        <v/>
      </c>
      <c r="O16" s="14" t="str">
        <f>IF(B16="","",SUMIF('Linii comandă'!$B$5:$B$1004,B16,'Linii comandă'!$L$5:$L$1004))</f>
        <v/>
      </c>
      <c r="P16" s="14" t="str">
        <f t="shared" si="0"/>
        <v/>
      </c>
      <c r="Q16" s="15" t="str">
        <f>IF(OR(B16="",COUNTIF('Linii comandă'!$B$5:$B$1004,B16)=0),"",IF(SUMIF('Linii comandă'!$B$5:$B$1004,B16,'Linii comandă'!$N$5:$N$1004)&lt;=0,"Completă",IF(SUMIF('Linii comandă'!$B$5:$B$1004,B16,'Linii comandă'!$M$5:$M$1004)&gt;0,"Parțială","Nelivrată")))</f>
        <v/>
      </c>
      <c r="R16" s="10"/>
      <c r="S16" s="15" t="str">
        <f t="shared" ca="1" si="1"/>
        <v/>
      </c>
      <c r="T16" s="16" t="str">
        <f ca="1">IF(AND(B16="",D16=""),"",IF(S16="Anulată","",TRIM(IF(COUNTIF($B$5:$B$304,B16)&gt;1,"Număr dublat. ","")&amp;IF(OR(C16="",D16="",H16="",J16="",K16=""),"Date incomplete. ","")&amp;IF(COUNTIF('Linii comandă'!$B$5:$B$1004,B16)=0,"Nicio linie de comandă. ","")&amp;IF(AND(L16&lt;&gt;"Da",C16&lt;&gt;"",TODAY()-C16&gt;ZileConf),"Neconfirmată de "&amp;(TODAY()-C16)&amp;" zile. ","")&amp;IF(S16="Întârziată","Termenul de livrare a trecut: "&amp;RIGHT("0"&amp;DAY(J16),2)&amp;"."&amp;RIGHT("0"&amp;MONTH(J16),2)&amp;"."&amp;YEAR(J16)&amp;". ","")&amp;IF(S16="Livrată – de facturat","Emite factura. ",""))))</f>
        <v/>
      </c>
    </row>
    <row r="17" spans="2:20" x14ac:dyDescent="0.2">
      <c r="B17" s="10" t="str">
        <f>IF(D17="","",MAX($B$5:B16)+1)</f>
        <v/>
      </c>
      <c r="C17" s="11"/>
      <c r="D17" s="12"/>
      <c r="E17" s="12"/>
      <c r="F17" s="12"/>
      <c r="G17" s="12"/>
      <c r="H17" s="12"/>
      <c r="I17" s="10"/>
      <c r="J17" s="11"/>
      <c r="K17" s="13"/>
      <c r="L17" s="10"/>
      <c r="M17" s="11"/>
      <c r="N17" s="14" t="str">
        <f>IF(B17="","",SUMIF('Linii comandă'!$B$5:$B$1004,B17,'Linii comandă'!$K$5:$K$1004))</f>
        <v/>
      </c>
      <c r="O17" s="14" t="str">
        <f>IF(B17="","",SUMIF('Linii comandă'!$B$5:$B$1004,B17,'Linii comandă'!$L$5:$L$1004))</f>
        <v/>
      </c>
      <c r="P17" s="14" t="str">
        <f t="shared" si="0"/>
        <v/>
      </c>
      <c r="Q17" s="15" t="str">
        <f>IF(OR(B17="",COUNTIF('Linii comandă'!$B$5:$B$1004,B17)=0),"",IF(SUMIF('Linii comandă'!$B$5:$B$1004,B17,'Linii comandă'!$N$5:$N$1004)&lt;=0,"Completă",IF(SUMIF('Linii comandă'!$B$5:$B$1004,B17,'Linii comandă'!$M$5:$M$1004)&gt;0,"Parțială","Nelivrată")))</f>
        <v/>
      </c>
      <c r="R17" s="10"/>
      <c r="S17" s="15" t="str">
        <f t="shared" ca="1" si="1"/>
        <v/>
      </c>
      <c r="T17" s="16" t="str">
        <f ca="1">IF(AND(B17="",D17=""),"",IF(S17="Anulată","",TRIM(IF(COUNTIF($B$5:$B$304,B17)&gt;1,"Număr dublat. ","")&amp;IF(OR(C17="",D17="",H17="",J17="",K17=""),"Date incomplete. ","")&amp;IF(COUNTIF('Linii comandă'!$B$5:$B$1004,B17)=0,"Nicio linie de comandă. ","")&amp;IF(AND(L17&lt;&gt;"Da",C17&lt;&gt;"",TODAY()-C17&gt;ZileConf),"Neconfirmată de "&amp;(TODAY()-C17)&amp;" zile. ","")&amp;IF(S17="Întârziată","Termenul de livrare a trecut: "&amp;RIGHT("0"&amp;DAY(J17),2)&amp;"."&amp;RIGHT("0"&amp;MONTH(J17),2)&amp;"."&amp;YEAR(J17)&amp;". ","")&amp;IF(S17="Livrată – de facturat","Emite factura. ",""))))</f>
        <v/>
      </c>
    </row>
    <row r="18" spans="2:20" x14ac:dyDescent="0.2">
      <c r="B18" s="10" t="str">
        <f>IF(D18="","",MAX($B$5:B17)+1)</f>
        <v/>
      </c>
      <c r="C18" s="11"/>
      <c r="D18" s="12"/>
      <c r="E18" s="12"/>
      <c r="F18" s="12"/>
      <c r="G18" s="12"/>
      <c r="H18" s="12"/>
      <c r="I18" s="10"/>
      <c r="J18" s="11"/>
      <c r="K18" s="13"/>
      <c r="L18" s="10"/>
      <c r="M18" s="11"/>
      <c r="N18" s="14" t="str">
        <f>IF(B18="","",SUMIF('Linii comandă'!$B$5:$B$1004,B18,'Linii comandă'!$K$5:$K$1004))</f>
        <v/>
      </c>
      <c r="O18" s="14" t="str">
        <f>IF(B18="","",SUMIF('Linii comandă'!$B$5:$B$1004,B18,'Linii comandă'!$L$5:$L$1004))</f>
        <v/>
      </c>
      <c r="P18" s="14" t="str">
        <f t="shared" si="0"/>
        <v/>
      </c>
      <c r="Q18" s="15" t="str">
        <f>IF(OR(B18="",COUNTIF('Linii comandă'!$B$5:$B$1004,B18)=0),"",IF(SUMIF('Linii comandă'!$B$5:$B$1004,B18,'Linii comandă'!$N$5:$N$1004)&lt;=0,"Completă",IF(SUMIF('Linii comandă'!$B$5:$B$1004,B18,'Linii comandă'!$M$5:$M$1004)&gt;0,"Parțială","Nelivrată")))</f>
        <v/>
      </c>
      <c r="R18" s="10"/>
      <c r="S18" s="15" t="str">
        <f t="shared" ca="1" si="1"/>
        <v/>
      </c>
      <c r="T18" s="16" t="str">
        <f ca="1">IF(AND(B18="",D18=""),"",IF(S18="Anulată","",TRIM(IF(COUNTIF($B$5:$B$304,B18)&gt;1,"Număr dublat. ","")&amp;IF(OR(C18="",D18="",H18="",J18="",K18=""),"Date incomplete. ","")&amp;IF(COUNTIF('Linii comandă'!$B$5:$B$1004,B18)=0,"Nicio linie de comandă. ","")&amp;IF(AND(L18&lt;&gt;"Da",C18&lt;&gt;"",TODAY()-C18&gt;ZileConf),"Neconfirmată de "&amp;(TODAY()-C18)&amp;" zile. ","")&amp;IF(S18="Întârziată","Termenul de livrare a trecut: "&amp;RIGHT("0"&amp;DAY(J18),2)&amp;"."&amp;RIGHT("0"&amp;MONTH(J18),2)&amp;"."&amp;YEAR(J18)&amp;". ","")&amp;IF(S18="Livrată – de facturat","Emite factura. ",""))))</f>
        <v/>
      </c>
    </row>
    <row r="19" spans="2:20" x14ac:dyDescent="0.2">
      <c r="B19" s="10" t="str">
        <f>IF(D19="","",MAX($B$5:B18)+1)</f>
        <v/>
      </c>
      <c r="C19" s="11"/>
      <c r="D19" s="12"/>
      <c r="E19" s="12"/>
      <c r="F19" s="12"/>
      <c r="G19" s="12"/>
      <c r="H19" s="12"/>
      <c r="I19" s="10"/>
      <c r="J19" s="11"/>
      <c r="K19" s="13"/>
      <c r="L19" s="10"/>
      <c r="M19" s="11"/>
      <c r="N19" s="14" t="str">
        <f>IF(B19="","",SUMIF('Linii comandă'!$B$5:$B$1004,B19,'Linii comandă'!$K$5:$K$1004))</f>
        <v/>
      </c>
      <c r="O19" s="14" t="str">
        <f>IF(B19="","",SUMIF('Linii comandă'!$B$5:$B$1004,B19,'Linii comandă'!$L$5:$L$1004))</f>
        <v/>
      </c>
      <c r="P19" s="14" t="str">
        <f t="shared" si="0"/>
        <v/>
      </c>
      <c r="Q19" s="15" t="str">
        <f>IF(OR(B19="",COUNTIF('Linii comandă'!$B$5:$B$1004,B19)=0),"",IF(SUMIF('Linii comandă'!$B$5:$B$1004,B19,'Linii comandă'!$N$5:$N$1004)&lt;=0,"Completă",IF(SUMIF('Linii comandă'!$B$5:$B$1004,B19,'Linii comandă'!$M$5:$M$1004)&gt;0,"Parțială","Nelivrată")))</f>
        <v/>
      </c>
      <c r="R19" s="10"/>
      <c r="S19" s="15" t="str">
        <f t="shared" ca="1" si="1"/>
        <v/>
      </c>
      <c r="T19" s="16" t="str">
        <f ca="1">IF(AND(B19="",D19=""),"",IF(S19="Anulată","",TRIM(IF(COUNTIF($B$5:$B$304,B19)&gt;1,"Număr dublat. ","")&amp;IF(OR(C19="",D19="",H19="",J19="",K19=""),"Date incomplete. ","")&amp;IF(COUNTIF('Linii comandă'!$B$5:$B$1004,B19)=0,"Nicio linie de comandă. ","")&amp;IF(AND(L19&lt;&gt;"Da",C19&lt;&gt;"",TODAY()-C19&gt;ZileConf),"Neconfirmată de "&amp;(TODAY()-C19)&amp;" zile. ","")&amp;IF(S19="Întârziată","Termenul de livrare a trecut: "&amp;RIGHT("0"&amp;DAY(J19),2)&amp;"."&amp;RIGHT("0"&amp;MONTH(J19),2)&amp;"."&amp;YEAR(J19)&amp;". ","")&amp;IF(S19="Livrată – de facturat","Emite factura. ",""))))</f>
        <v/>
      </c>
    </row>
    <row r="20" spans="2:20" x14ac:dyDescent="0.2">
      <c r="B20" s="10" t="str">
        <f>IF(D20="","",MAX($B$5:B19)+1)</f>
        <v/>
      </c>
      <c r="C20" s="11"/>
      <c r="D20" s="12"/>
      <c r="E20" s="12"/>
      <c r="F20" s="12"/>
      <c r="G20" s="12"/>
      <c r="H20" s="12"/>
      <c r="I20" s="10"/>
      <c r="J20" s="11"/>
      <c r="K20" s="13"/>
      <c r="L20" s="10"/>
      <c r="M20" s="11"/>
      <c r="N20" s="14" t="str">
        <f>IF(B20="","",SUMIF('Linii comandă'!$B$5:$B$1004,B20,'Linii comandă'!$K$5:$K$1004))</f>
        <v/>
      </c>
      <c r="O20" s="14" t="str">
        <f>IF(B20="","",SUMIF('Linii comandă'!$B$5:$B$1004,B20,'Linii comandă'!$L$5:$L$1004))</f>
        <v/>
      </c>
      <c r="P20" s="14" t="str">
        <f t="shared" si="0"/>
        <v/>
      </c>
      <c r="Q20" s="15" t="str">
        <f>IF(OR(B20="",COUNTIF('Linii comandă'!$B$5:$B$1004,B20)=0),"",IF(SUMIF('Linii comandă'!$B$5:$B$1004,B20,'Linii comandă'!$N$5:$N$1004)&lt;=0,"Completă",IF(SUMIF('Linii comandă'!$B$5:$B$1004,B20,'Linii comandă'!$M$5:$M$1004)&gt;0,"Parțială","Nelivrată")))</f>
        <v/>
      </c>
      <c r="R20" s="10"/>
      <c r="S20" s="15" t="str">
        <f t="shared" ca="1" si="1"/>
        <v/>
      </c>
      <c r="T20" s="16" t="str">
        <f ca="1">IF(AND(B20="",D20=""),"",IF(S20="Anulată","",TRIM(IF(COUNTIF($B$5:$B$304,B20)&gt;1,"Număr dublat. ","")&amp;IF(OR(C20="",D20="",H20="",J20="",K20=""),"Date incomplete. ","")&amp;IF(COUNTIF('Linii comandă'!$B$5:$B$1004,B20)=0,"Nicio linie de comandă. ","")&amp;IF(AND(L20&lt;&gt;"Da",C20&lt;&gt;"",TODAY()-C20&gt;ZileConf),"Neconfirmată de "&amp;(TODAY()-C20)&amp;" zile. ","")&amp;IF(S20="Întârziată","Termenul de livrare a trecut: "&amp;RIGHT("0"&amp;DAY(J20),2)&amp;"."&amp;RIGHT("0"&amp;MONTH(J20),2)&amp;"."&amp;YEAR(J20)&amp;". ","")&amp;IF(S20="Livrată – de facturat","Emite factura. ",""))))</f>
        <v/>
      </c>
    </row>
    <row r="21" spans="2:20" x14ac:dyDescent="0.2">
      <c r="B21" s="10" t="str">
        <f>IF(D21="","",MAX($B$5:B20)+1)</f>
        <v/>
      </c>
      <c r="C21" s="11"/>
      <c r="D21" s="12"/>
      <c r="E21" s="12"/>
      <c r="F21" s="12"/>
      <c r="G21" s="12"/>
      <c r="H21" s="12"/>
      <c r="I21" s="10"/>
      <c r="J21" s="11"/>
      <c r="K21" s="13"/>
      <c r="L21" s="10"/>
      <c r="M21" s="11"/>
      <c r="N21" s="14" t="str">
        <f>IF(B21="","",SUMIF('Linii comandă'!$B$5:$B$1004,B21,'Linii comandă'!$K$5:$K$1004))</f>
        <v/>
      </c>
      <c r="O21" s="14" t="str">
        <f>IF(B21="","",SUMIF('Linii comandă'!$B$5:$B$1004,B21,'Linii comandă'!$L$5:$L$1004))</f>
        <v/>
      </c>
      <c r="P21" s="14" t="str">
        <f t="shared" si="0"/>
        <v/>
      </c>
      <c r="Q21" s="15" t="str">
        <f>IF(OR(B21="",COUNTIF('Linii comandă'!$B$5:$B$1004,B21)=0),"",IF(SUMIF('Linii comandă'!$B$5:$B$1004,B21,'Linii comandă'!$N$5:$N$1004)&lt;=0,"Completă",IF(SUMIF('Linii comandă'!$B$5:$B$1004,B21,'Linii comandă'!$M$5:$M$1004)&gt;0,"Parțială","Nelivrată")))</f>
        <v/>
      </c>
      <c r="R21" s="10"/>
      <c r="S21" s="15" t="str">
        <f t="shared" ca="1" si="1"/>
        <v/>
      </c>
      <c r="T21" s="16" t="str">
        <f ca="1">IF(AND(B21="",D21=""),"",IF(S21="Anulată","",TRIM(IF(COUNTIF($B$5:$B$304,B21)&gt;1,"Număr dublat. ","")&amp;IF(OR(C21="",D21="",H21="",J21="",K21=""),"Date incomplete. ","")&amp;IF(COUNTIF('Linii comandă'!$B$5:$B$1004,B21)=0,"Nicio linie de comandă. ","")&amp;IF(AND(L21&lt;&gt;"Da",C21&lt;&gt;"",TODAY()-C21&gt;ZileConf),"Neconfirmată de "&amp;(TODAY()-C21)&amp;" zile. ","")&amp;IF(S21="Întârziată","Termenul de livrare a trecut: "&amp;RIGHT("0"&amp;DAY(J21),2)&amp;"."&amp;RIGHT("0"&amp;MONTH(J21),2)&amp;"."&amp;YEAR(J21)&amp;". ","")&amp;IF(S21="Livrată – de facturat","Emite factura. ",""))))</f>
        <v/>
      </c>
    </row>
    <row r="22" spans="2:20" x14ac:dyDescent="0.2">
      <c r="B22" s="10" t="str">
        <f>IF(D22="","",MAX($B$5:B21)+1)</f>
        <v/>
      </c>
      <c r="C22" s="11"/>
      <c r="D22" s="12"/>
      <c r="E22" s="12"/>
      <c r="F22" s="12"/>
      <c r="G22" s="12"/>
      <c r="H22" s="12"/>
      <c r="I22" s="10"/>
      <c r="J22" s="11"/>
      <c r="K22" s="13"/>
      <c r="L22" s="10"/>
      <c r="M22" s="11"/>
      <c r="N22" s="14" t="str">
        <f>IF(B22="","",SUMIF('Linii comandă'!$B$5:$B$1004,B22,'Linii comandă'!$K$5:$K$1004))</f>
        <v/>
      </c>
      <c r="O22" s="14" t="str">
        <f>IF(B22="","",SUMIF('Linii comandă'!$B$5:$B$1004,B22,'Linii comandă'!$L$5:$L$1004))</f>
        <v/>
      </c>
      <c r="P22" s="14" t="str">
        <f t="shared" si="0"/>
        <v/>
      </c>
      <c r="Q22" s="15" t="str">
        <f>IF(OR(B22="",COUNTIF('Linii comandă'!$B$5:$B$1004,B22)=0),"",IF(SUMIF('Linii comandă'!$B$5:$B$1004,B22,'Linii comandă'!$N$5:$N$1004)&lt;=0,"Completă",IF(SUMIF('Linii comandă'!$B$5:$B$1004,B22,'Linii comandă'!$M$5:$M$1004)&gt;0,"Parțială","Nelivrată")))</f>
        <v/>
      </c>
      <c r="R22" s="10"/>
      <c r="S22" s="15" t="str">
        <f t="shared" ca="1" si="1"/>
        <v/>
      </c>
      <c r="T22" s="16" t="str">
        <f ca="1">IF(AND(B22="",D22=""),"",IF(S22="Anulată","",TRIM(IF(COUNTIF($B$5:$B$304,B22)&gt;1,"Număr dublat. ","")&amp;IF(OR(C22="",D22="",H22="",J22="",K22=""),"Date incomplete. ","")&amp;IF(COUNTIF('Linii comandă'!$B$5:$B$1004,B22)=0,"Nicio linie de comandă. ","")&amp;IF(AND(L22&lt;&gt;"Da",C22&lt;&gt;"",TODAY()-C22&gt;ZileConf),"Neconfirmată de "&amp;(TODAY()-C22)&amp;" zile. ","")&amp;IF(S22="Întârziată","Termenul de livrare a trecut: "&amp;RIGHT("0"&amp;DAY(J22),2)&amp;"."&amp;RIGHT("0"&amp;MONTH(J22),2)&amp;"."&amp;YEAR(J22)&amp;". ","")&amp;IF(S22="Livrată – de facturat","Emite factura. ",""))))</f>
        <v/>
      </c>
    </row>
    <row r="23" spans="2:20" x14ac:dyDescent="0.2">
      <c r="B23" s="10" t="str">
        <f>IF(D23="","",MAX($B$5:B22)+1)</f>
        <v/>
      </c>
      <c r="C23" s="11"/>
      <c r="D23" s="12"/>
      <c r="E23" s="12"/>
      <c r="F23" s="12"/>
      <c r="G23" s="12"/>
      <c r="H23" s="12"/>
      <c r="I23" s="10"/>
      <c r="J23" s="11"/>
      <c r="K23" s="13"/>
      <c r="L23" s="10"/>
      <c r="M23" s="11"/>
      <c r="N23" s="14" t="str">
        <f>IF(B23="","",SUMIF('Linii comandă'!$B$5:$B$1004,B23,'Linii comandă'!$K$5:$K$1004))</f>
        <v/>
      </c>
      <c r="O23" s="14" t="str">
        <f>IF(B23="","",SUMIF('Linii comandă'!$B$5:$B$1004,B23,'Linii comandă'!$L$5:$L$1004))</f>
        <v/>
      </c>
      <c r="P23" s="14" t="str">
        <f t="shared" si="0"/>
        <v/>
      </c>
      <c r="Q23" s="15" t="str">
        <f>IF(OR(B23="",COUNTIF('Linii comandă'!$B$5:$B$1004,B23)=0),"",IF(SUMIF('Linii comandă'!$B$5:$B$1004,B23,'Linii comandă'!$N$5:$N$1004)&lt;=0,"Completă",IF(SUMIF('Linii comandă'!$B$5:$B$1004,B23,'Linii comandă'!$M$5:$M$1004)&gt;0,"Parțială","Nelivrată")))</f>
        <v/>
      </c>
      <c r="R23" s="10"/>
      <c r="S23" s="15" t="str">
        <f t="shared" ca="1" si="1"/>
        <v/>
      </c>
      <c r="T23" s="16" t="str">
        <f ca="1">IF(AND(B23="",D23=""),"",IF(S23="Anulată","",TRIM(IF(COUNTIF($B$5:$B$304,B23)&gt;1,"Număr dublat. ","")&amp;IF(OR(C23="",D23="",H23="",J23="",K23=""),"Date incomplete. ","")&amp;IF(COUNTIF('Linii comandă'!$B$5:$B$1004,B23)=0,"Nicio linie de comandă. ","")&amp;IF(AND(L23&lt;&gt;"Da",C23&lt;&gt;"",TODAY()-C23&gt;ZileConf),"Neconfirmată de "&amp;(TODAY()-C23)&amp;" zile. ","")&amp;IF(S23="Întârziată","Termenul de livrare a trecut: "&amp;RIGHT("0"&amp;DAY(J23),2)&amp;"."&amp;RIGHT("0"&amp;MONTH(J23),2)&amp;"."&amp;YEAR(J23)&amp;". ","")&amp;IF(S23="Livrată – de facturat","Emite factura. ",""))))</f>
        <v/>
      </c>
    </row>
    <row r="24" spans="2:20" x14ac:dyDescent="0.2">
      <c r="B24" s="10" t="str">
        <f>IF(D24="","",MAX($B$5:B23)+1)</f>
        <v/>
      </c>
      <c r="C24" s="11"/>
      <c r="D24" s="12"/>
      <c r="E24" s="12"/>
      <c r="F24" s="12"/>
      <c r="G24" s="12"/>
      <c r="H24" s="12"/>
      <c r="I24" s="10"/>
      <c r="J24" s="11"/>
      <c r="K24" s="13"/>
      <c r="L24" s="10"/>
      <c r="M24" s="11"/>
      <c r="N24" s="14" t="str">
        <f>IF(B24="","",SUMIF('Linii comandă'!$B$5:$B$1004,B24,'Linii comandă'!$K$5:$K$1004))</f>
        <v/>
      </c>
      <c r="O24" s="14" t="str">
        <f>IF(B24="","",SUMIF('Linii comandă'!$B$5:$B$1004,B24,'Linii comandă'!$L$5:$L$1004))</f>
        <v/>
      </c>
      <c r="P24" s="14" t="str">
        <f t="shared" si="0"/>
        <v/>
      </c>
      <c r="Q24" s="15" t="str">
        <f>IF(OR(B24="",COUNTIF('Linii comandă'!$B$5:$B$1004,B24)=0),"",IF(SUMIF('Linii comandă'!$B$5:$B$1004,B24,'Linii comandă'!$N$5:$N$1004)&lt;=0,"Completă",IF(SUMIF('Linii comandă'!$B$5:$B$1004,B24,'Linii comandă'!$M$5:$M$1004)&gt;0,"Parțială","Nelivrată")))</f>
        <v/>
      </c>
      <c r="R24" s="10"/>
      <c r="S24" s="15" t="str">
        <f t="shared" ca="1" si="1"/>
        <v/>
      </c>
      <c r="T24" s="16" t="str">
        <f ca="1">IF(AND(B24="",D24=""),"",IF(S24="Anulată","",TRIM(IF(COUNTIF($B$5:$B$304,B24)&gt;1,"Număr dublat. ","")&amp;IF(OR(C24="",D24="",H24="",J24="",K24=""),"Date incomplete. ","")&amp;IF(COUNTIF('Linii comandă'!$B$5:$B$1004,B24)=0,"Nicio linie de comandă. ","")&amp;IF(AND(L24&lt;&gt;"Da",C24&lt;&gt;"",TODAY()-C24&gt;ZileConf),"Neconfirmată de "&amp;(TODAY()-C24)&amp;" zile. ","")&amp;IF(S24="Întârziată","Termenul de livrare a trecut: "&amp;RIGHT("0"&amp;DAY(J24),2)&amp;"."&amp;RIGHT("0"&amp;MONTH(J24),2)&amp;"."&amp;YEAR(J24)&amp;". ","")&amp;IF(S24="Livrată – de facturat","Emite factura. ",""))))</f>
        <v/>
      </c>
    </row>
    <row r="25" spans="2:20" x14ac:dyDescent="0.2">
      <c r="B25" s="10" t="str">
        <f>IF(D25="","",MAX($B$5:B24)+1)</f>
        <v/>
      </c>
      <c r="C25" s="11"/>
      <c r="D25" s="12"/>
      <c r="E25" s="12"/>
      <c r="F25" s="12"/>
      <c r="G25" s="12"/>
      <c r="H25" s="12"/>
      <c r="I25" s="10"/>
      <c r="J25" s="11"/>
      <c r="K25" s="13"/>
      <c r="L25" s="10"/>
      <c r="M25" s="11"/>
      <c r="N25" s="14" t="str">
        <f>IF(B25="","",SUMIF('Linii comandă'!$B$5:$B$1004,B25,'Linii comandă'!$K$5:$K$1004))</f>
        <v/>
      </c>
      <c r="O25" s="14" t="str">
        <f>IF(B25="","",SUMIF('Linii comandă'!$B$5:$B$1004,B25,'Linii comandă'!$L$5:$L$1004))</f>
        <v/>
      </c>
      <c r="P25" s="14" t="str">
        <f t="shared" si="0"/>
        <v/>
      </c>
      <c r="Q25" s="15" t="str">
        <f>IF(OR(B25="",COUNTIF('Linii comandă'!$B$5:$B$1004,B25)=0),"",IF(SUMIF('Linii comandă'!$B$5:$B$1004,B25,'Linii comandă'!$N$5:$N$1004)&lt;=0,"Completă",IF(SUMIF('Linii comandă'!$B$5:$B$1004,B25,'Linii comandă'!$M$5:$M$1004)&gt;0,"Parțială","Nelivrată")))</f>
        <v/>
      </c>
      <c r="R25" s="10"/>
      <c r="S25" s="15" t="str">
        <f t="shared" ca="1" si="1"/>
        <v/>
      </c>
      <c r="T25" s="16" t="str">
        <f ca="1">IF(AND(B25="",D25=""),"",IF(S25="Anulată","",TRIM(IF(COUNTIF($B$5:$B$304,B25)&gt;1,"Număr dublat. ","")&amp;IF(OR(C25="",D25="",H25="",J25="",K25=""),"Date incomplete. ","")&amp;IF(COUNTIF('Linii comandă'!$B$5:$B$1004,B25)=0,"Nicio linie de comandă. ","")&amp;IF(AND(L25&lt;&gt;"Da",C25&lt;&gt;"",TODAY()-C25&gt;ZileConf),"Neconfirmată de "&amp;(TODAY()-C25)&amp;" zile. ","")&amp;IF(S25="Întârziată","Termenul de livrare a trecut: "&amp;RIGHT("0"&amp;DAY(J25),2)&amp;"."&amp;RIGHT("0"&amp;MONTH(J25),2)&amp;"."&amp;YEAR(J25)&amp;". ","")&amp;IF(S25="Livrată – de facturat","Emite factura. ",""))))</f>
        <v/>
      </c>
    </row>
    <row r="26" spans="2:20" x14ac:dyDescent="0.2">
      <c r="B26" s="10" t="str">
        <f>IF(D26="","",MAX($B$5:B25)+1)</f>
        <v/>
      </c>
      <c r="C26" s="11"/>
      <c r="D26" s="12"/>
      <c r="E26" s="12"/>
      <c r="F26" s="12"/>
      <c r="G26" s="12"/>
      <c r="H26" s="12"/>
      <c r="I26" s="10"/>
      <c r="J26" s="11"/>
      <c r="K26" s="13"/>
      <c r="L26" s="10"/>
      <c r="M26" s="11"/>
      <c r="N26" s="14" t="str">
        <f>IF(B26="","",SUMIF('Linii comandă'!$B$5:$B$1004,B26,'Linii comandă'!$K$5:$K$1004))</f>
        <v/>
      </c>
      <c r="O26" s="14" t="str">
        <f>IF(B26="","",SUMIF('Linii comandă'!$B$5:$B$1004,B26,'Linii comandă'!$L$5:$L$1004))</f>
        <v/>
      </c>
      <c r="P26" s="14" t="str">
        <f t="shared" si="0"/>
        <v/>
      </c>
      <c r="Q26" s="15" t="str">
        <f>IF(OR(B26="",COUNTIF('Linii comandă'!$B$5:$B$1004,B26)=0),"",IF(SUMIF('Linii comandă'!$B$5:$B$1004,B26,'Linii comandă'!$N$5:$N$1004)&lt;=0,"Completă",IF(SUMIF('Linii comandă'!$B$5:$B$1004,B26,'Linii comandă'!$M$5:$M$1004)&gt;0,"Parțială","Nelivrată")))</f>
        <v/>
      </c>
      <c r="R26" s="10"/>
      <c r="S26" s="15" t="str">
        <f t="shared" ca="1" si="1"/>
        <v/>
      </c>
      <c r="T26" s="16" t="str">
        <f ca="1">IF(AND(B26="",D26=""),"",IF(S26="Anulată","",TRIM(IF(COUNTIF($B$5:$B$304,B26)&gt;1,"Număr dublat. ","")&amp;IF(OR(C26="",D26="",H26="",J26="",K26=""),"Date incomplete. ","")&amp;IF(COUNTIF('Linii comandă'!$B$5:$B$1004,B26)=0,"Nicio linie de comandă. ","")&amp;IF(AND(L26&lt;&gt;"Da",C26&lt;&gt;"",TODAY()-C26&gt;ZileConf),"Neconfirmată de "&amp;(TODAY()-C26)&amp;" zile. ","")&amp;IF(S26="Întârziată","Termenul de livrare a trecut: "&amp;RIGHT("0"&amp;DAY(J26),2)&amp;"."&amp;RIGHT("0"&amp;MONTH(J26),2)&amp;"."&amp;YEAR(J26)&amp;". ","")&amp;IF(S26="Livrată – de facturat","Emite factura. ",""))))</f>
        <v/>
      </c>
    </row>
    <row r="27" spans="2:20" x14ac:dyDescent="0.2">
      <c r="B27" s="10" t="str">
        <f>IF(D27="","",MAX($B$5:B26)+1)</f>
        <v/>
      </c>
      <c r="C27" s="11"/>
      <c r="D27" s="12"/>
      <c r="E27" s="12"/>
      <c r="F27" s="12"/>
      <c r="G27" s="12"/>
      <c r="H27" s="12"/>
      <c r="I27" s="10"/>
      <c r="J27" s="11"/>
      <c r="K27" s="13"/>
      <c r="L27" s="10"/>
      <c r="M27" s="11"/>
      <c r="N27" s="14" t="str">
        <f>IF(B27="","",SUMIF('Linii comandă'!$B$5:$B$1004,B27,'Linii comandă'!$K$5:$K$1004))</f>
        <v/>
      </c>
      <c r="O27" s="14" t="str">
        <f>IF(B27="","",SUMIF('Linii comandă'!$B$5:$B$1004,B27,'Linii comandă'!$L$5:$L$1004))</f>
        <v/>
      </c>
      <c r="P27" s="14" t="str">
        <f t="shared" si="0"/>
        <v/>
      </c>
      <c r="Q27" s="15" t="str">
        <f>IF(OR(B27="",COUNTIF('Linii comandă'!$B$5:$B$1004,B27)=0),"",IF(SUMIF('Linii comandă'!$B$5:$B$1004,B27,'Linii comandă'!$N$5:$N$1004)&lt;=0,"Completă",IF(SUMIF('Linii comandă'!$B$5:$B$1004,B27,'Linii comandă'!$M$5:$M$1004)&gt;0,"Parțială","Nelivrată")))</f>
        <v/>
      </c>
      <c r="R27" s="10"/>
      <c r="S27" s="15" t="str">
        <f t="shared" ca="1" si="1"/>
        <v/>
      </c>
      <c r="T27" s="16" t="str">
        <f ca="1">IF(AND(B27="",D27=""),"",IF(S27="Anulată","",TRIM(IF(COUNTIF($B$5:$B$304,B27)&gt;1,"Număr dublat. ","")&amp;IF(OR(C27="",D27="",H27="",J27="",K27=""),"Date incomplete. ","")&amp;IF(COUNTIF('Linii comandă'!$B$5:$B$1004,B27)=0,"Nicio linie de comandă. ","")&amp;IF(AND(L27&lt;&gt;"Da",C27&lt;&gt;"",TODAY()-C27&gt;ZileConf),"Neconfirmată de "&amp;(TODAY()-C27)&amp;" zile. ","")&amp;IF(S27="Întârziată","Termenul de livrare a trecut: "&amp;RIGHT("0"&amp;DAY(J27),2)&amp;"."&amp;RIGHT("0"&amp;MONTH(J27),2)&amp;"."&amp;YEAR(J27)&amp;". ","")&amp;IF(S27="Livrată – de facturat","Emite factura. ",""))))</f>
        <v/>
      </c>
    </row>
    <row r="28" spans="2:20" x14ac:dyDescent="0.2">
      <c r="B28" s="10" t="str">
        <f>IF(D28="","",MAX($B$5:B27)+1)</f>
        <v/>
      </c>
      <c r="C28" s="11"/>
      <c r="D28" s="12"/>
      <c r="E28" s="12"/>
      <c r="F28" s="12"/>
      <c r="G28" s="12"/>
      <c r="H28" s="12"/>
      <c r="I28" s="10"/>
      <c r="J28" s="11"/>
      <c r="K28" s="13"/>
      <c r="L28" s="10"/>
      <c r="M28" s="11"/>
      <c r="N28" s="14" t="str">
        <f>IF(B28="","",SUMIF('Linii comandă'!$B$5:$B$1004,B28,'Linii comandă'!$K$5:$K$1004))</f>
        <v/>
      </c>
      <c r="O28" s="14" t="str">
        <f>IF(B28="","",SUMIF('Linii comandă'!$B$5:$B$1004,B28,'Linii comandă'!$L$5:$L$1004))</f>
        <v/>
      </c>
      <c r="P28" s="14" t="str">
        <f t="shared" si="0"/>
        <v/>
      </c>
      <c r="Q28" s="15" t="str">
        <f>IF(OR(B28="",COUNTIF('Linii comandă'!$B$5:$B$1004,B28)=0),"",IF(SUMIF('Linii comandă'!$B$5:$B$1004,B28,'Linii comandă'!$N$5:$N$1004)&lt;=0,"Completă",IF(SUMIF('Linii comandă'!$B$5:$B$1004,B28,'Linii comandă'!$M$5:$M$1004)&gt;0,"Parțială","Nelivrată")))</f>
        <v/>
      </c>
      <c r="R28" s="10"/>
      <c r="S28" s="15" t="str">
        <f t="shared" ca="1" si="1"/>
        <v/>
      </c>
      <c r="T28" s="16" t="str">
        <f ca="1">IF(AND(B28="",D28=""),"",IF(S28="Anulată","",TRIM(IF(COUNTIF($B$5:$B$304,B28)&gt;1,"Număr dublat. ","")&amp;IF(OR(C28="",D28="",H28="",J28="",K28=""),"Date incomplete. ","")&amp;IF(COUNTIF('Linii comandă'!$B$5:$B$1004,B28)=0,"Nicio linie de comandă. ","")&amp;IF(AND(L28&lt;&gt;"Da",C28&lt;&gt;"",TODAY()-C28&gt;ZileConf),"Neconfirmată de "&amp;(TODAY()-C28)&amp;" zile. ","")&amp;IF(S28="Întârziată","Termenul de livrare a trecut: "&amp;RIGHT("0"&amp;DAY(J28),2)&amp;"."&amp;RIGHT("0"&amp;MONTH(J28),2)&amp;"."&amp;YEAR(J28)&amp;". ","")&amp;IF(S28="Livrată – de facturat","Emite factura. ",""))))</f>
        <v/>
      </c>
    </row>
    <row r="29" spans="2:20" x14ac:dyDescent="0.2">
      <c r="B29" s="10" t="str">
        <f>IF(D29="","",MAX($B$5:B28)+1)</f>
        <v/>
      </c>
      <c r="C29" s="11"/>
      <c r="D29" s="12"/>
      <c r="E29" s="12"/>
      <c r="F29" s="12"/>
      <c r="G29" s="12"/>
      <c r="H29" s="12"/>
      <c r="I29" s="10"/>
      <c r="J29" s="11"/>
      <c r="K29" s="13"/>
      <c r="L29" s="10"/>
      <c r="M29" s="11"/>
      <c r="N29" s="14" t="str">
        <f>IF(B29="","",SUMIF('Linii comandă'!$B$5:$B$1004,B29,'Linii comandă'!$K$5:$K$1004))</f>
        <v/>
      </c>
      <c r="O29" s="14" t="str">
        <f>IF(B29="","",SUMIF('Linii comandă'!$B$5:$B$1004,B29,'Linii comandă'!$L$5:$L$1004))</f>
        <v/>
      </c>
      <c r="P29" s="14" t="str">
        <f t="shared" si="0"/>
        <v/>
      </c>
      <c r="Q29" s="15" t="str">
        <f>IF(OR(B29="",COUNTIF('Linii comandă'!$B$5:$B$1004,B29)=0),"",IF(SUMIF('Linii comandă'!$B$5:$B$1004,B29,'Linii comandă'!$N$5:$N$1004)&lt;=0,"Completă",IF(SUMIF('Linii comandă'!$B$5:$B$1004,B29,'Linii comandă'!$M$5:$M$1004)&gt;0,"Parțială","Nelivrată")))</f>
        <v/>
      </c>
      <c r="R29" s="10"/>
      <c r="S29" s="15" t="str">
        <f t="shared" ca="1" si="1"/>
        <v/>
      </c>
      <c r="T29" s="16" t="str">
        <f ca="1">IF(AND(B29="",D29=""),"",IF(S29="Anulată","",TRIM(IF(COUNTIF($B$5:$B$304,B29)&gt;1,"Număr dublat. ","")&amp;IF(OR(C29="",D29="",H29="",J29="",K29=""),"Date incomplete. ","")&amp;IF(COUNTIF('Linii comandă'!$B$5:$B$1004,B29)=0,"Nicio linie de comandă. ","")&amp;IF(AND(L29&lt;&gt;"Da",C29&lt;&gt;"",TODAY()-C29&gt;ZileConf),"Neconfirmată de "&amp;(TODAY()-C29)&amp;" zile. ","")&amp;IF(S29="Întârziată","Termenul de livrare a trecut: "&amp;RIGHT("0"&amp;DAY(J29),2)&amp;"."&amp;RIGHT("0"&amp;MONTH(J29),2)&amp;"."&amp;YEAR(J29)&amp;". ","")&amp;IF(S29="Livrată – de facturat","Emite factura. ",""))))</f>
        <v/>
      </c>
    </row>
    <row r="30" spans="2:20" x14ac:dyDescent="0.2">
      <c r="B30" s="10" t="str">
        <f>IF(D30="","",MAX($B$5:B29)+1)</f>
        <v/>
      </c>
      <c r="C30" s="11"/>
      <c r="D30" s="12"/>
      <c r="E30" s="12"/>
      <c r="F30" s="12"/>
      <c r="G30" s="12"/>
      <c r="H30" s="12"/>
      <c r="I30" s="10"/>
      <c r="J30" s="11"/>
      <c r="K30" s="13"/>
      <c r="L30" s="10"/>
      <c r="M30" s="11"/>
      <c r="N30" s="14" t="str">
        <f>IF(B30="","",SUMIF('Linii comandă'!$B$5:$B$1004,B30,'Linii comandă'!$K$5:$K$1004))</f>
        <v/>
      </c>
      <c r="O30" s="14" t="str">
        <f>IF(B30="","",SUMIF('Linii comandă'!$B$5:$B$1004,B30,'Linii comandă'!$L$5:$L$1004))</f>
        <v/>
      </c>
      <c r="P30" s="14" t="str">
        <f t="shared" si="0"/>
        <v/>
      </c>
      <c r="Q30" s="15" t="str">
        <f>IF(OR(B30="",COUNTIF('Linii comandă'!$B$5:$B$1004,B30)=0),"",IF(SUMIF('Linii comandă'!$B$5:$B$1004,B30,'Linii comandă'!$N$5:$N$1004)&lt;=0,"Completă",IF(SUMIF('Linii comandă'!$B$5:$B$1004,B30,'Linii comandă'!$M$5:$M$1004)&gt;0,"Parțială","Nelivrată")))</f>
        <v/>
      </c>
      <c r="R30" s="10"/>
      <c r="S30" s="15" t="str">
        <f t="shared" ca="1" si="1"/>
        <v/>
      </c>
      <c r="T30" s="16" t="str">
        <f ca="1">IF(AND(B30="",D30=""),"",IF(S30="Anulată","",TRIM(IF(COUNTIF($B$5:$B$304,B30)&gt;1,"Număr dublat. ","")&amp;IF(OR(C30="",D30="",H30="",J30="",K30=""),"Date incomplete. ","")&amp;IF(COUNTIF('Linii comandă'!$B$5:$B$1004,B30)=0,"Nicio linie de comandă. ","")&amp;IF(AND(L30&lt;&gt;"Da",C30&lt;&gt;"",TODAY()-C30&gt;ZileConf),"Neconfirmată de "&amp;(TODAY()-C30)&amp;" zile. ","")&amp;IF(S30="Întârziată","Termenul de livrare a trecut: "&amp;RIGHT("0"&amp;DAY(J30),2)&amp;"."&amp;RIGHT("0"&amp;MONTH(J30),2)&amp;"."&amp;YEAR(J30)&amp;". ","")&amp;IF(S30="Livrată – de facturat","Emite factura. ",""))))</f>
        <v/>
      </c>
    </row>
    <row r="31" spans="2:20" x14ac:dyDescent="0.2">
      <c r="B31" s="10" t="str">
        <f>IF(D31="","",MAX($B$5:B30)+1)</f>
        <v/>
      </c>
      <c r="C31" s="11"/>
      <c r="D31" s="12"/>
      <c r="E31" s="12"/>
      <c r="F31" s="12"/>
      <c r="G31" s="12"/>
      <c r="H31" s="12"/>
      <c r="I31" s="10"/>
      <c r="J31" s="11"/>
      <c r="K31" s="13"/>
      <c r="L31" s="10"/>
      <c r="M31" s="11"/>
      <c r="N31" s="14" t="str">
        <f>IF(B31="","",SUMIF('Linii comandă'!$B$5:$B$1004,B31,'Linii comandă'!$K$5:$K$1004))</f>
        <v/>
      </c>
      <c r="O31" s="14" t="str">
        <f>IF(B31="","",SUMIF('Linii comandă'!$B$5:$B$1004,B31,'Linii comandă'!$L$5:$L$1004))</f>
        <v/>
      </c>
      <c r="P31" s="14" t="str">
        <f t="shared" si="0"/>
        <v/>
      </c>
      <c r="Q31" s="15" t="str">
        <f>IF(OR(B31="",COUNTIF('Linii comandă'!$B$5:$B$1004,B31)=0),"",IF(SUMIF('Linii comandă'!$B$5:$B$1004,B31,'Linii comandă'!$N$5:$N$1004)&lt;=0,"Completă",IF(SUMIF('Linii comandă'!$B$5:$B$1004,B31,'Linii comandă'!$M$5:$M$1004)&gt;0,"Parțială","Nelivrată")))</f>
        <v/>
      </c>
      <c r="R31" s="10"/>
      <c r="S31" s="15" t="str">
        <f t="shared" ca="1" si="1"/>
        <v/>
      </c>
      <c r="T31" s="16" t="str">
        <f ca="1">IF(AND(B31="",D31=""),"",IF(S31="Anulată","",TRIM(IF(COUNTIF($B$5:$B$304,B31)&gt;1,"Număr dublat. ","")&amp;IF(OR(C31="",D31="",H31="",J31="",K31=""),"Date incomplete. ","")&amp;IF(COUNTIF('Linii comandă'!$B$5:$B$1004,B31)=0,"Nicio linie de comandă. ","")&amp;IF(AND(L31&lt;&gt;"Da",C31&lt;&gt;"",TODAY()-C31&gt;ZileConf),"Neconfirmată de "&amp;(TODAY()-C31)&amp;" zile. ","")&amp;IF(S31="Întârziată","Termenul de livrare a trecut: "&amp;RIGHT("0"&amp;DAY(J31),2)&amp;"."&amp;RIGHT("0"&amp;MONTH(J31),2)&amp;"."&amp;YEAR(J31)&amp;". ","")&amp;IF(S31="Livrată – de facturat","Emite factura. ",""))))</f>
        <v/>
      </c>
    </row>
    <row r="32" spans="2:20" x14ac:dyDescent="0.2">
      <c r="B32" s="10" t="str">
        <f>IF(D32="","",MAX($B$5:B31)+1)</f>
        <v/>
      </c>
      <c r="C32" s="11"/>
      <c r="D32" s="12"/>
      <c r="E32" s="12"/>
      <c r="F32" s="12"/>
      <c r="G32" s="12"/>
      <c r="H32" s="12"/>
      <c r="I32" s="10"/>
      <c r="J32" s="11"/>
      <c r="K32" s="13"/>
      <c r="L32" s="10"/>
      <c r="M32" s="11"/>
      <c r="N32" s="14" t="str">
        <f>IF(B32="","",SUMIF('Linii comandă'!$B$5:$B$1004,B32,'Linii comandă'!$K$5:$K$1004))</f>
        <v/>
      </c>
      <c r="O32" s="14" t="str">
        <f>IF(B32="","",SUMIF('Linii comandă'!$B$5:$B$1004,B32,'Linii comandă'!$L$5:$L$1004))</f>
        <v/>
      </c>
      <c r="P32" s="14" t="str">
        <f t="shared" si="0"/>
        <v/>
      </c>
      <c r="Q32" s="15" t="str">
        <f>IF(OR(B32="",COUNTIF('Linii comandă'!$B$5:$B$1004,B32)=0),"",IF(SUMIF('Linii comandă'!$B$5:$B$1004,B32,'Linii comandă'!$N$5:$N$1004)&lt;=0,"Completă",IF(SUMIF('Linii comandă'!$B$5:$B$1004,B32,'Linii comandă'!$M$5:$M$1004)&gt;0,"Parțială","Nelivrată")))</f>
        <v/>
      </c>
      <c r="R32" s="10"/>
      <c r="S32" s="15" t="str">
        <f t="shared" ca="1" si="1"/>
        <v/>
      </c>
      <c r="T32" s="16" t="str">
        <f ca="1">IF(AND(B32="",D32=""),"",IF(S32="Anulată","",TRIM(IF(COUNTIF($B$5:$B$304,B32)&gt;1,"Număr dublat. ","")&amp;IF(OR(C32="",D32="",H32="",J32="",K32=""),"Date incomplete. ","")&amp;IF(COUNTIF('Linii comandă'!$B$5:$B$1004,B32)=0,"Nicio linie de comandă. ","")&amp;IF(AND(L32&lt;&gt;"Da",C32&lt;&gt;"",TODAY()-C32&gt;ZileConf),"Neconfirmată de "&amp;(TODAY()-C32)&amp;" zile. ","")&amp;IF(S32="Întârziată","Termenul de livrare a trecut: "&amp;RIGHT("0"&amp;DAY(J32),2)&amp;"."&amp;RIGHT("0"&amp;MONTH(J32),2)&amp;"."&amp;YEAR(J32)&amp;". ","")&amp;IF(S32="Livrată – de facturat","Emite factura. ",""))))</f>
        <v/>
      </c>
    </row>
    <row r="33" spans="2:20" x14ac:dyDescent="0.2">
      <c r="B33" s="10" t="str">
        <f>IF(D33="","",MAX($B$5:B32)+1)</f>
        <v/>
      </c>
      <c r="C33" s="11"/>
      <c r="D33" s="12"/>
      <c r="E33" s="12"/>
      <c r="F33" s="12"/>
      <c r="G33" s="12"/>
      <c r="H33" s="12"/>
      <c r="I33" s="10"/>
      <c r="J33" s="11"/>
      <c r="K33" s="13"/>
      <c r="L33" s="10"/>
      <c r="M33" s="11"/>
      <c r="N33" s="14" t="str">
        <f>IF(B33="","",SUMIF('Linii comandă'!$B$5:$B$1004,B33,'Linii comandă'!$K$5:$K$1004))</f>
        <v/>
      </c>
      <c r="O33" s="14" t="str">
        <f>IF(B33="","",SUMIF('Linii comandă'!$B$5:$B$1004,B33,'Linii comandă'!$L$5:$L$1004))</f>
        <v/>
      </c>
      <c r="P33" s="14" t="str">
        <f t="shared" si="0"/>
        <v/>
      </c>
      <c r="Q33" s="15" t="str">
        <f>IF(OR(B33="",COUNTIF('Linii comandă'!$B$5:$B$1004,B33)=0),"",IF(SUMIF('Linii comandă'!$B$5:$B$1004,B33,'Linii comandă'!$N$5:$N$1004)&lt;=0,"Completă",IF(SUMIF('Linii comandă'!$B$5:$B$1004,B33,'Linii comandă'!$M$5:$M$1004)&gt;0,"Parțială","Nelivrată")))</f>
        <v/>
      </c>
      <c r="R33" s="10"/>
      <c r="S33" s="15" t="str">
        <f t="shared" ca="1" si="1"/>
        <v/>
      </c>
      <c r="T33" s="16" t="str">
        <f ca="1">IF(AND(B33="",D33=""),"",IF(S33="Anulată","",TRIM(IF(COUNTIF($B$5:$B$304,B33)&gt;1,"Număr dublat. ","")&amp;IF(OR(C33="",D33="",H33="",J33="",K33=""),"Date incomplete. ","")&amp;IF(COUNTIF('Linii comandă'!$B$5:$B$1004,B33)=0,"Nicio linie de comandă. ","")&amp;IF(AND(L33&lt;&gt;"Da",C33&lt;&gt;"",TODAY()-C33&gt;ZileConf),"Neconfirmată de "&amp;(TODAY()-C33)&amp;" zile. ","")&amp;IF(S33="Întârziată","Termenul de livrare a trecut: "&amp;RIGHT("0"&amp;DAY(J33),2)&amp;"."&amp;RIGHT("0"&amp;MONTH(J33),2)&amp;"."&amp;YEAR(J33)&amp;". ","")&amp;IF(S33="Livrată – de facturat","Emite factura. ",""))))</f>
        <v/>
      </c>
    </row>
    <row r="34" spans="2:20" x14ac:dyDescent="0.2">
      <c r="B34" s="10" t="str">
        <f>IF(D34="","",MAX($B$5:B33)+1)</f>
        <v/>
      </c>
      <c r="C34" s="11"/>
      <c r="D34" s="12"/>
      <c r="E34" s="12"/>
      <c r="F34" s="12"/>
      <c r="G34" s="12"/>
      <c r="H34" s="12"/>
      <c r="I34" s="10"/>
      <c r="J34" s="11"/>
      <c r="K34" s="13"/>
      <c r="L34" s="10"/>
      <c r="M34" s="11"/>
      <c r="N34" s="14" t="str">
        <f>IF(B34="","",SUMIF('Linii comandă'!$B$5:$B$1004,B34,'Linii comandă'!$K$5:$K$1004))</f>
        <v/>
      </c>
      <c r="O34" s="14" t="str">
        <f>IF(B34="","",SUMIF('Linii comandă'!$B$5:$B$1004,B34,'Linii comandă'!$L$5:$L$1004))</f>
        <v/>
      </c>
      <c r="P34" s="14" t="str">
        <f t="shared" si="0"/>
        <v/>
      </c>
      <c r="Q34" s="15" t="str">
        <f>IF(OR(B34="",COUNTIF('Linii comandă'!$B$5:$B$1004,B34)=0),"",IF(SUMIF('Linii comandă'!$B$5:$B$1004,B34,'Linii comandă'!$N$5:$N$1004)&lt;=0,"Completă",IF(SUMIF('Linii comandă'!$B$5:$B$1004,B34,'Linii comandă'!$M$5:$M$1004)&gt;0,"Parțială","Nelivrată")))</f>
        <v/>
      </c>
      <c r="R34" s="10"/>
      <c r="S34" s="15" t="str">
        <f t="shared" ca="1" si="1"/>
        <v/>
      </c>
      <c r="T34" s="16" t="str">
        <f ca="1">IF(AND(B34="",D34=""),"",IF(S34="Anulată","",TRIM(IF(COUNTIF($B$5:$B$304,B34)&gt;1,"Număr dublat. ","")&amp;IF(OR(C34="",D34="",H34="",J34="",K34=""),"Date incomplete. ","")&amp;IF(COUNTIF('Linii comandă'!$B$5:$B$1004,B34)=0,"Nicio linie de comandă. ","")&amp;IF(AND(L34&lt;&gt;"Da",C34&lt;&gt;"",TODAY()-C34&gt;ZileConf),"Neconfirmată de "&amp;(TODAY()-C34)&amp;" zile. ","")&amp;IF(S34="Întârziată","Termenul de livrare a trecut: "&amp;RIGHT("0"&amp;DAY(J34),2)&amp;"."&amp;RIGHT("0"&amp;MONTH(J34),2)&amp;"."&amp;YEAR(J34)&amp;". ","")&amp;IF(S34="Livrată – de facturat","Emite factura. ",""))))</f>
        <v/>
      </c>
    </row>
    <row r="35" spans="2:20" x14ac:dyDescent="0.2">
      <c r="B35" s="10" t="str">
        <f>IF(D35="","",MAX($B$5:B34)+1)</f>
        <v/>
      </c>
      <c r="C35" s="11"/>
      <c r="D35" s="12"/>
      <c r="E35" s="12"/>
      <c r="F35" s="12"/>
      <c r="G35" s="12"/>
      <c r="H35" s="12"/>
      <c r="I35" s="10"/>
      <c r="J35" s="11"/>
      <c r="K35" s="13"/>
      <c r="L35" s="10"/>
      <c r="M35" s="11"/>
      <c r="N35" s="14" t="str">
        <f>IF(B35="","",SUMIF('Linii comandă'!$B$5:$B$1004,B35,'Linii comandă'!$K$5:$K$1004))</f>
        <v/>
      </c>
      <c r="O35" s="14" t="str">
        <f>IF(B35="","",SUMIF('Linii comandă'!$B$5:$B$1004,B35,'Linii comandă'!$L$5:$L$1004))</f>
        <v/>
      </c>
      <c r="P35" s="14" t="str">
        <f t="shared" si="0"/>
        <v/>
      </c>
      <c r="Q35" s="15" t="str">
        <f>IF(OR(B35="",COUNTIF('Linii comandă'!$B$5:$B$1004,B35)=0),"",IF(SUMIF('Linii comandă'!$B$5:$B$1004,B35,'Linii comandă'!$N$5:$N$1004)&lt;=0,"Completă",IF(SUMIF('Linii comandă'!$B$5:$B$1004,B35,'Linii comandă'!$M$5:$M$1004)&gt;0,"Parțială","Nelivrată")))</f>
        <v/>
      </c>
      <c r="R35" s="10"/>
      <c r="S35" s="15" t="str">
        <f t="shared" ca="1" si="1"/>
        <v/>
      </c>
      <c r="T35" s="16" t="str">
        <f ca="1">IF(AND(B35="",D35=""),"",IF(S35="Anulată","",TRIM(IF(COUNTIF($B$5:$B$304,B35)&gt;1,"Număr dublat. ","")&amp;IF(OR(C35="",D35="",H35="",J35="",K35=""),"Date incomplete. ","")&amp;IF(COUNTIF('Linii comandă'!$B$5:$B$1004,B35)=0,"Nicio linie de comandă. ","")&amp;IF(AND(L35&lt;&gt;"Da",C35&lt;&gt;"",TODAY()-C35&gt;ZileConf),"Neconfirmată de "&amp;(TODAY()-C35)&amp;" zile. ","")&amp;IF(S35="Întârziată","Termenul de livrare a trecut: "&amp;RIGHT("0"&amp;DAY(J35),2)&amp;"."&amp;RIGHT("0"&amp;MONTH(J35),2)&amp;"."&amp;YEAR(J35)&amp;". ","")&amp;IF(S35="Livrată – de facturat","Emite factura. ",""))))</f>
        <v/>
      </c>
    </row>
    <row r="36" spans="2:20" x14ac:dyDescent="0.2">
      <c r="B36" s="10" t="str">
        <f>IF(D36="","",MAX($B$5:B35)+1)</f>
        <v/>
      </c>
      <c r="C36" s="11"/>
      <c r="D36" s="12"/>
      <c r="E36" s="12"/>
      <c r="F36" s="12"/>
      <c r="G36" s="12"/>
      <c r="H36" s="12"/>
      <c r="I36" s="10"/>
      <c r="J36" s="11"/>
      <c r="K36" s="13"/>
      <c r="L36" s="10"/>
      <c r="M36" s="11"/>
      <c r="N36" s="14" t="str">
        <f>IF(B36="","",SUMIF('Linii comandă'!$B$5:$B$1004,B36,'Linii comandă'!$K$5:$K$1004))</f>
        <v/>
      </c>
      <c r="O36" s="14" t="str">
        <f>IF(B36="","",SUMIF('Linii comandă'!$B$5:$B$1004,B36,'Linii comandă'!$L$5:$L$1004))</f>
        <v/>
      </c>
      <c r="P36" s="14" t="str">
        <f t="shared" si="0"/>
        <v/>
      </c>
      <c r="Q36" s="15" t="str">
        <f>IF(OR(B36="",COUNTIF('Linii comandă'!$B$5:$B$1004,B36)=0),"",IF(SUMIF('Linii comandă'!$B$5:$B$1004,B36,'Linii comandă'!$N$5:$N$1004)&lt;=0,"Completă",IF(SUMIF('Linii comandă'!$B$5:$B$1004,B36,'Linii comandă'!$M$5:$M$1004)&gt;0,"Parțială","Nelivrată")))</f>
        <v/>
      </c>
      <c r="R36" s="10"/>
      <c r="S36" s="15" t="str">
        <f t="shared" ca="1" si="1"/>
        <v/>
      </c>
      <c r="T36" s="16" t="str">
        <f ca="1">IF(AND(B36="",D36=""),"",IF(S36="Anulată","",TRIM(IF(COUNTIF($B$5:$B$304,B36)&gt;1,"Număr dublat. ","")&amp;IF(OR(C36="",D36="",H36="",J36="",K36=""),"Date incomplete. ","")&amp;IF(COUNTIF('Linii comandă'!$B$5:$B$1004,B36)=0,"Nicio linie de comandă. ","")&amp;IF(AND(L36&lt;&gt;"Da",C36&lt;&gt;"",TODAY()-C36&gt;ZileConf),"Neconfirmată de "&amp;(TODAY()-C36)&amp;" zile. ","")&amp;IF(S36="Întârziată","Termenul de livrare a trecut: "&amp;RIGHT("0"&amp;DAY(J36),2)&amp;"."&amp;RIGHT("0"&amp;MONTH(J36),2)&amp;"."&amp;YEAR(J36)&amp;". ","")&amp;IF(S36="Livrată – de facturat","Emite factura. ",""))))</f>
        <v/>
      </c>
    </row>
    <row r="37" spans="2:20" x14ac:dyDescent="0.2">
      <c r="B37" s="10" t="str">
        <f>IF(D37="","",MAX($B$5:B36)+1)</f>
        <v/>
      </c>
      <c r="C37" s="11"/>
      <c r="D37" s="12"/>
      <c r="E37" s="12"/>
      <c r="F37" s="12"/>
      <c r="G37" s="12"/>
      <c r="H37" s="12"/>
      <c r="I37" s="10"/>
      <c r="J37" s="11"/>
      <c r="K37" s="13"/>
      <c r="L37" s="10"/>
      <c r="M37" s="11"/>
      <c r="N37" s="14" t="str">
        <f>IF(B37="","",SUMIF('Linii comandă'!$B$5:$B$1004,B37,'Linii comandă'!$K$5:$K$1004))</f>
        <v/>
      </c>
      <c r="O37" s="14" t="str">
        <f>IF(B37="","",SUMIF('Linii comandă'!$B$5:$B$1004,B37,'Linii comandă'!$L$5:$L$1004))</f>
        <v/>
      </c>
      <c r="P37" s="14" t="str">
        <f t="shared" si="0"/>
        <v/>
      </c>
      <c r="Q37" s="15" t="str">
        <f>IF(OR(B37="",COUNTIF('Linii comandă'!$B$5:$B$1004,B37)=0),"",IF(SUMIF('Linii comandă'!$B$5:$B$1004,B37,'Linii comandă'!$N$5:$N$1004)&lt;=0,"Completă",IF(SUMIF('Linii comandă'!$B$5:$B$1004,B37,'Linii comandă'!$M$5:$M$1004)&gt;0,"Parțială","Nelivrată")))</f>
        <v/>
      </c>
      <c r="R37" s="10"/>
      <c r="S37" s="15" t="str">
        <f t="shared" ca="1" si="1"/>
        <v/>
      </c>
      <c r="T37" s="16" t="str">
        <f ca="1">IF(AND(B37="",D37=""),"",IF(S37="Anulată","",TRIM(IF(COUNTIF($B$5:$B$304,B37)&gt;1,"Număr dublat. ","")&amp;IF(OR(C37="",D37="",H37="",J37="",K37=""),"Date incomplete. ","")&amp;IF(COUNTIF('Linii comandă'!$B$5:$B$1004,B37)=0,"Nicio linie de comandă. ","")&amp;IF(AND(L37&lt;&gt;"Da",C37&lt;&gt;"",TODAY()-C37&gt;ZileConf),"Neconfirmată de "&amp;(TODAY()-C37)&amp;" zile. ","")&amp;IF(S37="Întârziată","Termenul de livrare a trecut: "&amp;RIGHT("0"&amp;DAY(J37),2)&amp;"."&amp;RIGHT("0"&amp;MONTH(J37),2)&amp;"."&amp;YEAR(J37)&amp;". ","")&amp;IF(S37="Livrată – de facturat","Emite factura. ",""))))</f>
        <v/>
      </c>
    </row>
    <row r="38" spans="2:20" x14ac:dyDescent="0.2">
      <c r="B38" s="10" t="str">
        <f>IF(D38="","",MAX($B$5:B37)+1)</f>
        <v/>
      </c>
      <c r="C38" s="11"/>
      <c r="D38" s="12"/>
      <c r="E38" s="12"/>
      <c r="F38" s="12"/>
      <c r="G38" s="12"/>
      <c r="H38" s="12"/>
      <c r="I38" s="10"/>
      <c r="J38" s="11"/>
      <c r="K38" s="13"/>
      <c r="L38" s="10"/>
      <c r="M38" s="11"/>
      <c r="N38" s="14" t="str">
        <f>IF(B38="","",SUMIF('Linii comandă'!$B$5:$B$1004,B38,'Linii comandă'!$K$5:$K$1004))</f>
        <v/>
      </c>
      <c r="O38" s="14" t="str">
        <f>IF(B38="","",SUMIF('Linii comandă'!$B$5:$B$1004,B38,'Linii comandă'!$L$5:$L$1004))</f>
        <v/>
      </c>
      <c r="P38" s="14" t="str">
        <f t="shared" si="0"/>
        <v/>
      </c>
      <c r="Q38" s="15" t="str">
        <f>IF(OR(B38="",COUNTIF('Linii comandă'!$B$5:$B$1004,B38)=0),"",IF(SUMIF('Linii comandă'!$B$5:$B$1004,B38,'Linii comandă'!$N$5:$N$1004)&lt;=0,"Completă",IF(SUMIF('Linii comandă'!$B$5:$B$1004,B38,'Linii comandă'!$M$5:$M$1004)&gt;0,"Parțială","Nelivrată")))</f>
        <v/>
      </c>
      <c r="R38" s="10"/>
      <c r="S38" s="15" t="str">
        <f t="shared" ca="1" si="1"/>
        <v/>
      </c>
      <c r="T38" s="16" t="str">
        <f ca="1">IF(AND(B38="",D38=""),"",IF(S38="Anulată","",TRIM(IF(COUNTIF($B$5:$B$304,B38)&gt;1,"Număr dublat. ","")&amp;IF(OR(C38="",D38="",H38="",J38="",K38=""),"Date incomplete. ","")&amp;IF(COUNTIF('Linii comandă'!$B$5:$B$1004,B38)=0,"Nicio linie de comandă. ","")&amp;IF(AND(L38&lt;&gt;"Da",C38&lt;&gt;"",TODAY()-C38&gt;ZileConf),"Neconfirmată de "&amp;(TODAY()-C38)&amp;" zile. ","")&amp;IF(S38="Întârziată","Termenul de livrare a trecut: "&amp;RIGHT("0"&amp;DAY(J38),2)&amp;"."&amp;RIGHT("0"&amp;MONTH(J38),2)&amp;"."&amp;YEAR(J38)&amp;". ","")&amp;IF(S38="Livrată – de facturat","Emite factura. ",""))))</f>
        <v/>
      </c>
    </row>
    <row r="39" spans="2:20" x14ac:dyDescent="0.2">
      <c r="B39" s="10" t="str">
        <f>IF(D39="","",MAX($B$5:B38)+1)</f>
        <v/>
      </c>
      <c r="C39" s="11"/>
      <c r="D39" s="12"/>
      <c r="E39" s="12"/>
      <c r="F39" s="12"/>
      <c r="G39" s="12"/>
      <c r="H39" s="12"/>
      <c r="I39" s="10"/>
      <c r="J39" s="11"/>
      <c r="K39" s="13"/>
      <c r="L39" s="10"/>
      <c r="M39" s="11"/>
      <c r="N39" s="14" t="str">
        <f>IF(B39="","",SUMIF('Linii comandă'!$B$5:$B$1004,B39,'Linii comandă'!$K$5:$K$1004))</f>
        <v/>
      </c>
      <c r="O39" s="14" t="str">
        <f>IF(B39="","",SUMIF('Linii comandă'!$B$5:$B$1004,B39,'Linii comandă'!$L$5:$L$1004))</f>
        <v/>
      </c>
      <c r="P39" s="14" t="str">
        <f t="shared" si="0"/>
        <v/>
      </c>
      <c r="Q39" s="15" t="str">
        <f>IF(OR(B39="",COUNTIF('Linii comandă'!$B$5:$B$1004,B39)=0),"",IF(SUMIF('Linii comandă'!$B$5:$B$1004,B39,'Linii comandă'!$N$5:$N$1004)&lt;=0,"Completă",IF(SUMIF('Linii comandă'!$B$5:$B$1004,B39,'Linii comandă'!$M$5:$M$1004)&gt;0,"Parțială","Nelivrată")))</f>
        <v/>
      </c>
      <c r="R39" s="10"/>
      <c r="S39" s="15" t="str">
        <f t="shared" ca="1" si="1"/>
        <v/>
      </c>
      <c r="T39" s="16" t="str">
        <f ca="1">IF(AND(B39="",D39=""),"",IF(S39="Anulată","",TRIM(IF(COUNTIF($B$5:$B$304,B39)&gt;1,"Număr dublat. ","")&amp;IF(OR(C39="",D39="",H39="",J39="",K39=""),"Date incomplete. ","")&amp;IF(COUNTIF('Linii comandă'!$B$5:$B$1004,B39)=0,"Nicio linie de comandă. ","")&amp;IF(AND(L39&lt;&gt;"Da",C39&lt;&gt;"",TODAY()-C39&gt;ZileConf),"Neconfirmată de "&amp;(TODAY()-C39)&amp;" zile. ","")&amp;IF(S39="Întârziată","Termenul de livrare a trecut: "&amp;RIGHT("0"&amp;DAY(J39),2)&amp;"."&amp;RIGHT("0"&amp;MONTH(J39),2)&amp;"."&amp;YEAR(J39)&amp;". ","")&amp;IF(S39="Livrată – de facturat","Emite factura. ",""))))</f>
        <v/>
      </c>
    </row>
    <row r="40" spans="2:20" x14ac:dyDescent="0.2">
      <c r="B40" s="10" t="str">
        <f>IF(D40="","",MAX($B$5:B39)+1)</f>
        <v/>
      </c>
      <c r="C40" s="11"/>
      <c r="D40" s="12"/>
      <c r="E40" s="12"/>
      <c r="F40" s="12"/>
      <c r="G40" s="12"/>
      <c r="H40" s="12"/>
      <c r="I40" s="10"/>
      <c r="J40" s="11"/>
      <c r="K40" s="13"/>
      <c r="L40" s="10"/>
      <c r="M40" s="11"/>
      <c r="N40" s="14" t="str">
        <f>IF(B40="","",SUMIF('Linii comandă'!$B$5:$B$1004,B40,'Linii comandă'!$K$5:$K$1004))</f>
        <v/>
      </c>
      <c r="O40" s="14" t="str">
        <f>IF(B40="","",SUMIF('Linii comandă'!$B$5:$B$1004,B40,'Linii comandă'!$L$5:$L$1004))</f>
        <v/>
      </c>
      <c r="P40" s="14" t="str">
        <f t="shared" si="0"/>
        <v/>
      </c>
      <c r="Q40" s="15" t="str">
        <f>IF(OR(B40="",COUNTIF('Linii comandă'!$B$5:$B$1004,B40)=0),"",IF(SUMIF('Linii comandă'!$B$5:$B$1004,B40,'Linii comandă'!$N$5:$N$1004)&lt;=0,"Completă",IF(SUMIF('Linii comandă'!$B$5:$B$1004,B40,'Linii comandă'!$M$5:$M$1004)&gt;0,"Parțială","Nelivrată")))</f>
        <v/>
      </c>
      <c r="R40" s="10"/>
      <c r="S40" s="15" t="str">
        <f t="shared" ca="1" si="1"/>
        <v/>
      </c>
      <c r="T40" s="16" t="str">
        <f ca="1">IF(AND(B40="",D40=""),"",IF(S40="Anulată","",TRIM(IF(COUNTIF($B$5:$B$304,B40)&gt;1,"Număr dublat. ","")&amp;IF(OR(C40="",D40="",H40="",J40="",K40=""),"Date incomplete. ","")&amp;IF(COUNTIF('Linii comandă'!$B$5:$B$1004,B40)=0,"Nicio linie de comandă. ","")&amp;IF(AND(L40&lt;&gt;"Da",C40&lt;&gt;"",TODAY()-C40&gt;ZileConf),"Neconfirmată de "&amp;(TODAY()-C40)&amp;" zile. ","")&amp;IF(S40="Întârziată","Termenul de livrare a trecut: "&amp;RIGHT("0"&amp;DAY(J40),2)&amp;"."&amp;RIGHT("0"&amp;MONTH(J40),2)&amp;"."&amp;YEAR(J40)&amp;". ","")&amp;IF(S40="Livrată – de facturat","Emite factura. ",""))))</f>
        <v/>
      </c>
    </row>
    <row r="41" spans="2:20" x14ac:dyDescent="0.2">
      <c r="B41" s="10" t="str">
        <f>IF(D41="","",MAX($B$5:B40)+1)</f>
        <v/>
      </c>
      <c r="C41" s="11"/>
      <c r="D41" s="12"/>
      <c r="E41" s="12"/>
      <c r="F41" s="12"/>
      <c r="G41" s="12"/>
      <c r="H41" s="12"/>
      <c r="I41" s="10"/>
      <c r="J41" s="11"/>
      <c r="K41" s="13"/>
      <c r="L41" s="10"/>
      <c r="M41" s="11"/>
      <c r="N41" s="14" t="str">
        <f>IF(B41="","",SUMIF('Linii comandă'!$B$5:$B$1004,B41,'Linii comandă'!$K$5:$K$1004))</f>
        <v/>
      </c>
      <c r="O41" s="14" t="str">
        <f>IF(B41="","",SUMIF('Linii comandă'!$B$5:$B$1004,B41,'Linii comandă'!$L$5:$L$1004))</f>
        <v/>
      </c>
      <c r="P41" s="14" t="str">
        <f t="shared" si="0"/>
        <v/>
      </c>
      <c r="Q41" s="15" t="str">
        <f>IF(OR(B41="",COUNTIF('Linii comandă'!$B$5:$B$1004,B41)=0),"",IF(SUMIF('Linii comandă'!$B$5:$B$1004,B41,'Linii comandă'!$N$5:$N$1004)&lt;=0,"Completă",IF(SUMIF('Linii comandă'!$B$5:$B$1004,B41,'Linii comandă'!$M$5:$M$1004)&gt;0,"Parțială","Nelivrată")))</f>
        <v/>
      </c>
      <c r="R41" s="10"/>
      <c r="S41" s="15" t="str">
        <f t="shared" ca="1" si="1"/>
        <v/>
      </c>
      <c r="T41" s="16" t="str">
        <f ca="1">IF(AND(B41="",D41=""),"",IF(S41="Anulată","",TRIM(IF(COUNTIF($B$5:$B$304,B41)&gt;1,"Număr dublat. ","")&amp;IF(OR(C41="",D41="",H41="",J41="",K41=""),"Date incomplete. ","")&amp;IF(COUNTIF('Linii comandă'!$B$5:$B$1004,B41)=0,"Nicio linie de comandă. ","")&amp;IF(AND(L41&lt;&gt;"Da",C41&lt;&gt;"",TODAY()-C41&gt;ZileConf),"Neconfirmată de "&amp;(TODAY()-C41)&amp;" zile. ","")&amp;IF(S41="Întârziată","Termenul de livrare a trecut: "&amp;RIGHT("0"&amp;DAY(J41),2)&amp;"."&amp;RIGHT("0"&amp;MONTH(J41),2)&amp;"."&amp;YEAR(J41)&amp;". ","")&amp;IF(S41="Livrată – de facturat","Emite factura. ",""))))</f>
        <v/>
      </c>
    </row>
    <row r="42" spans="2:20" x14ac:dyDescent="0.2">
      <c r="B42" s="10" t="str">
        <f>IF(D42="","",MAX($B$5:B41)+1)</f>
        <v/>
      </c>
      <c r="C42" s="11"/>
      <c r="D42" s="12"/>
      <c r="E42" s="12"/>
      <c r="F42" s="12"/>
      <c r="G42" s="12"/>
      <c r="H42" s="12"/>
      <c r="I42" s="10"/>
      <c r="J42" s="11"/>
      <c r="K42" s="13"/>
      <c r="L42" s="10"/>
      <c r="M42" s="11"/>
      <c r="N42" s="14" t="str">
        <f>IF(B42="","",SUMIF('Linii comandă'!$B$5:$B$1004,B42,'Linii comandă'!$K$5:$K$1004))</f>
        <v/>
      </c>
      <c r="O42" s="14" t="str">
        <f>IF(B42="","",SUMIF('Linii comandă'!$B$5:$B$1004,B42,'Linii comandă'!$L$5:$L$1004))</f>
        <v/>
      </c>
      <c r="P42" s="14" t="str">
        <f t="shared" si="0"/>
        <v/>
      </c>
      <c r="Q42" s="15" t="str">
        <f>IF(OR(B42="",COUNTIF('Linii comandă'!$B$5:$B$1004,B42)=0),"",IF(SUMIF('Linii comandă'!$B$5:$B$1004,B42,'Linii comandă'!$N$5:$N$1004)&lt;=0,"Completă",IF(SUMIF('Linii comandă'!$B$5:$B$1004,B42,'Linii comandă'!$M$5:$M$1004)&gt;0,"Parțială","Nelivrată")))</f>
        <v/>
      </c>
      <c r="R42" s="10"/>
      <c r="S42" s="15" t="str">
        <f t="shared" ca="1" si="1"/>
        <v/>
      </c>
      <c r="T42" s="16" t="str">
        <f ca="1">IF(AND(B42="",D42=""),"",IF(S42="Anulată","",TRIM(IF(COUNTIF($B$5:$B$304,B42)&gt;1,"Număr dublat. ","")&amp;IF(OR(C42="",D42="",H42="",J42="",K42=""),"Date incomplete. ","")&amp;IF(COUNTIF('Linii comandă'!$B$5:$B$1004,B42)=0,"Nicio linie de comandă. ","")&amp;IF(AND(L42&lt;&gt;"Da",C42&lt;&gt;"",TODAY()-C42&gt;ZileConf),"Neconfirmată de "&amp;(TODAY()-C42)&amp;" zile. ","")&amp;IF(S42="Întârziată","Termenul de livrare a trecut: "&amp;RIGHT("0"&amp;DAY(J42),2)&amp;"."&amp;RIGHT("0"&amp;MONTH(J42),2)&amp;"."&amp;YEAR(J42)&amp;". ","")&amp;IF(S42="Livrată – de facturat","Emite factura. ",""))))</f>
        <v/>
      </c>
    </row>
    <row r="43" spans="2:20" x14ac:dyDescent="0.2">
      <c r="B43" s="10" t="str">
        <f>IF(D43="","",MAX($B$5:B42)+1)</f>
        <v/>
      </c>
      <c r="C43" s="11"/>
      <c r="D43" s="12"/>
      <c r="E43" s="12"/>
      <c r="F43" s="12"/>
      <c r="G43" s="12"/>
      <c r="H43" s="12"/>
      <c r="I43" s="10"/>
      <c r="J43" s="11"/>
      <c r="K43" s="13"/>
      <c r="L43" s="10"/>
      <c r="M43" s="11"/>
      <c r="N43" s="14" t="str">
        <f>IF(B43="","",SUMIF('Linii comandă'!$B$5:$B$1004,B43,'Linii comandă'!$K$5:$K$1004))</f>
        <v/>
      </c>
      <c r="O43" s="14" t="str">
        <f>IF(B43="","",SUMIF('Linii comandă'!$B$5:$B$1004,B43,'Linii comandă'!$L$5:$L$1004))</f>
        <v/>
      </c>
      <c r="P43" s="14" t="str">
        <f t="shared" si="0"/>
        <v/>
      </c>
      <c r="Q43" s="15" t="str">
        <f>IF(OR(B43="",COUNTIF('Linii comandă'!$B$5:$B$1004,B43)=0),"",IF(SUMIF('Linii comandă'!$B$5:$B$1004,B43,'Linii comandă'!$N$5:$N$1004)&lt;=0,"Completă",IF(SUMIF('Linii comandă'!$B$5:$B$1004,B43,'Linii comandă'!$M$5:$M$1004)&gt;0,"Parțială","Nelivrată")))</f>
        <v/>
      </c>
      <c r="R43" s="10"/>
      <c r="S43" s="15" t="str">
        <f t="shared" ca="1" si="1"/>
        <v/>
      </c>
      <c r="T43" s="16" t="str">
        <f ca="1">IF(AND(B43="",D43=""),"",IF(S43="Anulată","",TRIM(IF(COUNTIF($B$5:$B$304,B43)&gt;1,"Număr dublat. ","")&amp;IF(OR(C43="",D43="",H43="",J43="",K43=""),"Date incomplete. ","")&amp;IF(COUNTIF('Linii comandă'!$B$5:$B$1004,B43)=0,"Nicio linie de comandă. ","")&amp;IF(AND(L43&lt;&gt;"Da",C43&lt;&gt;"",TODAY()-C43&gt;ZileConf),"Neconfirmată de "&amp;(TODAY()-C43)&amp;" zile. ","")&amp;IF(S43="Întârziată","Termenul de livrare a trecut: "&amp;RIGHT("0"&amp;DAY(J43),2)&amp;"."&amp;RIGHT("0"&amp;MONTH(J43),2)&amp;"."&amp;YEAR(J43)&amp;". ","")&amp;IF(S43="Livrată – de facturat","Emite factura. ",""))))</f>
        <v/>
      </c>
    </row>
    <row r="44" spans="2:20" x14ac:dyDescent="0.2">
      <c r="B44" s="10" t="str">
        <f>IF(D44="","",MAX($B$5:B43)+1)</f>
        <v/>
      </c>
      <c r="C44" s="11"/>
      <c r="D44" s="12"/>
      <c r="E44" s="12"/>
      <c r="F44" s="12"/>
      <c r="G44" s="12"/>
      <c r="H44" s="12"/>
      <c r="I44" s="10"/>
      <c r="J44" s="11"/>
      <c r="K44" s="13"/>
      <c r="L44" s="10"/>
      <c r="M44" s="11"/>
      <c r="N44" s="14" t="str">
        <f>IF(B44="","",SUMIF('Linii comandă'!$B$5:$B$1004,B44,'Linii comandă'!$K$5:$K$1004))</f>
        <v/>
      </c>
      <c r="O44" s="14" t="str">
        <f>IF(B44="","",SUMIF('Linii comandă'!$B$5:$B$1004,B44,'Linii comandă'!$L$5:$L$1004))</f>
        <v/>
      </c>
      <c r="P44" s="14" t="str">
        <f t="shared" si="0"/>
        <v/>
      </c>
      <c r="Q44" s="15" t="str">
        <f>IF(OR(B44="",COUNTIF('Linii comandă'!$B$5:$B$1004,B44)=0),"",IF(SUMIF('Linii comandă'!$B$5:$B$1004,B44,'Linii comandă'!$N$5:$N$1004)&lt;=0,"Completă",IF(SUMIF('Linii comandă'!$B$5:$B$1004,B44,'Linii comandă'!$M$5:$M$1004)&gt;0,"Parțială","Nelivrată")))</f>
        <v/>
      </c>
      <c r="R44" s="10"/>
      <c r="S44" s="15" t="str">
        <f t="shared" ca="1" si="1"/>
        <v/>
      </c>
      <c r="T44" s="16" t="str">
        <f ca="1">IF(AND(B44="",D44=""),"",IF(S44="Anulată","",TRIM(IF(COUNTIF($B$5:$B$304,B44)&gt;1,"Număr dublat. ","")&amp;IF(OR(C44="",D44="",H44="",J44="",K44=""),"Date incomplete. ","")&amp;IF(COUNTIF('Linii comandă'!$B$5:$B$1004,B44)=0,"Nicio linie de comandă. ","")&amp;IF(AND(L44&lt;&gt;"Da",C44&lt;&gt;"",TODAY()-C44&gt;ZileConf),"Neconfirmată de "&amp;(TODAY()-C44)&amp;" zile. ","")&amp;IF(S44="Întârziată","Termenul de livrare a trecut: "&amp;RIGHT("0"&amp;DAY(J44),2)&amp;"."&amp;RIGHT("0"&amp;MONTH(J44),2)&amp;"."&amp;YEAR(J44)&amp;". ","")&amp;IF(S44="Livrată – de facturat","Emite factura. ",""))))</f>
        <v/>
      </c>
    </row>
    <row r="45" spans="2:20" x14ac:dyDescent="0.2">
      <c r="B45" s="10" t="str">
        <f>IF(D45="","",MAX($B$5:B44)+1)</f>
        <v/>
      </c>
      <c r="C45" s="11"/>
      <c r="D45" s="12"/>
      <c r="E45" s="12"/>
      <c r="F45" s="12"/>
      <c r="G45" s="12"/>
      <c r="H45" s="12"/>
      <c r="I45" s="10"/>
      <c r="J45" s="11"/>
      <c r="K45" s="13"/>
      <c r="L45" s="10"/>
      <c r="M45" s="11"/>
      <c r="N45" s="14" t="str">
        <f>IF(B45="","",SUMIF('Linii comandă'!$B$5:$B$1004,B45,'Linii comandă'!$K$5:$K$1004))</f>
        <v/>
      </c>
      <c r="O45" s="14" t="str">
        <f>IF(B45="","",SUMIF('Linii comandă'!$B$5:$B$1004,B45,'Linii comandă'!$L$5:$L$1004))</f>
        <v/>
      </c>
      <c r="P45" s="14" t="str">
        <f t="shared" si="0"/>
        <v/>
      </c>
      <c r="Q45" s="15" t="str">
        <f>IF(OR(B45="",COUNTIF('Linii comandă'!$B$5:$B$1004,B45)=0),"",IF(SUMIF('Linii comandă'!$B$5:$B$1004,B45,'Linii comandă'!$N$5:$N$1004)&lt;=0,"Completă",IF(SUMIF('Linii comandă'!$B$5:$B$1004,B45,'Linii comandă'!$M$5:$M$1004)&gt;0,"Parțială","Nelivrată")))</f>
        <v/>
      </c>
      <c r="R45" s="10"/>
      <c r="S45" s="15" t="str">
        <f t="shared" ca="1" si="1"/>
        <v/>
      </c>
      <c r="T45" s="16" t="str">
        <f ca="1">IF(AND(B45="",D45=""),"",IF(S45="Anulată","",TRIM(IF(COUNTIF($B$5:$B$304,B45)&gt;1,"Număr dublat. ","")&amp;IF(OR(C45="",D45="",H45="",J45="",K45=""),"Date incomplete. ","")&amp;IF(COUNTIF('Linii comandă'!$B$5:$B$1004,B45)=0,"Nicio linie de comandă. ","")&amp;IF(AND(L45&lt;&gt;"Da",C45&lt;&gt;"",TODAY()-C45&gt;ZileConf),"Neconfirmată de "&amp;(TODAY()-C45)&amp;" zile. ","")&amp;IF(S45="Întârziată","Termenul de livrare a trecut: "&amp;RIGHT("0"&amp;DAY(J45),2)&amp;"."&amp;RIGHT("0"&amp;MONTH(J45),2)&amp;"."&amp;YEAR(J45)&amp;". ","")&amp;IF(S45="Livrată – de facturat","Emite factura. ",""))))</f>
        <v/>
      </c>
    </row>
    <row r="46" spans="2:20" x14ac:dyDescent="0.2">
      <c r="B46" s="10" t="str">
        <f>IF(D46="","",MAX($B$5:B45)+1)</f>
        <v/>
      </c>
      <c r="C46" s="11"/>
      <c r="D46" s="12"/>
      <c r="E46" s="12"/>
      <c r="F46" s="12"/>
      <c r="G46" s="12"/>
      <c r="H46" s="12"/>
      <c r="I46" s="10"/>
      <c r="J46" s="11"/>
      <c r="K46" s="13"/>
      <c r="L46" s="10"/>
      <c r="M46" s="11"/>
      <c r="N46" s="14" t="str">
        <f>IF(B46="","",SUMIF('Linii comandă'!$B$5:$B$1004,B46,'Linii comandă'!$K$5:$K$1004))</f>
        <v/>
      </c>
      <c r="O46" s="14" t="str">
        <f>IF(B46="","",SUMIF('Linii comandă'!$B$5:$B$1004,B46,'Linii comandă'!$L$5:$L$1004))</f>
        <v/>
      </c>
      <c r="P46" s="14" t="str">
        <f t="shared" si="0"/>
        <v/>
      </c>
      <c r="Q46" s="15" t="str">
        <f>IF(OR(B46="",COUNTIF('Linii comandă'!$B$5:$B$1004,B46)=0),"",IF(SUMIF('Linii comandă'!$B$5:$B$1004,B46,'Linii comandă'!$N$5:$N$1004)&lt;=0,"Completă",IF(SUMIF('Linii comandă'!$B$5:$B$1004,B46,'Linii comandă'!$M$5:$M$1004)&gt;0,"Parțială","Nelivrată")))</f>
        <v/>
      </c>
      <c r="R46" s="10"/>
      <c r="S46" s="15" t="str">
        <f t="shared" ca="1" si="1"/>
        <v/>
      </c>
      <c r="T46" s="16" t="str">
        <f ca="1">IF(AND(B46="",D46=""),"",IF(S46="Anulată","",TRIM(IF(COUNTIF($B$5:$B$304,B46)&gt;1,"Număr dublat. ","")&amp;IF(OR(C46="",D46="",H46="",J46="",K46=""),"Date incomplete. ","")&amp;IF(COUNTIF('Linii comandă'!$B$5:$B$1004,B46)=0,"Nicio linie de comandă. ","")&amp;IF(AND(L46&lt;&gt;"Da",C46&lt;&gt;"",TODAY()-C46&gt;ZileConf),"Neconfirmată de "&amp;(TODAY()-C46)&amp;" zile. ","")&amp;IF(S46="Întârziată","Termenul de livrare a trecut: "&amp;RIGHT("0"&amp;DAY(J46),2)&amp;"."&amp;RIGHT("0"&amp;MONTH(J46),2)&amp;"."&amp;YEAR(J46)&amp;". ","")&amp;IF(S46="Livrată – de facturat","Emite factura. ",""))))</f>
        <v/>
      </c>
    </row>
    <row r="47" spans="2:20" x14ac:dyDescent="0.2">
      <c r="B47" s="10" t="str">
        <f>IF(D47="","",MAX($B$5:B46)+1)</f>
        <v/>
      </c>
      <c r="C47" s="11"/>
      <c r="D47" s="12"/>
      <c r="E47" s="12"/>
      <c r="F47" s="12"/>
      <c r="G47" s="12"/>
      <c r="H47" s="12"/>
      <c r="I47" s="10"/>
      <c r="J47" s="11"/>
      <c r="K47" s="13"/>
      <c r="L47" s="10"/>
      <c r="M47" s="11"/>
      <c r="N47" s="14" t="str">
        <f>IF(B47="","",SUMIF('Linii comandă'!$B$5:$B$1004,B47,'Linii comandă'!$K$5:$K$1004))</f>
        <v/>
      </c>
      <c r="O47" s="14" t="str">
        <f>IF(B47="","",SUMIF('Linii comandă'!$B$5:$B$1004,B47,'Linii comandă'!$L$5:$L$1004))</f>
        <v/>
      </c>
      <c r="P47" s="14" t="str">
        <f t="shared" si="0"/>
        <v/>
      </c>
      <c r="Q47" s="15" t="str">
        <f>IF(OR(B47="",COUNTIF('Linii comandă'!$B$5:$B$1004,B47)=0),"",IF(SUMIF('Linii comandă'!$B$5:$B$1004,B47,'Linii comandă'!$N$5:$N$1004)&lt;=0,"Completă",IF(SUMIF('Linii comandă'!$B$5:$B$1004,B47,'Linii comandă'!$M$5:$M$1004)&gt;0,"Parțială","Nelivrată")))</f>
        <v/>
      </c>
      <c r="R47" s="10"/>
      <c r="S47" s="15" t="str">
        <f t="shared" ca="1" si="1"/>
        <v/>
      </c>
      <c r="T47" s="16" t="str">
        <f ca="1">IF(AND(B47="",D47=""),"",IF(S47="Anulată","",TRIM(IF(COUNTIF($B$5:$B$304,B47)&gt;1,"Număr dublat. ","")&amp;IF(OR(C47="",D47="",H47="",J47="",K47=""),"Date incomplete. ","")&amp;IF(COUNTIF('Linii comandă'!$B$5:$B$1004,B47)=0,"Nicio linie de comandă. ","")&amp;IF(AND(L47&lt;&gt;"Da",C47&lt;&gt;"",TODAY()-C47&gt;ZileConf),"Neconfirmată de "&amp;(TODAY()-C47)&amp;" zile. ","")&amp;IF(S47="Întârziată","Termenul de livrare a trecut: "&amp;RIGHT("0"&amp;DAY(J47),2)&amp;"."&amp;RIGHT("0"&amp;MONTH(J47),2)&amp;"."&amp;YEAR(J47)&amp;". ","")&amp;IF(S47="Livrată – de facturat","Emite factura. ",""))))</f>
        <v/>
      </c>
    </row>
    <row r="48" spans="2:20" x14ac:dyDescent="0.2">
      <c r="B48" s="10" t="str">
        <f>IF(D48="","",MAX($B$5:B47)+1)</f>
        <v/>
      </c>
      <c r="C48" s="11"/>
      <c r="D48" s="12"/>
      <c r="E48" s="12"/>
      <c r="F48" s="12"/>
      <c r="G48" s="12"/>
      <c r="H48" s="12"/>
      <c r="I48" s="10"/>
      <c r="J48" s="11"/>
      <c r="K48" s="13"/>
      <c r="L48" s="10"/>
      <c r="M48" s="11"/>
      <c r="N48" s="14" t="str">
        <f>IF(B48="","",SUMIF('Linii comandă'!$B$5:$B$1004,B48,'Linii comandă'!$K$5:$K$1004))</f>
        <v/>
      </c>
      <c r="O48" s="14" t="str">
        <f>IF(B48="","",SUMIF('Linii comandă'!$B$5:$B$1004,B48,'Linii comandă'!$L$5:$L$1004))</f>
        <v/>
      </c>
      <c r="P48" s="14" t="str">
        <f t="shared" si="0"/>
        <v/>
      </c>
      <c r="Q48" s="15" t="str">
        <f>IF(OR(B48="",COUNTIF('Linii comandă'!$B$5:$B$1004,B48)=0),"",IF(SUMIF('Linii comandă'!$B$5:$B$1004,B48,'Linii comandă'!$N$5:$N$1004)&lt;=0,"Completă",IF(SUMIF('Linii comandă'!$B$5:$B$1004,B48,'Linii comandă'!$M$5:$M$1004)&gt;0,"Parțială","Nelivrată")))</f>
        <v/>
      </c>
      <c r="R48" s="10"/>
      <c r="S48" s="15" t="str">
        <f t="shared" ca="1" si="1"/>
        <v/>
      </c>
      <c r="T48" s="16" t="str">
        <f ca="1">IF(AND(B48="",D48=""),"",IF(S48="Anulată","",TRIM(IF(COUNTIF($B$5:$B$304,B48)&gt;1,"Număr dublat. ","")&amp;IF(OR(C48="",D48="",H48="",J48="",K48=""),"Date incomplete. ","")&amp;IF(COUNTIF('Linii comandă'!$B$5:$B$1004,B48)=0,"Nicio linie de comandă. ","")&amp;IF(AND(L48&lt;&gt;"Da",C48&lt;&gt;"",TODAY()-C48&gt;ZileConf),"Neconfirmată de "&amp;(TODAY()-C48)&amp;" zile. ","")&amp;IF(S48="Întârziată","Termenul de livrare a trecut: "&amp;RIGHT("0"&amp;DAY(J48),2)&amp;"."&amp;RIGHT("0"&amp;MONTH(J48),2)&amp;"."&amp;YEAR(J48)&amp;". ","")&amp;IF(S48="Livrată – de facturat","Emite factura. ",""))))</f>
        <v/>
      </c>
    </row>
    <row r="49" spans="2:20" x14ac:dyDescent="0.2">
      <c r="B49" s="10" t="str">
        <f>IF(D49="","",MAX($B$5:B48)+1)</f>
        <v/>
      </c>
      <c r="C49" s="11"/>
      <c r="D49" s="12"/>
      <c r="E49" s="12"/>
      <c r="F49" s="12"/>
      <c r="G49" s="12"/>
      <c r="H49" s="12"/>
      <c r="I49" s="10"/>
      <c r="J49" s="11"/>
      <c r="K49" s="13"/>
      <c r="L49" s="10"/>
      <c r="M49" s="11"/>
      <c r="N49" s="14" t="str">
        <f>IF(B49="","",SUMIF('Linii comandă'!$B$5:$B$1004,B49,'Linii comandă'!$K$5:$K$1004))</f>
        <v/>
      </c>
      <c r="O49" s="14" t="str">
        <f>IF(B49="","",SUMIF('Linii comandă'!$B$5:$B$1004,B49,'Linii comandă'!$L$5:$L$1004))</f>
        <v/>
      </c>
      <c r="P49" s="14" t="str">
        <f t="shared" si="0"/>
        <v/>
      </c>
      <c r="Q49" s="15" t="str">
        <f>IF(OR(B49="",COUNTIF('Linii comandă'!$B$5:$B$1004,B49)=0),"",IF(SUMIF('Linii comandă'!$B$5:$B$1004,B49,'Linii comandă'!$N$5:$N$1004)&lt;=0,"Completă",IF(SUMIF('Linii comandă'!$B$5:$B$1004,B49,'Linii comandă'!$M$5:$M$1004)&gt;0,"Parțială","Nelivrată")))</f>
        <v/>
      </c>
      <c r="R49" s="10"/>
      <c r="S49" s="15" t="str">
        <f t="shared" ca="1" si="1"/>
        <v/>
      </c>
      <c r="T49" s="16" t="str">
        <f ca="1">IF(AND(B49="",D49=""),"",IF(S49="Anulată","",TRIM(IF(COUNTIF($B$5:$B$304,B49)&gt;1,"Număr dublat. ","")&amp;IF(OR(C49="",D49="",H49="",J49="",K49=""),"Date incomplete. ","")&amp;IF(COUNTIF('Linii comandă'!$B$5:$B$1004,B49)=0,"Nicio linie de comandă. ","")&amp;IF(AND(L49&lt;&gt;"Da",C49&lt;&gt;"",TODAY()-C49&gt;ZileConf),"Neconfirmată de "&amp;(TODAY()-C49)&amp;" zile. ","")&amp;IF(S49="Întârziată","Termenul de livrare a trecut: "&amp;RIGHT("0"&amp;DAY(J49),2)&amp;"."&amp;RIGHT("0"&amp;MONTH(J49),2)&amp;"."&amp;YEAR(J49)&amp;". ","")&amp;IF(S49="Livrată – de facturat","Emite factura. ",""))))</f>
        <v/>
      </c>
    </row>
    <row r="50" spans="2:20" x14ac:dyDescent="0.2">
      <c r="B50" s="10" t="str">
        <f>IF(D50="","",MAX($B$5:B49)+1)</f>
        <v/>
      </c>
      <c r="C50" s="11"/>
      <c r="D50" s="12"/>
      <c r="E50" s="12"/>
      <c r="F50" s="12"/>
      <c r="G50" s="12"/>
      <c r="H50" s="12"/>
      <c r="I50" s="10"/>
      <c r="J50" s="11"/>
      <c r="K50" s="13"/>
      <c r="L50" s="10"/>
      <c r="M50" s="11"/>
      <c r="N50" s="14" t="str">
        <f>IF(B50="","",SUMIF('Linii comandă'!$B$5:$B$1004,B50,'Linii comandă'!$K$5:$K$1004))</f>
        <v/>
      </c>
      <c r="O50" s="14" t="str">
        <f>IF(B50="","",SUMIF('Linii comandă'!$B$5:$B$1004,B50,'Linii comandă'!$L$5:$L$1004))</f>
        <v/>
      </c>
      <c r="P50" s="14" t="str">
        <f t="shared" si="0"/>
        <v/>
      </c>
      <c r="Q50" s="15" t="str">
        <f>IF(OR(B50="",COUNTIF('Linii comandă'!$B$5:$B$1004,B50)=0),"",IF(SUMIF('Linii comandă'!$B$5:$B$1004,B50,'Linii comandă'!$N$5:$N$1004)&lt;=0,"Completă",IF(SUMIF('Linii comandă'!$B$5:$B$1004,B50,'Linii comandă'!$M$5:$M$1004)&gt;0,"Parțială","Nelivrată")))</f>
        <v/>
      </c>
      <c r="R50" s="10"/>
      <c r="S50" s="15" t="str">
        <f t="shared" ca="1" si="1"/>
        <v/>
      </c>
      <c r="T50" s="16" t="str">
        <f ca="1">IF(AND(B50="",D50=""),"",IF(S50="Anulată","",TRIM(IF(COUNTIF($B$5:$B$304,B50)&gt;1,"Număr dublat. ","")&amp;IF(OR(C50="",D50="",H50="",J50="",K50=""),"Date incomplete. ","")&amp;IF(COUNTIF('Linii comandă'!$B$5:$B$1004,B50)=0,"Nicio linie de comandă. ","")&amp;IF(AND(L50&lt;&gt;"Da",C50&lt;&gt;"",TODAY()-C50&gt;ZileConf),"Neconfirmată de "&amp;(TODAY()-C50)&amp;" zile. ","")&amp;IF(S50="Întârziată","Termenul de livrare a trecut: "&amp;RIGHT("0"&amp;DAY(J50),2)&amp;"."&amp;RIGHT("0"&amp;MONTH(J50),2)&amp;"."&amp;YEAR(J50)&amp;". ","")&amp;IF(S50="Livrată – de facturat","Emite factura. ",""))))</f>
        <v/>
      </c>
    </row>
    <row r="51" spans="2:20" x14ac:dyDescent="0.2">
      <c r="B51" s="10" t="str">
        <f>IF(D51="","",MAX($B$5:B50)+1)</f>
        <v/>
      </c>
      <c r="C51" s="11"/>
      <c r="D51" s="12"/>
      <c r="E51" s="12"/>
      <c r="F51" s="12"/>
      <c r="G51" s="12"/>
      <c r="H51" s="12"/>
      <c r="I51" s="10"/>
      <c r="J51" s="11"/>
      <c r="K51" s="13"/>
      <c r="L51" s="10"/>
      <c r="M51" s="11"/>
      <c r="N51" s="14" t="str">
        <f>IF(B51="","",SUMIF('Linii comandă'!$B$5:$B$1004,B51,'Linii comandă'!$K$5:$K$1004))</f>
        <v/>
      </c>
      <c r="O51" s="14" t="str">
        <f>IF(B51="","",SUMIF('Linii comandă'!$B$5:$B$1004,B51,'Linii comandă'!$L$5:$L$1004))</f>
        <v/>
      </c>
      <c r="P51" s="14" t="str">
        <f t="shared" si="0"/>
        <v/>
      </c>
      <c r="Q51" s="15" t="str">
        <f>IF(OR(B51="",COUNTIF('Linii comandă'!$B$5:$B$1004,B51)=0),"",IF(SUMIF('Linii comandă'!$B$5:$B$1004,B51,'Linii comandă'!$N$5:$N$1004)&lt;=0,"Completă",IF(SUMIF('Linii comandă'!$B$5:$B$1004,B51,'Linii comandă'!$M$5:$M$1004)&gt;0,"Parțială","Nelivrată")))</f>
        <v/>
      </c>
      <c r="R51" s="10"/>
      <c r="S51" s="15" t="str">
        <f t="shared" ca="1" si="1"/>
        <v/>
      </c>
      <c r="T51" s="16" t="str">
        <f ca="1">IF(AND(B51="",D51=""),"",IF(S51="Anulată","",TRIM(IF(COUNTIF($B$5:$B$304,B51)&gt;1,"Număr dublat. ","")&amp;IF(OR(C51="",D51="",H51="",J51="",K51=""),"Date incomplete. ","")&amp;IF(COUNTIF('Linii comandă'!$B$5:$B$1004,B51)=0,"Nicio linie de comandă. ","")&amp;IF(AND(L51&lt;&gt;"Da",C51&lt;&gt;"",TODAY()-C51&gt;ZileConf),"Neconfirmată de "&amp;(TODAY()-C51)&amp;" zile. ","")&amp;IF(S51="Întârziată","Termenul de livrare a trecut: "&amp;RIGHT("0"&amp;DAY(J51),2)&amp;"."&amp;RIGHT("0"&amp;MONTH(J51),2)&amp;"."&amp;YEAR(J51)&amp;". ","")&amp;IF(S51="Livrată – de facturat","Emite factura. ",""))))</f>
        <v/>
      </c>
    </row>
    <row r="52" spans="2:20" x14ac:dyDescent="0.2">
      <c r="B52" s="10" t="str">
        <f>IF(D52="","",MAX($B$5:B51)+1)</f>
        <v/>
      </c>
      <c r="C52" s="11"/>
      <c r="D52" s="12"/>
      <c r="E52" s="12"/>
      <c r="F52" s="12"/>
      <c r="G52" s="12"/>
      <c r="H52" s="12"/>
      <c r="I52" s="10"/>
      <c r="J52" s="11"/>
      <c r="K52" s="13"/>
      <c r="L52" s="10"/>
      <c r="M52" s="11"/>
      <c r="N52" s="14" t="str">
        <f>IF(B52="","",SUMIF('Linii comandă'!$B$5:$B$1004,B52,'Linii comandă'!$K$5:$K$1004))</f>
        <v/>
      </c>
      <c r="O52" s="14" t="str">
        <f>IF(B52="","",SUMIF('Linii comandă'!$B$5:$B$1004,B52,'Linii comandă'!$L$5:$L$1004))</f>
        <v/>
      </c>
      <c r="P52" s="14" t="str">
        <f t="shared" si="0"/>
        <v/>
      </c>
      <c r="Q52" s="15" t="str">
        <f>IF(OR(B52="",COUNTIF('Linii comandă'!$B$5:$B$1004,B52)=0),"",IF(SUMIF('Linii comandă'!$B$5:$B$1004,B52,'Linii comandă'!$N$5:$N$1004)&lt;=0,"Completă",IF(SUMIF('Linii comandă'!$B$5:$B$1004,B52,'Linii comandă'!$M$5:$M$1004)&gt;0,"Parțială","Nelivrată")))</f>
        <v/>
      </c>
      <c r="R52" s="10"/>
      <c r="S52" s="15" t="str">
        <f t="shared" ca="1" si="1"/>
        <v/>
      </c>
      <c r="T52" s="16" t="str">
        <f ca="1">IF(AND(B52="",D52=""),"",IF(S52="Anulată","",TRIM(IF(COUNTIF($B$5:$B$304,B52)&gt;1,"Număr dublat. ","")&amp;IF(OR(C52="",D52="",H52="",J52="",K52=""),"Date incomplete. ","")&amp;IF(COUNTIF('Linii comandă'!$B$5:$B$1004,B52)=0,"Nicio linie de comandă. ","")&amp;IF(AND(L52&lt;&gt;"Da",C52&lt;&gt;"",TODAY()-C52&gt;ZileConf),"Neconfirmată de "&amp;(TODAY()-C52)&amp;" zile. ","")&amp;IF(S52="Întârziată","Termenul de livrare a trecut: "&amp;RIGHT("0"&amp;DAY(J52),2)&amp;"."&amp;RIGHT("0"&amp;MONTH(J52),2)&amp;"."&amp;YEAR(J52)&amp;". ","")&amp;IF(S52="Livrată – de facturat","Emite factura. ",""))))</f>
        <v/>
      </c>
    </row>
    <row r="53" spans="2:20" x14ac:dyDescent="0.2">
      <c r="B53" s="10" t="str">
        <f>IF(D53="","",MAX($B$5:B52)+1)</f>
        <v/>
      </c>
      <c r="C53" s="11"/>
      <c r="D53" s="12"/>
      <c r="E53" s="12"/>
      <c r="F53" s="12"/>
      <c r="G53" s="12"/>
      <c r="H53" s="12"/>
      <c r="I53" s="10"/>
      <c r="J53" s="11"/>
      <c r="K53" s="13"/>
      <c r="L53" s="10"/>
      <c r="M53" s="11"/>
      <c r="N53" s="14" t="str">
        <f>IF(B53="","",SUMIF('Linii comandă'!$B$5:$B$1004,B53,'Linii comandă'!$K$5:$K$1004))</f>
        <v/>
      </c>
      <c r="O53" s="14" t="str">
        <f>IF(B53="","",SUMIF('Linii comandă'!$B$5:$B$1004,B53,'Linii comandă'!$L$5:$L$1004))</f>
        <v/>
      </c>
      <c r="P53" s="14" t="str">
        <f t="shared" si="0"/>
        <v/>
      </c>
      <c r="Q53" s="15" t="str">
        <f>IF(OR(B53="",COUNTIF('Linii comandă'!$B$5:$B$1004,B53)=0),"",IF(SUMIF('Linii comandă'!$B$5:$B$1004,B53,'Linii comandă'!$N$5:$N$1004)&lt;=0,"Completă",IF(SUMIF('Linii comandă'!$B$5:$B$1004,B53,'Linii comandă'!$M$5:$M$1004)&gt;0,"Parțială","Nelivrată")))</f>
        <v/>
      </c>
      <c r="R53" s="10"/>
      <c r="S53" s="15" t="str">
        <f t="shared" ca="1" si="1"/>
        <v/>
      </c>
      <c r="T53" s="16" t="str">
        <f ca="1">IF(AND(B53="",D53=""),"",IF(S53="Anulată","",TRIM(IF(COUNTIF($B$5:$B$304,B53)&gt;1,"Număr dublat. ","")&amp;IF(OR(C53="",D53="",H53="",J53="",K53=""),"Date incomplete. ","")&amp;IF(COUNTIF('Linii comandă'!$B$5:$B$1004,B53)=0,"Nicio linie de comandă. ","")&amp;IF(AND(L53&lt;&gt;"Da",C53&lt;&gt;"",TODAY()-C53&gt;ZileConf),"Neconfirmată de "&amp;(TODAY()-C53)&amp;" zile. ","")&amp;IF(S53="Întârziată","Termenul de livrare a trecut: "&amp;RIGHT("0"&amp;DAY(J53),2)&amp;"."&amp;RIGHT("0"&amp;MONTH(J53),2)&amp;"."&amp;YEAR(J53)&amp;". ","")&amp;IF(S53="Livrată – de facturat","Emite factura. ",""))))</f>
        <v/>
      </c>
    </row>
    <row r="54" spans="2:20" x14ac:dyDescent="0.2">
      <c r="B54" s="10" t="str">
        <f>IF(D54="","",MAX($B$5:B53)+1)</f>
        <v/>
      </c>
      <c r="C54" s="11"/>
      <c r="D54" s="12"/>
      <c r="E54" s="12"/>
      <c r="F54" s="12"/>
      <c r="G54" s="12"/>
      <c r="H54" s="12"/>
      <c r="I54" s="10"/>
      <c r="J54" s="11"/>
      <c r="K54" s="13"/>
      <c r="L54" s="10"/>
      <c r="M54" s="11"/>
      <c r="N54" s="14" t="str">
        <f>IF(B54="","",SUMIF('Linii comandă'!$B$5:$B$1004,B54,'Linii comandă'!$K$5:$K$1004))</f>
        <v/>
      </c>
      <c r="O54" s="14" t="str">
        <f>IF(B54="","",SUMIF('Linii comandă'!$B$5:$B$1004,B54,'Linii comandă'!$L$5:$L$1004))</f>
        <v/>
      </c>
      <c r="P54" s="14" t="str">
        <f t="shared" si="0"/>
        <v/>
      </c>
      <c r="Q54" s="15" t="str">
        <f>IF(OR(B54="",COUNTIF('Linii comandă'!$B$5:$B$1004,B54)=0),"",IF(SUMIF('Linii comandă'!$B$5:$B$1004,B54,'Linii comandă'!$N$5:$N$1004)&lt;=0,"Completă",IF(SUMIF('Linii comandă'!$B$5:$B$1004,B54,'Linii comandă'!$M$5:$M$1004)&gt;0,"Parțială","Nelivrată")))</f>
        <v/>
      </c>
      <c r="R54" s="10"/>
      <c r="S54" s="15" t="str">
        <f t="shared" ca="1" si="1"/>
        <v/>
      </c>
      <c r="T54" s="16" t="str">
        <f ca="1">IF(AND(B54="",D54=""),"",IF(S54="Anulată","",TRIM(IF(COUNTIF($B$5:$B$304,B54)&gt;1,"Număr dublat. ","")&amp;IF(OR(C54="",D54="",H54="",J54="",K54=""),"Date incomplete. ","")&amp;IF(COUNTIF('Linii comandă'!$B$5:$B$1004,B54)=0,"Nicio linie de comandă. ","")&amp;IF(AND(L54&lt;&gt;"Da",C54&lt;&gt;"",TODAY()-C54&gt;ZileConf),"Neconfirmată de "&amp;(TODAY()-C54)&amp;" zile. ","")&amp;IF(S54="Întârziată","Termenul de livrare a trecut: "&amp;RIGHT("0"&amp;DAY(J54),2)&amp;"."&amp;RIGHT("0"&amp;MONTH(J54),2)&amp;"."&amp;YEAR(J54)&amp;". ","")&amp;IF(S54="Livrată – de facturat","Emite factura. ",""))))</f>
        <v/>
      </c>
    </row>
    <row r="55" spans="2:20" x14ac:dyDescent="0.2">
      <c r="B55" s="10" t="str">
        <f>IF(D55="","",MAX($B$5:B54)+1)</f>
        <v/>
      </c>
      <c r="C55" s="11"/>
      <c r="D55" s="12"/>
      <c r="E55" s="12"/>
      <c r="F55" s="12"/>
      <c r="G55" s="12"/>
      <c r="H55" s="12"/>
      <c r="I55" s="10"/>
      <c r="J55" s="11"/>
      <c r="K55" s="13"/>
      <c r="L55" s="10"/>
      <c r="M55" s="11"/>
      <c r="N55" s="14" t="str">
        <f>IF(B55="","",SUMIF('Linii comandă'!$B$5:$B$1004,B55,'Linii comandă'!$K$5:$K$1004))</f>
        <v/>
      </c>
      <c r="O55" s="14" t="str">
        <f>IF(B55="","",SUMIF('Linii comandă'!$B$5:$B$1004,B55,'Linii comandă'!$L$5:$L$1004))</f>
        <v/>
      </c>
      <c r="P55" s="14" t="str">
        <f t="shared" si="0"/>
        <v/>
      </c>
      <c r="Q55" s="15" t="str">
        <f>IF(OR(B55="",COUNTIF('Linii comandă'!$B$5:$B$1004,B55)=0),"",IF(SUMIF('Linii comandă'!$B$5:$B$1004,B55,'Linii comandă'!$N$5:$N$1004)&lt;=0,"Completă",IF(SUMIF('Linii comandă'!$B$5:$B$1004,B55,'Linii comandă'!$M$5:$M$1004)&gt;0,"Parțială","Nelivrată")))</f>
        <v/>
      </c>
      <c r="R55" s="10"/>
      <c r="S55" s="15" t="str">
        <f t="shared" ca="1" si="1"/>
        <v/>
      </c>
      <c r="T55" s="16" t="str">
        <f ca="1">IF(AND(B55="",D55=""),"",IF(S55="Anulată","",TRIM(IF(COUNTIF($B$5:$B$304,B55)&gt;1,"Număr dublat. ","")&amp;IF(OR(C55="",D55="",H55="",J55="",K55=""),"Date incomplete. ","")&amp;IF(COUNTIF('Linii comandă'!$B$5:$B$1004,B55)=0,"Nicio linie de comandă. ","")&amp;IF(AND(L55&lt;&gt;"Da",C55&lt;&gt;"",TODAY()-C55&gt;ZileConf),"Neconfirmată de "&amp;(TODAY()-C55)&amp;" zile. ","")&amp;IF(S55="Întârziată","Termenul de livrare a trecut: "&amp;RIGHT("0"&amp;DAY(J55),2)&amp;"."&amp;RIGHT("0"&amp;MONTH(J55),2)&amp;"."&amp;YEAR(J55)&amp;". ","")&amp;IF(S55="Livrată – de facturat","Emite factura. ",""))))</f>
        <v/>
      </c>
    </row>
    <row r="56" spans="2:20" x14ac:dyDescent="0.2">
      <c r="B56" s="10" t="str">
        <f>IF(D56="","",MAX($B$5:B55)+1)</f>
        <v/>
      </c>
      <c r="C56" s="11"/>
      <c r="D56" s="12"/>
      <c r="E56" s="12"/>
      <c r="F56" s="12"/>
      <c r="G56" s="12"/>
      <c r="H56" s="12"/>
      <c r="I56" s="10"/>
      <c r="J56" s="11"/>
      <c r="K56" s="13"/>
      <c r="L56" s="10"/>
      <c r="M56" s="11"/>
      <c r="N56" s="14" t="str">
        <f>IF(B56="","",SUMIF('Linii comandă'!$B$5:$B$1004,B56,'Linii comandă'!$K$5:$K$1004))</f>
        <v/>
      </c>
      <c r="O56" s="14" t="str">
        <f>IF(B56="","",SUMIF('Linii comandă'!$B$5:$B$1004,B56,'Linii comandă'!$L$5:$L$1004))</f>
        <v/>
      </c>
      <c r="P56" s="14" t="str">
        <f t="shared" si="0"/>
        <v/>
      </c>
      <c r="Q56" s="15" t="str">
        <f>IF(OR(B56="",COUNTIF('Linii comandă'!$B$5:$B$1004,B56)=0),"",IF(SUMIF('Linii comandă'!$B$5:$B$1004,B56,'Linii comandă'!$N$5:$N$1004)&lt;=0,"Completă",IF(SUMIF('Linii comandă'!$B$5:$B$1004,B56,'Linii comandă'!$M$5:$M$1004)&gt;0,"Parțială","Nelivrată")))</f>
        <v/>
      </c>
      <c r="R56" s="10"/>
      <c r="S56" s="15" t="str">
        <f t="shared" ca="1" si="1"/>
        <v/>
      </c>
      <c r="T56" s="16" t="str">
        <f ca="1">IF(AND(B56="",D56=""),"",IF(S56="Anulată","",TRIM(IF(COUNTIF($B$5:$B$304,B56)&gt;1,"Număr dublat. ","")&amp;IF(OR(C56="",D56="",H56="",J56="",K56=""),"Date incomplete. ","")&amp;IF(COUNTIF('Linii comandă'!$B$5:$B$1004,B56)=0,"Nicio linie de comandă. ","")&amp;IF(AND(L56&lt;&gt;"Da",C56&lt;&gt;"",TODAY()-C56&gt;ZileConf),"Neconfirmată de "&amp;(TODAY()-C56)&amp;" zile. ","")&amp;IF(S56="Întârziată","Termenul de livrare a trecut: "&amp;RIGHT("0"&amp;DAY(J56),2)&amp;"."&amp;RIGHT("0"&amp;MONTH(J56),2)&amp;"."&amp;YEAR(J56)&amp;". ","")&amp;IF(S56="Livrată – de facturat","Emite factura. ",""))))</f>
        <v/>
      </c>
    </row>
    <row r="57" spans="2:20" x14ac:dyDescent="0.2">
      <c r="B57" s="10" t="str">
        <f>IF(D57="","",MAX($B$5:B56)+1)</f>
        <v/>
      </c>
      <c r="C57" s="11"/>
      <c r="D57" s="12"/>
      <c r="E57" s="12"/>
      <c r="F57" s="12"/>
      <c r="G57" s="12"/>
      <c r="H57" s="12"/>
      <c r="I57" s="10"/>
      <c r="J57" s="11"/>
      <c r="K57" s="13"/>
      <c r="L57" s="10"/>
      <c r="M57" s="11"/>
      <c r="N57" s="14" t="str">
        <f>IF(B57="","",SUMIF('Linii comandă'!$B$5:$B$1004,B57,'Linii comandă'!$K$5:$K$1004))</f>
        <v/>
      </c>
      <c r="O57" s="14" t="str">
        <f>IF(B57="","",SUMIF('Linii comandă'!$B$5:$B$1004,B57,'Linii comandă'!$L$5:$L$1004))</f>
        <v/>
      </c>
      <c r="P57" s="14" t="str">
        <f t="shared" si="0"/>
        <v/>
      </c>
      <c r="Q57" s="15" t="str">
        <f>IF(OR(B57="",COUNTIF('Linii comandă'!$B$5:$B$1004,B57)=0),"",IF(SUMIF('Linii comandă'!$B$5:$B$1004,B57,'Linii comandă'!$N$5:$N$1004)&lt;=0,"Completă",IF(SUMIF('Linii comandă'!$B$5:$B$1004,B57,'Linii comandă'!$M$5:$M$1004)&gt;0,"Parțială","Nelivrată")))</f>
        <v/>
      </c>
      <c r="R57" s="10"/>
      <c r="S57" s="15" t="str">
        <f t="shared" ca="1" si="1"/>
        <v/>
      </c>
      <c r="T57" s="16" t="str">
        <f ca="1">IF(AND(B57="",D57=""),"",IF(S57="Anulată","",TRIM(IF(COUNTIF($B$5:$B$304,B57)&gt;1,"Număr dublat. ","")&amp;IF(OR(C57="",D57="",H57="",J57="",K57=""),"Date incomplete. ","")&amp;IF(COUNTIF('Linii comandă'!$B$5:$B$1004,B57)=0,"Nicio linie de comandă. ","")&amp;IF(AND(L57&lt;&gt;"Da",C57&lt;&gt;"",TODAY()-C57&gt;ZileConf),"Neconfirmată de "&amp;(TODAY()-C57)&amp;" zile. ","")&amp;IF(S57="Întârziată","Termenul de livrare a trecut: "&amp;RIGHT("0"&amp;DAY(J57),2)&amp;"."&amp;RIGHT("0"&amp;MONTH(J57),2)&amp;"."&amp;YEAR(J57)&amp;". ","")&amp;IF(S57="Livrată – de facturat","Emite factura. ",""))))</f>
        <v/>
      </c>
    </row>
    <row r="58" spans="2:20" x14ac:dyDescent="0.2">
      <c r="B58" s="10" t="str">
        <f>IF(D58="","",MAX($B$5:B57)+1)</f>
        <v/>
      </c>
      <c r="C58" s="11"/>
      <c r="D58" s="12"/>
      <c r="E58" s="12"/>
      <c r="F58" s="12"/>
      <c r="G58" s="12"/>
      <c r="H58" s="12"/>
      <c r="I58" s="10"/>
      <c r="J58" s="11"/>
      <c r="K58" s="13"/>
      <c r="L58" s="10"/>
      <c r="M58" s="11"/>
      <c r="N58" s="14" t="str">
        <f>IF(B58="","",SUMIF('Linii comandă'!$B$5:$B$1004,B58,'Linii comandă'!$K$5:$K$1004))</f>
        <v/>
      </c>
      <c r="O58" s="14" t="str">
        <f>IF(B58="","",SUMIF('Linii comandă'!$B$5:$B$1004,B58,'Linii comandă'!$L$5:$L$1004))</f>
        <v/>
      </c>
      <c r="P58" s="14" t="str">
        <f t="shared" si="0"/>
        <v/>
      </c>
      <c r="Q58" s="15" t="str">
        <f>IF(OR(B58="",COUNTIF('Linii comandă'!$B$5:$B$1004,B58)=0),"",IF(SUMIF('Linii comandă'!$B$5:$B$1004,B58,'Linii comandă'!$N$5:$N$1004)&lt;=0,"Completă",IF(SUMIF('Linii comandă'!$B$5:$B$1004,B58,'Linii comandă'!$M$5:$M$1004)&gt;0,"Parțială","Nelivrată")))</f>
        <v/>
      </c>
      <c r="R58" s="10"/>
      <c r="S58" s="15" t="str">
        <f t="shared" ca="1" si="1"/>
        <v/>
      </c>
      <c r="T58" s="16" t="str">
        <f ca="1">IF(AND(B58="",D58=""),"",IF(S58="Anulată","",TRIM(IF(COUNTIF($B$5:$B$304,B58)&gt;1,"Număr dublat. ","")&amp;IF(OR(C58="",D58="",H58="",J58="",K58=""),"Date incomplete. ","")&amp;IF(COUNTIF('Linii comandă'!$B$5:$B$1004,B58)=0,"Nicio linie de comandă. ","")&amp;IF(AND(L58&lt;&gt;"Da",C58&lt;&gt;"",TODAY()-C58&gt;ZileConf),"Neconfirmată de "&amp;(TODAY()-C58)&amp;" zile. ","")&amp;IF(S58="Întârziată","Termenul de livrare a trecut: "&amp;RIGHT("0"&amp;DAY(J58),2)&amp;"."&amp;RIGHT("0"&amp;MONTH(J58),2)&amp;"."&amp;YEAR(J58)&amp;". ","")&amp;IF(S58="Livrată – de facturat","Emite factura. ",""))))</f>
        <v/>
      </c>
    </row>
    <row r="59" spans="2:20" x14ac:dyDescent="0.2">
      <c r="B59" s="10" t="str">
        <f>IF(D59="","",MAX($B$5:B58)+1)</f>
        <v/>
      </c>
      <c r="C59" s="11"/>
      <c r="D59" s="12"/>
      <c r="E59" s="12"/>
      <c r="F59" s="12"/>
      <c r="G59" s="12"/>
      <c r="H59" s="12"/>
      <c r="I59" s="10"/>
      <c r="J59" s="11"/>
      <c r="K59" s="13"/>
      <c r="L59" s="10"/>
      <c r="M59" s="11"/>
      <c r="N59" s="14" t="str">
        <f>IF(B59="","",SUMIF('Linii comandă'!$B$5:$B$1004,B59,'Linii comandă'!$K$5:$K$1004))</f>
        <v/>
      </c>
      <c r="O59" s="14" t="str">
        <f>IF(B59="","",SUMIF('Linii comandă'!$B$5:$B$1004,B59,'Linii comandă'!$L$5:$L$1004))</f>
        <v/>
      </c>
      <c r="P59" s="14" t="str">
        <f t="shared" si="0"/>
        <v/>
      </c>
      <c r="Q59" s="15" t="str">
        <f>IF(OR(B59="",COUNTIF('Linii comandă'!$B$5:$B$1004,B59)=0),"",IF(SUMIF('Linii comandă'!$B$5:$B$1004,B59,'Linii comandă'!$N$5:$N$1004)&lt;=0,"Completă",IF(SUMIF('Linii comandă'!$B$5:$B$1004,B59,'Linii comandă'!$M$5:$M$1004)&gt;0,"Parțială","Nelivrată")))</f>
        <v/>
      </c>
      <c r="R59" s="10"/>
      <c r="S59" s="15" t="str">
        <f t="shared" ca="1" si="1"/>
        <v/>
      </c>
      <c r="T59" s="16" t="str">
        <f ca="1">IF(AND(B59="",D59=""),"",IF(S59="Anulată","",TRIM(IF(COUNTIF($B$5:$B$304,B59)&gt;1,"Număr dublat. ","")&amp;IF(OR(C59="",D59="",H59="",J59="",K59=""),"Date incomplete. ","")&amp;IF(COUNTIF('Linii comandă'!$B$5:$B$1004,B59)=0,"Nicio linie de comandă. ","")&amp;IF(AND(L59&lt;&gt;"Da",C59&lt;&gt;"",TODAY()-C59&gt;ZileConf),"Neconfirmată de "&amp;(TODAY()-C59)&amp;" zile. ","")&amp;IF(S59="Întârziată","Termenul de livrare a trecut: "&amp;RIGHT("0"&amp;DAY(J59),2)&amp;"."&amp;RIGHT("0"&amp;MONTH(J59),2)&amp;"."&amp;YEAR(J59)&amp;". ","")&amp;IF(S59="Livrată – de facturat","Emite factura. ",""))))</f>
        <v/>
      </c>
    </row>
    <row r="60" spans="2:20" x14ac:dyDescent="0.2">
      <c r="B60" s="10" t="str">
        <f>IF(D60="","",MAX($B$5:B59)+1)</f>
        <v/>
      </c>
      <c r="C60" s="11"/>
      <c r="D60" s="12"/>
      <c r="E60" s="12"/>
      <c r="F60" s="12"/>
      <c r="G60" s="12"/>
      <c r="H60" s="12"/>
      <c r="I60" s="10"/>
      <c r="J60" s="11"/>
      <c r="K60" s="13"/>
      <c r="L60" s="10"/>
      <c r="M60" s="11"/>
      <c r="N60" s="14" t="str">
        <f>IF(B60="","",SUMIF('Linii comandă'!$B$5:$B$1004,B60,'Linii comandă'!$K$5:$K$1004))</f>
        <v/>
      </c>
      <c r="O60" s="14" t="str">
        <f>IF(B60="","",SUMIF('Linii comandă'!$B$5:$B$1004,B60,'Linii comandă'!$L$5:$L$1004))</f>
        <v/>
      </c>
      <c r="P60" s="14" t="str">
        <f t="shared" si="0"/>
        <v/>
      </c>
      <c r="Q60" s="15" t="str">
        <f>IF(OR(B60="",COUNTIF('Linii comandă'!$B$5:$B$1004,B60)=0),"",IF(SUMIF('Linii comandă'!$B$5:$B$1004,B60,'Linii comandă'!$N$5:$N$1004)&lt;=0,"Completă",IF(SUMIF('Linii comandă'!$B$5:$B$1004,B60,'Linii comandă'!$M$5:$M$1004)&gt;0,"Parțială","Nelivrată")))</f>
        <v/>
      </c>
      <c r="R60" s="10"/>
      <c r="S60" s="15" t="str">
        <f t="shared" ca="1" si="1"/>
        <v/>
      </c>
      <c r="T60" s="16" t="str">
        <f ca="1">IF(AND(B60="",D60=""),"",IF(S60="Anulată","",TRIM(IF(COUNTIF($B$5:$B$304,B60)&gt;1,"Număr dublat. ","")&amp;IF(OR(C60="",D60="",H60="",J60="",K60=""),"Date incomplete. ","")&amp;IF(COUNTIF('Linii comandă'!$B$5:$B$1004,B60)=0,"Nicio linie de comandă. ","")&amp;IF(AND(L60&lt;&gt;"Da",C60&lt;&gt;"",TODAY()-C60&gt;ZileConf),"Neconfirmată de "&amp;(TODAY()-C60)&amp;" zile. ","")&amp;IF(S60="Întârziată","Termenul de livrare a trecut: "&amp;RIGHT("0"&amp;DAY(J60),2)&amp;"."&amp;RIGHT("0"&amp;MONTH(J60),2)&amp;"."&amp;YEAR(J60)&amp;". ","")&amp;IF(S60="Livrată – de facturat","Emite factura. ",""))))</f>
        <v/>
      </c>
    </row>
    <row r="61" spans="2:20" x14ac:dyDescent="0.2">
      <c r="B61" s="10" t="str">
        <f>IF(D61="","",MAX($B$5:B60)+1)</f>
        <v/>
      </c>
      <c r="C61" s="11"/>
      <c r="D61" s="12"/>
      <c r="E61" s="12"/>
      <c r="F61" s="12"/>
      <c r="G61" s="12"/>
      <c r="H61" s="12"/>
      <c r="I61" s="10"/>
      <c r="J61" s="11"/>
      <c r="K61" s="13"/>
      <c r="L61" s="10"/>
      <c r="M61" s="11"/>
      <c r="N61" s="14" t="str">
        <f>IF(B61="","",SUMIF('Linii comandă'!$B$5:$B$1004,B61,'Linii comandă'!$K$5:$K$1004))</f>
        <v/>
      </c>
      <c r="O61" s="14" t="str">
        <f>IF(B61="","",SUMIF('Linii comandă'!$B$5:$B$1004,B61,'Linii comandă'!$L$5:$L$1004))</f>
        <v/>
      </c>
      <c r="P61" s="14" t="str">
        <f t="shared" si="0"/>
        <v/>
      </c>
      <c r="Q61" s="15" t="str">
        <f>IF(OR(B61="",COUNTIF('Linii comandă'!$B$5:$B$1004,B61)=0),"",IF(SUMIF('Linii comandă'!$B$5:$B$1004,B61,'Linii comandă'!$N$5:$N$1004)&lt;=0,"Completă",IF(SUMIF('Linii comandă'!$B$5:$B$1004,B61,'Linii comandă'!$M$5:$M$1004)&gt;0,"Parțială","Nelivrată")))</f>
        <v/>
      </c>
      <c r="R61" s="10"/>
      <c r="S61" s="15" t="str">
        <f t="shared" ca="1" si="1"/>
        <v/>
      </c>
      <c r="T61" s="16" t="str">
        <f ca="1">IF(AND(B61="",D61=""),"",IF(S61="Anulată","",TRIM(IF(COUNTIF($B$5:$B$304,B61)&gt;1,"Număr dublat. ","")&amp;IF(OR(C61="",D61="",H61="",J61="",K61=""),"Date incomplete. ","")&amp;IF(COUNTIF('Linii comandă'!$B$5:$B$1004,B61)=0,"Nicio linie de comandă. ","")&amp;IF(AND(L61&lt;&gt;"Da",C61&lt;&gt;"",TODAY()-C61&gt;ZileConf),"Neconfirmată de "&amp;(TODAY()-C61)&amp;" zile. ","")&amp;IF(S61="Întârziată","Termenul de livrare a trecut: "&amp;RIGHT("0"&amp;DAY(J61),2)&amp;"."&amp;RIGHT("0"&amp;MONTH(J61),2)&amp;"."&amp;YEAR(J61)&amp;". ","")&amp;IF(S61="Livrată – de facturat","Emite factura. ",""))))</f>
        <v/>
      </c>
    </row>
    <row r="62" spans="2:20" x14ac:dyDescent="0.2">
      <c r="B62" s="10" t="str">
        <f>IF(D62="","",MAX($B$5:B61)+1)</f>
        <v/>
      </c>
      <c r="C62" s="11"/>
      <c r="D62" s="12"/>
      <c r="E62" s="12"/>
      <c r="F62" s="12"/>
      <c r="G62" s="12"/>
      <c r="H62" s="12"/>
      <c r="I62" s="10"/>
      <c r="J62" s="11"/>
      <c r="K62" s="13"/>
      <c r="L62" s="10"/>
      <c r="M62" s="11"/>
      <c r="N62" s="14" t="str">
        <f>IF(B62="","",SUMIF('Linii comandă'!$B$5:$B$1004,B62,'Linii comandă'!$K$5:$K$1004))</f>
        <v/>
      </c>
      <c r="O62" s="14" t="str">
        <f>IF(B62="","",SUMIF('Linii comandă'!$B$5:$B$1004,B62,'Linii comandă'!$L$5:$L$1004))</f>
        <v/>
      </c>
      <c r="P62" s="14" t="str">
        <f t="shared" si="0"/>
        <v/>
      </c>
      <c r="Q62" s="15" t="str">
        <f>IF(OR(B62="",COUNTIF('Linii comandă'!$B$5:$B$1004,B62)=0),"",IF(SUMIF('Linii comandă'!$B$5:$B$1004,B62,'Linii comandă'!$N$5:$N$1004)&lt;=0,"Completă",IF(SUMIF('Linii comandă'!$B$5:$B$1004,B62,'Linii comandă'!$M$5:$M$1004)&gt;0,"Parțială","Nelivrată")))</f>
        <v/>
      </c>
      <c r="R62" s="10"/>
      <c r="S62" s="15" t="str">
        <f t="shared" ca="1" si="1"/>
        <v/>
      </c>
      <c r="T62" s="16" t="str">
        <f ca="1">IF(AND(B62="",D62=""),"",IF(S62="Anulată","",TRIM(IF(COUNTIF($B$5:$B$304,B62)&gt;1,"Număr dublat. ","")&amp;IF(OR(C62="",D62="",H62="",J62="",K62=""),"Date incomplete. ","")&amp;IF(COUNTIF('Linii comandă'!$B$5:$B$1004,B62)=0,"Nicio linie de comandă. ","")&amp;IF(AND(L62&lt;&gt;"Da",C62&lt;&gt;"",TODAY()-C62&gt;ZileConf),"Neconfirmată de "&amp;(TODAY()-C62)&amp;" zile. ","")&amp;IF(S62="Întârziată","Termenul de livrare a trecut: "&amp;RIGHT("0"&amp;DAY(J62),2)&amp;"."&amp;RIGHT("0"&amp;MONTH(J62),2)&amp;"."&amp;YEAR(J62)&amp;". ","")&amp;IF(S62="Livrată – de facturat","Emite factura. ",""))))</f>
        <v/>
      </c>
    </row>
    <row r="63" spans="2:20" x14ac:dyDescent="0.2">
      <c r="B63" s="10" t="str">
        <f>IF(D63="","",MAX($B$5:B62)+1)</f>
        <v/>
      </c>
      <c r="C63" s="11"/>
      <c r="D63" s="12"/>
      <c r="E63" s="12"/>
      <c r="F63" s="12"/>
      <c r="G63" s="12"/>
      <c r="H63" s="12"/>
      <c r="I63" s="10"/>
      <c r="J63" s="11"/>
      <c r="K63" s="13"/>
      <c r="L63" s="10"/>
      <c r="M63" s="11"/>
      <c r="N63" s="14" t="str">
        <f>IF(B63="","",SUMIF('Linii comandă'!$B$5:$B$1004,B63,'Linii comandă'!$K$5:$K$1004))</f>
        <v/>
      </c>
      <c r="O63" s="14" t="str">
        <f>IF(B63="","",SUMIF('Linii comandă'!$B$5:$B$1004,B63,'Linii comandă'!$L$5:$L$1004))</f>
        <v/>
      </c>
      <c r="P63" s="14" t="str">
        <f t="shared" si="0"/>
        <v/>
      </c>
      <c r="Q63" s="15" t="str">
        <f>IF(OR(B63="",COUNTIF('Linii comandă'!$B$5:$B$1004,B63)=0),"",IF(SUMIF('Linii comandă'!$B$5:$B$1004,B63,'Linii comandă'!$N$5:$N$1004)&lt;=0,"Completă",IF(SUMIF('Linii comandă'!$B$5:$B$1004,B63,'Linii comandă'!$M$5:$M$1004)&gt;0,"Parțială","Nelivrată")))</f>
        <v/>
      </c>
      <c r="R63" s="10"/>
      <c r="S63" s="15" t="str">
        <f t="shared" ca="1" si="1"/>
        <v/>
      </c>
      <c r="T63" s="16" t="str">
        <f ca="1">IF(AND(B63="",D63=""),"",IF(S63="Anulată","",TRIM(IF(COUNTIF($B$5:$B$304,B63)&gt;1,"Număr dublat. ","")&amp;IF(OR(C63="",D63="",H63="",J63="",K63=""),"Date incomplete. ","")&amp;IF(COUNTIF('Linii comandă'!$B$5:$B$1004,B63)=0,"Nicio linie de comandă. ","")&amp;IF(AND(L63&lt;&gt;"Da",C63&lt;&gt;"",TODAY()-C63&gt;ZileConf),"Neconfirmată de "&amp;(TODAY()-C63)&amp;" zile. ","")&amp;IF(S63="Întârziată","Termenul de livrare a trecut: "&amp;RIGHT("0"&amp;DAY(J63),2)&amp;"."&amp;RIGHT("0"&amp;MONTH(J63),2)&amp;"."&amp;YEAR(J63)&amp;". ","")&amp;IF(S63="Livrată – de facturat","Emite factura. ",""))))</f>
        <v/>
      </c>
    </row>
    <row r="64" spans="2:20" x14ac:dyDescent="0.2">
      <c r="B64" s="10" t="str">
        <f>IF(D64="","",MAX($B$5:B63)+1)</f>
        <v/>
      </c>
      <c r="C64" s="11"/>
      <c r="D64" s="12"/>
      <c r="E64" s="12"/>
      <c r="F64" s="12"/>
      <c r="G64" s="12"/>
      <c r="H64" s="12"/>
      <c r="I64" s="10"/>
      <c r="J64" s="11"/>
      <c r="K64" s="13"/>
      <c r="L64" s="10"/>
      <c r="M64" s="11"/>
      <c r="N64" s="14" t="str">
        <f>IF(B64="","",SUMIF('Linii comandă'!$B$5:$B$1004,B64,'Linii comandă'!$K$5:$K$1004))</f>
        <v/>
      </c>
      <c r="O64" s="14" t="str">
        <f>IF(B64="","",SUMIF('Linii comandă'!$B$5:$B$1004,B64,'Linii comandă'!$L$5:$L$1004))</f>
        <v/>
      </c>
      <c r="P64" s="14" t="str">
        <f t="shared" si="0"/>
        <v/>
      </c>
      <c r="Q64" s="15" t="str">
        <f>IF(OR(B64="",COUNTIF('Linii comandă'!$B$5:$B$1004,B64)=0),"",IF(SUMIF('Linii comandă'!$B$5:$B$1004,B64,'Linii comandă'!$N$5:$N$1004)&lt;=0,"Completă",IF(SUMIF('Linii comandă'!$B$5:$B$1004,B64,'Linii comandă'!$M$5:$M$1004)&gt;0,"Parțială","Nelivrată")))</f>
        <v/>
      </c>
      <c r="R64" s="10"/>
      <c r="S64" s="15" t="str">
        <f t="shared" ca="1" si="1"/>
        <v/>
      </c>
      <c r="T64" s="16" t="str">
        <f ca="1">IF(AND(B64="",D64=""),"",IF(S64="Anulată","",TRIM(IF(COUNTIF($B$5:$B$304,B64)&gt;1,"Număr dublat. ","")&amp;IF(OR(C64="",D64="",H64="",J64="",K64=""),"Date incomplete. ","")&amp;IF(COUNTIF('Linii comandă'!$B$5:$B$1004,B64)=0,"Nicio linie de comandă. ","")&amp;IF(AND(L64&lt;&gt;"Da",C64&lt;&gt;"",TODAY()-C64&gt;ZileConf),"Neconfirmată de "&amp;(TODAY()-C64)&amp;" zile. ","")&amp;IF(S64="Întârziată","Termenul de livrare a trecut: "&amp;RIGHT("0"&amp;DAY(J64),2)&amp;"."&amp;RIGHT("0"&amp;MONTH(J64),2)&amp;"."&amp;YEAR(J64)&amp;". ","")&amp;IF(S64="Livrată – de facturat","Emite factura. ",""))))</f>
        <v/>
      </c>
    </row>
    <row r="65" spans="2:20" x14ac:dyDescent="0.2">
      <c r="B65" s="10" t="str">
        <f>IF(D65="","",MAX($B$5:B64)+1)</f>
        <v/>
      </c>
      <c r="C65" s="11"/>
      <c r="D65" s="12"/>
      <c r="E65" s="12"/>
      <c r="F65" s="12"/>
      <c r="G65" s="12"/>
      <c r="H65" s="12"/>
      <c r="I65" s="10"/>
      <c r="J65" s="11"/>
      <c r="K65" s="13"/>
      <c r="L65" s="10"/>
      <c r="M65" s="11"/>
      <c r="N65" s="14" t="str">
        <f>IF(B65="","",SUMIF('Linii comandă'!$B$5:$B$1004,B65,'Linii comandă'!$K$5:$K$1004))</f>
        <v/>
      </c>
      <c r="O65" s="14" t="str">
        <f>IF(B65="","",SUMIF('Linii comandă'!$B$5:$B$1004,B65,'Linii comandă'!$L$5:$L$1004))</f>
        <v/>
      </c>
      <c r="P65" s="14" t="str">
        <f t="shared" si="0"/>
        <v/>
      </c>
      <c r="Q65" s="15" t="str">
        <f>IF(OR(B65="",COUNTIF('Linii comandă'!$B$5:$B$1004,B65)=0),"",IF(SUMIF('Linii comandă'!$B$5:$B$1004,B65,'Linii comandă'!$N$5:$N$1004)&lt;=0,"Completă",IF(SUMIF('Linii comandă'!$B$5:$B$1004,B65,'Linii comandă'!$M$5:$M$1004)&gt;0,"Parțială","Nelivrată")))</f>
        <v/>
      </c>
      <c r="R65" s="10"/>
      <c r="S65" s="15" t="str">
        <f t="shared" ca="1" si="1"/>
        <v/>
      </c>
      <c r="T65" s="16" t="str">
        <f ca="1">IF(AND(B65="",D65=""),"",IF(S65="Anulată","",TRIM(IF(COUNTIF($B$5:$B$304,B65)&gt;1,"Număr dublat. ","")&amp;IF(OR(C65="",D65="",H65="",J65="",K65=""),"Date incomplete. ","")&amp;IF(COUNTIF('Linii comandă'!$B$5:$B$1004,B65)=0,"Nicio linie de comandă. ","")&amp;IF(AND(L65&lt;&gt;"Da",C65&lt;&gt;"",TODAY()-C65&gt;ZileConf),"Neconfirmată de "&amp;(TODAY()-C65)&amp;" zile. ","")&amp;IF(S65="Întârziată","Termenul de livrare a trecut: "&amp;RIGHT("0"&amp;DAY(J65),2)&amp;"."&amp;RIGHT("0"&amp;MONTH(J65),2)&amp;"."&amp;YEAR(J65)&amp;". ","")&amp;IF(S65="Livrată – de facturat","Emite factura. ",""))))</f>
        <v/>
      </c>
    </row>
    <row r="66" spans="2:20" x14ac:dyDescent="0.2">
      <c r="B66" s="10" t="str">
        <f>IF(D66="","",MAX($B$5:B65)+1)</f>
        <v/>
      </c>
      <c r="C66" s="11"/>
      <c r="D66" s="12"/>
      <c r="E66" s="12"/>
      <c r="F66" s="12"/>
      <c r="G66" s="12"/>
      <c r="H66" s="12"/>
      <c r="I66" s="10"/>
      <c r="J66" s="11"/>
      <c r="K66" s="13"/>
      <c r="L66" s="10"/>
      <c r="M66" s="11"/>
      <c r="N66" s="14" t="str">
        <f>IF(B66="","",SUMIF('Linii comandă'!$B$5:$B$1004,B66,'Linii comandă'!$K$5:$K$1004))</f>
        <v/>
      </c>
      <c r="O66" s="14" t="str">
        <f>IF(B66="","",SUMIF('Linii comandă'!$B$5:$B$1004,B66,'Linii comandă'!$L$5:$L$1004))</f>
        <v/>
      </c>
      <c r="P66" s="14" t="str">
        <f t="shared" si="0"/>
        <v/>
      </c>
      <c r="Q66" s="15" t="str">
        <f>IF(OR(B66="",COUNTIF('Linii comandă'!$B$5:$B$1004,B66)=0),"",IF(SUMIF('Linii comandă'!$B$5:$B$1004,B66,'Linii comandă'!$N$5:$N$1004)&lt;=0,"Completă",IF(SUMIF('Linii comandă'!$B$5:$B$1004,B66,'Linii comandă'!$M$5:$M$1004)&gt;0,"Parțială","Nelivrată")))</f>
        <v/>
      </c>
      <c r="R66" s="10"/>
      <c r="S66" s="15" t="str">
        <f t="shared" ca="1" si="1"/>
        <v/>
      </c>
      <c r="T66" s="16" t="str">
        <f ca="1">IF(AND(B66="",D66=""),"",IF(S66="Anulată","",TRIM(IF(COUNTIF($B$5:$B$304,B66)&gt;1,"Număr dublat. ","")&amp;IF(OR(C66="",D66="",H66="",J66="",K66=""),"Date incomplete. ","")&amp;IF(COUNTIF('Linii comandă'!$B$5:$B$1004,B66)=0,"Nicio linie de comandă. ","")&amp;IF(AND(L66&lt;&gt;"Da",C66&lt;&gt;"",TODAY()-C66&gt;ZileConf),"Neconfirmată de "&amp;(TODAY()-C66)&amp;" zile. ","")&amp;IF(S66="Întârziată","Termenul de livrare a trecut: "&amp;RIGHT("0"&amp;DAY(J66),2)&amp;"."&amp;RIGHT("0"&amp;MONTH(J66),2)&amp;"."&amp;YEAR(J66)&amp;". ","")&amp;IF(S66="Livrată – de facturat","Emite factura. ",""))))</f>
        <v/>
      </c>
    </row>
    <row r="67" spans="2:20" x14ac:dyDescent="0.2">
      <c r="B67" s="10" t="str">
        <f>IF(D67="","",MAX($B$5:B66)+1)</f>
        <v/>
      </c>
      <c r="C67" s="11"/>
      <c r="D67" s="12"/>
      <c r="E67" s="12"/>
      <c r="F67" s="12"/>
      <c r="G67" s="12"/>
      <c r="H67" s="12"/>
      <c r="I67" s="10"/>
      <c r="J67" s="11"/>
      <c r="K67" s="13"/>
      <c r="L67" s="10"/>
      <c r="M67" s="11"/>
      <c r="N67" s="14" t="str">
        <f>IF(B67="","",SUMIF('Linii comandă'!$B$5:$B$1004,B67,'Linii comandă'!$K$5:$K$1004))</f>
        <v/>
      </c>
      <c r="O67" s="14" t="str">
        <f>IF(B67="","",SUMIF('Linii comandă'!$B$5:$B$1004,B67,'Linii comandă'!$L$5:$L$1004))</f>
        <v/>
      </c>
      <c r="P67" s="14" t="str">
        <f t="shared" si="0"/>
        <v/>
      </c>
      <c r="Q67" s="15" t="str">
        <f>IF(OR(B67="",COUNTIF('Linii comandă'!$B$5:$B$1004,B67)=0),"",IF(SUMIF('Linii comandă'!$B$5:$B$1004,B67,'Linii comandă'!$N$5:$N$1004)&lt;=0,"Completă",IF(SUMIF('Linii comandă'!$B$5:$B$1004,B67,'Linii comandă'!$M$5:$M$1004)&gt;0,"Parțială","Nelivrată")))</f>
        <v/>
      </c>
      <c r="R67" s="10"/>
      <c r="S67" s="15" t="str">
        <f t="shared" ca="1" si="1"/>
        <v/>
      </c>
      <c r="T67" s="16" t="str">
        <f ca="1">IF(AND(B67="",D67=""),"",IF(S67="Anulată","",TRIM(IF(COUNTIF($B$5:$B$304,B67)&gt;1,"Număr dublat. ","")&amp;IF(OR(C67="",D67="",H67="",J67="",K67=""),"Date incomplete. ","")&amp;IF(COUNTIF('Linii comandă'!$B$5:$B$1004,B67)=0,"Nicio linie de comandă. ","")&amp;IF(AND(L67&lt;&gt;"Da",C67&lt;&gt;"",TODAY()-C67&gt;ZileConf),"Neconfirmată de "&amp;(TODAY()-C67)&amp;" zile. ","")&amp;IF(S67="Întârziată","Termenul de livrare a trecut: "&amp;RIGHT("0"&amp;DAY(J67),2)&amp;"."&amp;RIGHT("0"&amp;MONTH(J67),2)&amp;"."&amp;YEAR(J67)&amp;". ","")&amp;IF(S67="Livrată – de facturat","Emite factura. ",""))))</f>
        <v/>
      </c>
    </row>
    <row r="68" spans="2:20" x14ac:dyDescent="0.2">
      <c r="B68" s="10" t="str">
        <f>IF(D68="","",MAX($B$5:B67)+1)</f>
        <v/>
      </c>
      <c r="C68" s="11"/>
      <c r="D68" s="12"/>
      <c r="E68" s="12"/>
      <c r="F68" s="12"/>
      <c r="G68" s="12"/>
      <c r="H68" s="12"/>
      <c r="I68" s="10"/>
      <c r="J68" s="11"/>
      <c r="K68" s="13"/>
      <c r="L68" s="10"/>
      <c r="M68" s="11"/>
      <c r="N68" s="14" t="str">
        <f>IF(B68="","",SUMIF('Linii comandă'!$B$5:$B$1004,B68,'Linii comandă'!$K$5:$K$1004))</f>
        <v/>
      </c>
      <c r="O68" s="14" t="str">
        <f>IF(B68="","",SUMIF('Linii comandă'!$B$5:$B$1004,B68,'Linii comandă'!$L$5:$L$1004))</f>
        <v/>
      </c>
      <c r="P68" s="14" t="str">
        <f t="shared" si="0"/>
        <v/>
      </c>
      <c r="Q68" s="15" t="str">
        <f>IF(OR(B68="",COUNTIF('Linii comandă'!$B$5:$B$1004,B68)=0),"",IF(SUMIF('Linii comandă'!$B$5:$B$1004,B68,'Linii comandă'!$N$5:$N$1004)&lt;=0,"Completă",IF(SUMIF('Linii comandă'!$B$5:$B$1004,B68,'Linii comandă'!$M$5:$M$1004)&gt;0,"Parțială","Nelivrată")))</f>
        <v/>
      </c>
      <c r="R68" s="10"/>
      <c r="S68" s="15" t="str">
        <f t="shared" ca="1" si="1"/>
        <v/>
      </c>
      <c r="T68" s="16" t="str">
        <f ca="1">IF(AND(B68="",D68=""),"",IF(S68="Anulată","",TRIM(IF(COUNTIF($B$5:$B$304,B68)&gt;1,"Număr dublat. ","")&amp;IF(OR(C68="",D68="",H68="",J68="",K68=""),"Date incomplete. ","")&amp;IF(COUNTIF('Linii comandă'!$B$5:$B$1004,B68)=0,"Nicio linie de comandă. ","")&amp;IF(AND(L68&lt;&gt;"Da",C68&lt;&gt;"",TODAY()-C68&gt;ZileConf),"Neconfirmată de "&amp;(TODAY()-C68)&amp;" zile. ","")&amp;IF(S68="Întârziată","Termenul de livrare a trecut: "&amp;RIGHT("0"&amp;DAY(J68),2)&amp;"."&amp;RIGHT("0"&amp;MONTH(J68),2)&amp;"."&amp;YEAR(J68)&amp;". ","")&amp;IF(S68="Livrată – de facturat","Emite factura. ",""))))</f>
        <v/>
      </c>
    </row>
    <row r="69" spans="2:20" x14ac:dyDescent="0.2">
      <c r="B69" s="10" t="str">
        <f>IF(D69="","",MAX($B$5:B68)+1)</f>
        <v/>
      </c>
      <c r="C69" s="11"/>
      <c r="D69" s="12"/>
      <c r="E69" s="12"/>
      <c r="F69" s="12"/>
      <c r="G69" s="12"/>
      <c r="H69" s="12"/>
      <c r="I69" s="10"/>
      <c r="J69" s="11"/>
      <c r="K69" s="13"/>
      <c r="L69" s="10"/>
      <c r="M69" s="11"/>
      <c r="N69" s="14" t="str">
        <f>IF(B69="","",SUMIF('Linii comandă'!$B$5:$B$1004,B69,'Linii comandă'!$K$5:$K$1004))</f>
        <v/>
      </c>
      <c r="O69" s="14" t="str">
        <f>IF(B69="","",SUMIF('Linii comandă'!$B$5:$B$1004,B69,'Linii comandă'!$L$5:$L$1004))</f>
        <v/>
      </c>
      <c r="P69" s="14" t="str">
        <f t="shared" ref="P69:P132" si="2">IF(B69="","",N69+O69)</f>
        <v/>
      </c>
      <c r="Q69" s="15" t="str">
        <f>IF(OR(B69="",COUNTIF('Linii comandă'!$B$5:$B$1004,B69)=0),"",IF(SUMIF('Linii comandă'!$B$5:$B$1004,B69,'Linii comandă'!$N$5:$N$1004)&lt;=0,"Completă",IF(SUMIF('Linii comandă'!$B$5:$B$1004,B69,'Linii comandă'!$M$5:$M$1004)&gt;0,"Parțială","Nelivrată")))</f>
        <v/>
      </c>
      <c r="R69" s="10"/>
      <c r="S69" s="15" t="str">
        <f t="shared" ref="S69:S132" ca="1" si="3">IF(B69="","",IF(L69="Anulată","Anulată",IF(AND(L69="Da",Q69&lt;&gt;"Completă",J69&lt;&gt;"",J69&lt;TODAY()),"Întârziată",IF(AND(Q69="Completă",R69&lt;&gt;""),"Facturată",IF(Q69="Completă","Livrată – de facturat",IF(L69&lt;&gt;"Da","Neconfirmată",IF(Q69="Parțială","Livrată parțial","Confirmată – în pregătire")))))))</f>
        <v/>
      </c>
      <c r="T69" s="16" t="str">
        <f ca="1">IF(AND(B69="",D69=""),"",IF(S69="Anulată","",TRIM(IF(COUNTIF($B$5:$B$304,B69)&gt;1,"Număr dublat. ","")&amp;IF(OR(C69="",D69="",H69="",J69="",K69=""),"Date incomplete. ","")&amp;IF(COUNTIF('Linii comandă'!$B$5:$B$1004,B69)=0,"Nicio linie de comandă. ","")&amp;IF(AND(L69&lt;&gt;"Da",C69&lt;&gt;"",TODAY()-C69&gt;ZileConf),"Neconfirmată de "&amp;(TODAY()-C69)&amp;" zile. ","")&amp;IF(S69="Întârziată","Termenul de livrare a trecut: "&amp;RIGHT("0"&amp;DAY(J69),2)&amp;"."&amp;RIGHT("0"&amp;MONTH(J69),2)&amp;"."&amp;YEAR(J69)&amp;". ","")&amp;IF(S69="Livrată – de facturat","Emite factura. ",""))))</f>
        <v/>
      </c>
    </row>
    <row r="70" spans="2:20" x14ac:dyDescent="0.2">
      <c r="B70" s="10" t="str">
        <f>IF(D70="","",MAX($B$5:B69)+1)</f>
        <v/>
      </c>
      <c r="C70" s="11"/>
      <c r="D70" s="12"/>
      <c r="E70" s="12"/>
      <c r="F70" s="12"/>
      <c r="G70" s="12"/>
      <c r="H70" s="12"/>
      <c r="I70" s="10"/>
      <c r="J70" s="11"/>
      <c r="K70" s="13"/>
      <c r="L70" s="10"/>
      <c r="M70" s="11"/>
      <c r="N70" s="14" t="str">
        <f>IF(B70="","",SUMIF('Linii comandă'!$B$5:$B$1004,B70,'Linii comandă'!$K$5:$K$1004))</f>
        <v/>
      </c>
      <c r="O70" s="14" t="str">
        <f>IF(B70="","",SUMIF('Linii comandă'!$B$5:$B$1004,B70,'Linii comandă'!$L$5:$L$1004))</f>
        <v/>
      </c>
      <c r="P70" s="14" t="str">
        <f t="shared" si="2"/>
        <v/>
      </c>
      <c r="Q70" s="15" t="str">
        <f>IF(OR(B70="",COUNTIF('Linii comandă'!$B$5:$B$1004,B70)=0),"",IF(SUMIF('Linii comandă'!$B$5:$B$1004,B70,'Linii comandă'!$N$5:$N$1004)&lt;=0,"Completă",IF(SUMIF('Linii comandă'!$B$5:$B$1004,B70,'Linii comandă'!$M$5:$M$1004)&gt;0,"Parțială","Nelivrată")))</f>
        <v/>
      </c>
      <c r="R70" s="10"/>
      <c r="S70" s="15" t="str">
        <f t="shared" ca="1" si="3"/>
        <v/>
      </c>
      <c r="T70" s="16" t="str">
        <f ca="1">IF(AND(B70="",D70=""),"",IF(S70="Anulată","",TRIM(IF(COUNTIF($B$5:$B$304,B70)&gt;1,"Număr dublat. ","")&amp;IF(OR(C70="",D70="",H70="",J70="",K70=""),"Date incomplete. ","")&amp;IF(COUNTIF('Linii comandă'!$B$5:$B$1004,B70)=0,"Nicio linie de comandă. ","")&amp;IF(AND(L70&lt;&gt;"Da",C70&lt;&gt;"",TODAY()-C70&gt;ZileConf),"Neconfirmată de "&amp;(TODAY()-C70)&amp;" zile. ","")&amp;IF(S70="Întârziată","Termenul de livrare a trecut: "&amp;RIGHT("0"&amp;DAY(J70),2)&amp;"."&amp;RIGHT("0"&amp;MONTH(J70),2)&amp;"."&amp;YEAR(J70)&amp;". ","")&amp;IF(S70="Livrată – de facturat","Emite factura. ",""))))</f>
        <v/>
      </c>
    </row>
    <row r="71" spans="2:20" x14ac:dyDescent="0.2">
      <c r="B71" s="10" t="str">
        <f>IF(D71="","",MAX($B$5:B70)+1)</f>
        <v/>
      </c>
      <c r="C71" s="11"/>
      <c r="D71" s="12"/>
      <c r="E71" s="12"/>
      <c r="F71" s="12"/>
      <c r="G71" s="12"/>
      <c r="H71" s="12"/>
      <c r="I71" s="10"/>
      <c r="J71" s="11"/>
      <c r="K71" s="13"/>
      <c r="L71" s="10"/>
      <c r="M71" s="11"/>
      <c r="N71" s="14" t="str">
        <f>IF(B71="","",SUMIF('Linii comandă'!$B$5:$B$1004,B71,'Linii comandă'!$K$5:$K$1004))</f>
        <v/>
      </c>
      <c r="O71" s="14" t="str">
        <f>IF(B71="","",SUMIF('Linii comandă'!$B$5:$B$1004,B71,'Linii comandă'!$L$5:$L$1004))</f>
        <v/>
      </c>
      <c r="P71" s="14" t="str">
        <f t="shared" si="2"/>
        <v/>
      </c>
      <c r="Q71" s="15" t="str">
        <f>IF(OR(B71="",COUNTIF('Linii comandă'!$B$5:$B$1004,B71)=0),"",IF(SUMIF('Linii comandă'!$B$5:$B$1004,B71,'Linii comandă'!$N$5:$N$1004)&lt;=0,"Completă",IF(SUMIF('Linii comandă'!$B$5:$B$1004,B71,'Linii comandă'!$M$5:$M$1004)&gt;0,"Parțială","Nelivrată")))</f>
        <v/>
      </c>
      <c r="R71" s="10"/>
      <c r="S71" s="15" t="str">
        <f t="shared" ca="1" si="3"/>
        <v/>
      </c>
      <c r="T71" s="16" t="str">
        <f ca="1">IF(AND(B71="",D71=""),"",IF(S71="Anulată","",TRIM(IF(COUNTIF($B$5:$B$304,B71)&gt;1,"Număr dublat. ","")&amp;IF(OR(C71="",D71="",H71="",J71="",K71=""),"Date incomplete. ","")&amp;IF(COUNTIF('Linii comandă'!$B$5:$B$1004,B71)=0,"Nicio linie de comandă. ","")&amp;IF(AND(L71&lt;&gt;"Da",C71&lt;&gt;"",TODAY()-C71&gt;ZileConf),"Neconfirmată de "&amp;(TODAY()-C71)&amp;" zile. ","")&amp;IF(S71="Întârziată","Termenul de livrare a trecut: "&amp;RIGHT("0"&amp;DAY(J71),2)&amp;"."&amp;RIGHT("0"&amp;MONTH(J71),2)&amp;"."&amp;YEAR(J71)&amp;". ","")&amp;IF(S71="Livrată – de facturat","Emite factura. ",""))))</f>
        <v/>
      </c>
    </row>
    <row r="72" spans="2:20" x14ac:dyDescent="0.2">
      <c r="B72" s="10" t="str">
        <f>IF(D72="","",MAX($B$5:B71)+1)</f>
        <v/>
      </c>
      <c r="C72" s="11"/>
      <c r="D72" s="12"/>
      <c r="E72" s="12"/>
      <c r="F72" s="12"/>
      <c r="G72" s="12"/>
      <c r="H72" s="12"/>
      <c r="I72" s="10"/>
      <c r="J72" s="11"/>
      <c r="K72" s="13"/>
      <c r="L72" s="10"/>
      <c r="M72" s="11"/>
      <c r="N72" s="14" t="str">
        <f>IF(B72="","",SUMIF('Linii comandă'!$B$5:$B$1004,B72,'Linii comandă'!$K$5:$K$1004))</f>
        <v/>
      </c>
      <c r="O72" s="14" t="str">
        <f>IF(B72="","",SUMIF('Linii comandă'!$B$5:$B$1004,B72,'Linii comandă'!$L$5:$L$1004))</f>
        <v/>
      </c>
      <c r="P72" s="14" t="str">
        <f t="shared" si="2"/>
        <v/>
      </c>
      <c r="Q72" s="15" t="str">
        <f>IF(OR(B72="",COUNTIF('Linii comandă'!$B$5:$B$1004,B72)=0),"",IF(SUMIF('Linii comandă'!$B$5:$B$1004,B72,'Linii comandă'!$N$5:$N$1004)&lt;=0,"Completă",IF(SUMIF('Linii comandă'!$B$5:$B$1004,B72,'Linii comandă'!$M$5:$M$1004)&gt;0,"Parțială","Nelivrată")))</f>
        <v/>
      </c>
      <c r="R72" s="10"/>
      <c r="S72" s="15" t="str">
        <f t="shared" ca="1" si="3"/>
        <v/>
      </c>
      <c r="T72" s="16" t="str">
        <f ca="1">IF(AND(B72="",D72=""),"",IF(S72="Anulată","",TRIM(IF(COUNTIF($B$5:$B$304,B72)&gt;1,"Număr dublat. ","")&amp;IF(OR(C72="",D72="",H72="",J72="",K72=""),"Date incomplete. ","")&amp;IF(COUNTIF('Linii comandă'!$B$5:$B$1004,B72)=0,"Nicio linie de comandă. ","")&amp;IF(AND(L72&lt;&gt;"Da",C72&lt;&gt;"",TODAY()-C72&gt;ZileConf),"Neconfirmată de "&amp;(TODAY()-C72)&amp;" zile. ","")&amp;IF(S72="Întârziată","Termenul de livrare a trecut: "&amp;RIGHT("0"&amp;DAY(J72),2)&amp;"."&amp;RIGHT("0"&amp;MONTH(J72),2)&amp;"."&amp;YEAR(J72)&amp;". ","")&amp;IF(S72="Livrată – de facturat","Emite factura. ",""))))</f>
        <v/>
      </c>
    </row>
    <row r="73" spans="2:20" x14ac:dyDescent="0.2">
      <c r="B73" s="10" t="str">
        <f>IF(D73="","",MAX($B$5:B72)+1)</f>
        <v/>
      </c>
      <c r="C73" s="11"/>
      <c r="D73" s="12"/>
      <c r="E73" s="12"/>
      <c r="F73" s="12"/>
      <c r="G73" s="12"/>
      <c r="H73" s="12"/>
      <c r="I73" s="10"/>
      <c r="J73" s="11"/>
      <c r="K73" s="13"/>
      <c r="L73" s="10"/>
      <c r="M73" s="11"/>
      <c r="N73" s="14" t="str">
        <f>IF(B73="","",SUMIF('Linii comandă'!$B$5:$B$1004,B73,'Linii comandă'!$K$5:$K$1004))</f>
        <v/>
      </c>
      <c r="O73" s="14" t="str">
        <f>IF(B73="","",SUMIF('Linii comandă'!$B$5:$B$1004,B73,'Linii comandă'!$L$5:$L$1004))</f>
        <v/>
      </c>
      <c r="P73" s="14" t="str">
        <f t="shared" si="2"/>
        <v/>
      </c>
      <c r="Q73" s="15" t="str">
        <f>IF(OR(B73="",COUNTIF('Linii comandă'!$B$5:$B$1004,B73)=0),"",IF(SUMIF('Linii comandă'!$B$5:$B$1004,B73,'Linii comandă'!$N$5:$N$1004)&lt;=0,"Completă",IF(SUMIF('Linii comandă'!$B$5:$B$1004,B73,'Linii comandă'!$M$5:$M$1004)&gt;0,"Parțială","Nelivrată")))</f>
        <v/>
      </c>
      <c r="R73" s="10"/>
      <c r="S73" s="15" t="str">
        <f t="shared" ca="1" si="3"/>
        <v/>
      </c>
      <c r="T73" s="16" t="str">
        <f ca="1">IF(AND(B73="",D73=""),"",IF(S73="Anulată","",TRIM(IF(COUNTIF($B$5:$B$304,B73)&gt;1,"Număr dublat. ","")&amp;IF(OR(C73="",D73="",H73="",J73="",K73=""),"Date incomplete. ","")&amp;IF(COUNTIF('Linii comandă'!$B$5:$B$1004,B73)=0,"Nicio linie de comandă. ","")&amp;IF(AND(L73&lt;&gt;"Da",C73&lt;&gt;"",TODAY()-C73&gt;ZileConf),"Neconfirmată de "&amp;(TODAY()-C73)&amp;" zile. ","")&amp;IF(S73="Întârziată","Termenul de livrare a trecut: "&amp;RIGHT("0"&amp;DAY(J73),2)&amp;"."&amp;RIGHT("0"&amp;MONTH(J73),2)&amp;"."&amp;YEAR(J73)&amp;". ","")&amp;IF(S73="Livrată – de facturat","Emite factura. ",""))))</f>
        <v/>
      </c>
    </row>
    <row r="74" spans="2:20" x14ac:dyDescent="0.2">
      <c r="B74" s="10" t="str">
        <f>IF(D74="","",MAX($B$5:B73)+1)</f>
        <v/>
      </c>
      <c r="C74" s="11"/>
      <c r="D74" s="12"/>
      <c r="E74" s="12"/>
      <c r="F74" s="12"/>
      <c r="G74" s="12"/>
      <c r="H74" s="12"/>
      <c r="I74" s="10"/>
      <c r="J74" s="11"/>
      <c r="K74" s="13"/>
      <c r="L74" s="10"/>
      <c r="M74" s="11"/>
      <c r="N74" s="14" t="str">
        <f>IF(B74="","",SUMIF('Linii comandă'!$B$5:$B$1004,B74,'Linii comandă'!$K$5:$K$1004))</f>
        <v/>
      </c>
      <c r="O74" s="14" t="str">
        <f>IF(B74="","",SUMIF('Linii comandă'!$B$5:$B$1004,B74,'Linii comandă'!$L$5:$L$1004))</f>
        <v/>
      </c>
      <c r="P74" s="14" t="str">
        <f t="shared" si="2"/>
        <v/>
      </c>
      <c r="Q74" s="15" t="str">
        <f>IF(OR(B74="",COUNTIF('Linii comandă'!$B$5:$B$1004,B74)=0),"",IF(SUMIF('Linii comandă'!$B$5:$B$1004,B74,'Linii comandă'!$N$5:$N$1004)&lt;=0,"Completă",IF(SUMIF('Linii comandă'!$B$5:$B$1004,B74,'Linii comandă'!$M$5:$M$1004)&gt;0,"Parțială","Nelivrată")))</f>
        <v/>
      </c>
      <c r="R74" s="10"/>
      <c r="S74" s="15" t="str">
        <f t="shared" ca="1" si="3"/>
        <v/>
      </c>
      <c r="T74" s="16" t="str">
        <f ca="1">IF(AND(B74="",D74=""),"",IF(S74="Anulată","",TRIM(IF(COUNTIF($B$5:$B$304,B74)&gt;1,"Număr dublat. ","")&amp;IF(OR(C74="",D74="",H74="",J74="",K74=""),"Date incomplete. ","")&amp;IF(COUNTIF('Linii comandă'!$B$5:$B$1004,B74)=0,"Nicio linie de comandă. ","")&amp;IF(AND(L74&lt;&gt;"Da",C74&lt;&gt;"",TODAY()-C74&gt;ZileConf),"Neconfirmată de "&amp;(TODAY()-C74)&amp;" zile. ","")&amp;IF(S74="Întârziată","Termenul de livrare a trecut: "&amp;RIGHT("0"&amp;DAY(J74),2)&amp;"."&amp;RIGHT("0"&amp;MONTH(J74),2)&amp;"."&amp;YEAR(J74)&amp;". ","")&amp;IF(S74="Livrată – de facturat","Emite factura. ",""))))</f>
        <v/>
      </c>
    </row>
    <row r="75" spans="2:20" x14ac:dyDescent="0.2">
      <c r="B75" s="10" t="str">
        <f>IF(D75="","",MAX($B$5:B74)+1)</f>
        <v/>
      </c>
      <c r="C75" s="11"/>
      <c r="D75" s="12"/>
      <c r="E75" s="12"/>
      <c r="F75" s="12"/>
      <c r="G75" s="12"/>
      <c r="H75" s="12"/>
      <c r="I75" s="10"/>
      <c r="J75" s="11"/>
      <c r="K75" s="13"/>
      <c r="L75" s="10"/>
      <c r="M75" s="11"/>
      <c r="N75" s="14" t="str">
        <f>IF(B75="","",SUMIF('Linii comandă'!$B$5:$B$1004,B75,'Linii comandă'!$K$5:$K$1004))</f>
        <v/>
      </c>
      <c r="O75" s="14" t="str">
        <f>IF(B75="","",SUMIF('Linii comandă'!$B$5:$B$1004,B75,'Linii comandă'!$L$5:$L$1004))</f>
        <v/>
      </c>
      <c r="P75" s="14" t="str">
        <f t="shared" si="2"/>
        <v/>
      </c>
      <c r="Q75" s="15" t="str">
        <f>IF(OR(B75="",COUNTIF('Linii comandă'!$B$5:$B$1004,B75)=0),"",IF(SUMIF('Linii comandă'!$B$5:$B$1004,B75,'Linii comandă'!$N$5:$N$1004)&lt;=0,"Completă",IF(SUMIF('Linii comandă'!$B$5:$B$1004,B75,'Linii comandă'!$M$5:$M$1004)&gt;0,"Parțială","Nelivrată")))</f>
        <v/>
      </c>
      <c r="R75" s="10"/>
      <c r="S75" s="15" t="str">
        <f t="shared" ca="1" si="3"/>
        <v/>
      </c>
      <c r="T75" s="16" t="str">
        <f ca="1">IF(AND(B75="",D75=""),"",IF(S75="Anulată","",TRIM(IF(COUNTIF($B$5:$B$304,B75)&gt;1,"Număr dublat. ","")&amp;IF(OR(C75="",D75="",H75="",J75="",K75=""),"Date incomplete. ","")&amp;IF(COUNTIF('Linii comandă'!$B$5:$B$1004,B75)=0,"Nicio linie de comandă. ","")&amp;IF(AND(L75&lt;&gt;"Da",C75&lt;&gt;"",TODAY()-C75&gt;ZileConf),"Neconfirmată de "&amp;(TODAY()-C75)&amp;" zile. ","")&amp;IF(S75="Întârziată","Termenul de livrare a trecut: "&amp;RIGHT("0"&amp;DAY(J75),2)&amp;"."&amp;RIGHT("0"&amp;MONTH(J75),2)&amp;"."&amp;YEAR(J75)&amp;". ","")&amp;IF(S75="Livrată – de facturat","Emite factura. ",""))))</f>
        <v/>
      </c>
    </row>
    <row r="76" spans="2:20" x14ac:dyDescent="0.2">
      <c r="B76" s="10" t="str">
        <f>IF(D76="","",MAX($B$5:B75)+1)</f>
        <v/>
      </c>
      <c r="C76" s="11"/>
      <c r="D76" s="12"/>
      <c r="E76" s="12"/>
      <c r="F76" s="12"/>
      <c r="G76" s="12"/>
      <c r="H76" s="12"/>
      <c r="I76" s="10"/>
      <c r="J76" s="11"/>
      <c r="K76" s="13"/>
      <c r="L76" s="10"/>
      <c r="M76" s="11"/>
      <c r="N76" s="14" t="str">
        <f>IF(B76="","",SUMIF('Linii comandă'!$B$5:$B$1004,B76,'Linii comandă'!$K$5:$K$1004))</f>
        <v/>
      </c>
      <c r="O76" s="14" t="str">
        <f>IF(B76="","",SUMIF('Linii comandă'!$B$5:$B$1004,B76,'Linii comandă'!$L$5:$L$1004))</f>
        <v/>
      </c>
      <c r="P76" s="14" t="str">
        <f t="shared" si="2"/>
        <v/>
      </c>
      <c r="Q76" s="15" t="str">
        <f>IF(OR(B76="",COUNTIF('Linii comandă'!$B$5:$B$1004,B76)=0),"",IF(SUMIF('Linii comandă'!$B$5:$B$1004,B76,'Linii comandă'!$N$5:$N$1004)&lt;=0,"Completă",IF(SUMIF('Linii comandă'!$B$5:$B$1004,B76,'Linii comandă'!$M$5:$M$1004)&gt;0,"Parțială","Nelivrată")))</f>
        <v/>
      </c>
      <c r="R76" s="10"/>
      <c r="S76" s="15" t="str">
        <f t="shared" ca="1" si="3"/>
        <v/>
      </c>
      <c r="T76" s="16" t="str">
        <f ca="1">IF(AND(B76="",D76=""),"",IF(S76="Anulată","",TRIM(IF(COUNTIF($B$5:$B$304,B76)&gt;1,"Număr dublat. ","")&amp;IF(OR(C76="",D76="",H76="",J76="",K76=""),"Date incomplete. ","")&amp;IF(COUNTIF('Linii comandă'!$B$5:$B$1004,B76)=0,"Nicio linie de comandă. ","")&amp;IF(AND(L76&lt;&gt;"Da",C76&lt;&gt;"",TODAY()-C76&gt;ZileConf),"Neconfirmată de "&amp;(TODAY()-C76)&amp;" zile. ","")&amp;IF(S76="Întârziată","Termenul de livrare a trecut: "&amp;RIGHT("0"&amp;DAY(J76),2)&amp;"."&amp;RIGHT("0"&amp;MONTH(J76),2)&amp;"."&amp;YEAR(J76)&amp;". ","")&amp;IF(S76="Livrată – de facturat","Emite factura. ",""))))</f>
        <v/>
      </c>
    </row>
    <row r="77" spans="2:20" x14ac:dyDescent="0.2">
      <c r="B77" s="10" t="str">
        <f>IF(D77="","",MAX($B$5:B76)+1)</f>
        <v/>
      </c>
      <c r="C77" s="11"/>
      <c r="D77" s="12"/>
      <c r="E77" s="12"/>
      <c r="F77" s="12"/>
      <c r="G77" s="12"/>
      <c r="H77" s="12"/>
      <c r="I77" s="10"/>
      <c r="J77" s="11"/>
      <c r="K77" s="13"/>
      <c r="L77" s="10"/>
      <c r="M77" s="11"/>
      <c r="N77" s="14" t="str">
        <f>IF(B77="","",SUMIF('Linii comandă'!$B$5:$B$1004,B77,'Linii comandă'!$K$5:$K$1004))</f>
        <v/>
      </c>
      <c r="O77" s="14" t="str">
        <f>IF(B77="","",SUMIF('Linii comandă'!$B$5:$B$1004,B77,'Linii comandă'!$L$5:$L$1004))</f>
        <v/>
      </c>
      <c r="P77" s="14" t="str">
        <f t="shared" si="2"/>
        <v/>
      </c>
      <c r="Q77" s="15" t="str">
        <f>IF(OR(B77="",COUNTIF('Linii comandă'!$B$5:$B$1004,B77)=0),"",IF(SUMIF('Linii comandă'!$B$5:$B$1004,B77,'Linii comandă'!$N$5:$N$1004)&lt;=0,"Completă",IF(SUMIF('Linii comandă'!$B$5:$B$1004,B77,'Linii comandă'!$M$5:$M$1004)&gt;0,"Parțială","Nelivrată")))</f>
        <v/>
      </c>
      <c r="R77" s="10"/>
      <c r="S77" s="15" t="str">
        <f t="shared" ca="1" si="3"/>
        <v/>
      </c>
      <c r="T77" s="16" t="str">
        <f ca="1">IF(AND(B77="",D77=""),"",IF(S77="Anulată","",TRIM(IF(COUNTIF($B$5:$B$304,B77)&gt;1,"Număr dublat. ","")&amp;IF(OR(C77="",D77="",H77="",J77="",K77=""),"Date incomplete. ","")&amp;IF(COUNTIF('Linii comandă'!$B$5:$B$1004,B77)=0,"Nicio linie de comandă. ","")&amp;IF(AND(L77&lt;&gt;"Da",C77&lt;&gt;"",TODAY()-C77&gt;ZileConf),"Neconfirmată de "&amp;(TODAY()-C77)&amp;" zile. ","")&amp;IF(S77="Întârziată","Termenul de livrare a trecut: "&amp;RIGHT("0"&amp;DAY(J77),2)&amp;"."&amp;RIGHT("0"&amp;MONTH(J77),2)&amp;"."&amp;YEAR(J77)&amp;". ","")&amp;IF(S77="Livrată – de facturat","Emite factura. ",""))))</f>
        <v/>
      </c>
    </row>
    <row r="78" spans="2:20" x14ac:dyDescent="0.2">
      <c r="B78" s="10" t="str">
        <f>IF(D78="","",MAX($B$5:B77)+1)</f>
        <v/>
      </c>
      <c r="C78" s="11"/>
      <c r="D78" s="12"/>
      <c r="E78" s="12"/>
      <c r="F78" s="12"/>
      <c r="G78" s="12"/>
      <c r="H78" s="12"/>
      <c r="I78" s="10"/>
      <c r="J78" s="11"/>
      <c r="K78" s="13"/>
      <c r="L78" s="10"/>
      <c r="M78" s="11"/>
      <c r="N78" s="14" t="str">
        <f>IF(B78="","",SUMIF('Linii comandă'!$B$5:$B$1004,B78,'Linii comandă'!$K$5:$K$1004))</f>
        <v/>
      </c>
      <c r="O78" s="14" t="str">
        <f>IF(B78="","",SUMIF('Linii comandă'!$B$5:$B$1004,B78,'Linii comandă'!$L$5:$L$1004))</f>
        <v/>
      </c>
      <c r="P78" s="14" t="str">
        <f t="shared" si="2"/>
        <v/>
      </c>
      <c r="Q78" s="15" t="str">
        <f>IF(OR(B78="",COUNTIF('Linii comandă'!$B$5:$B$1004,B78)=0),"",IF(SUMIF('Linii comandă'!$B$5:$B$1004,B78,'Linii comandă'!$N$5:$N$1004)&lt;=0,"Completă",IF(SUMIF('Linii comandă'!$B$5:$B$1004,B78,'Linii comandă'!$M$5:$M$1004)&gt;0,"Parțială","Nelivrată")))</f>
        <v/>
      </c>
      <c r="R78" s="10"/>
      <c r="S78" s="15" t="str">
        <f t="shared" ca="1" si="3"/>
        <v/>
      </c>
      <c r="T78" s="16" t="str">
        <f ca="1">IF(AND(B78="",D78=""),"",IF(S78="Anulată","",TRIM(IF(COUNTIF($B$5:$B$304,B78)&gt;1,"Număr dublat. ","")&amp;IF(OR(C78="",D78="",H78="",J78="",K78=""),"Date incomplete. ","")&amp;IF(COUNTIF('Linii comandă'!$B$5:$B$1004,B78)=0,"Nicio linie de comandă. ","")&amp;IF(AND(L78&lt;&gt;"Da",C78&lt;&gt;"",TODAY()-C78&gt;ZileConf),"Neconfirmată de "&amp;(TODAY()-C78)&amp;" zile. ","")&amp;IF(S78="Întârziată","Termenul de livrare a trecut: "&amp;RIGHT("0"&amp;DAY(J78),2)&amp;"."&amp;RIGHT("0"&amp;MONTH(J78),2)&amp;"."&amp;YEAR(J78)&amp;". ","")&amp;IF(S78="Livrată – de facturat","Emite factura. ",""))))</f>
        <v/>
      </c>
    </row>
    <row r="79" spans="2:20" x14ac:dyDescent="0.2">
      <c r="B79" s="10" t="str">
        <f>IF(D79="","",MAX($B$5:B78)+1)</f>
        <v/>
      </c>
      <c r="C79" s="11"/>
      <c r="D79" s="12"/>
      <c r="E79" s="12"/>
      <c r="F79" s="12"/>
      <c r="G79" s="12"/>
      <c r="H79" s="12"/>
      <c r="I79" s="10"/>
      <c r="J79" s="11"/>
      <c r="K79" s="13"/>
      <c r="L79" s="10"/>
      <c r="M79" s="11"/>
      <c r="N79" s="14" t="str">
        <f>IF(B79="","",SUMIF('Linii comandă'!$B$5:$B$1004,B79,'Linii comandă'!$K$5:$K$1004))</f>
        <v/>
      </c>
      <c r="O79" s="14" t="str">
        <f>IF(B79="","",SUMIF('Linii comandă'!$B$5:$B$1004,B79,'Linii comandă'!$L$5:$L$1004))</f>
        <v/>
      </c>
      <c r="P79" s="14" t="str">
        <f t="shared" si="2"/>
        <v/>
      </c>
      <c r="Q79" s="15" t="str">
        <f>IF(OR(B79="",COUNTIF('Linii comandă'!$B$5:$B$1004,B79)=0),"",IF(SUMIF('Linii comandă'!$B$5:$B$1004,B79,'Linii comandă'!$N$5:$N$1004)&lt;=0,"Completă",IF(SUMIF('Linii comandă'!$B$5:$B$1004,B79,'Linii comandă'!$M$5:$M$1004)&gt;0,"Parțială","Nelivrată")))</f>
        <v/>
      </c>
      <c r="R79" s="10"/>
      <c r="S79" s="15" t="str">
        <f t="shared" ca="1" si="3"/>
        <v/>
      </c>
      <c r="T79" s="16" t="str">
        <f ca="1">IF(AND(B79="",D79=""),"",IF(S79="Anulată","",TRIM(IF(COUNTIF($B$5:$B$304,B79)&gt;1,"Număr dublat. ","")&amp;IF(OR(C79="",D79="",H79="",J79="",K79=""),"Date incomplete. ","")&amp;IF(COUNTIF('Linii comandă'!$B$5:$B$1004,B79)=0,"Nicio linie de comandă. ","")&amp;IF(AND(L79&lt;&gt;"Da",C79&lt;&gt;"",TODAY()-C79&gt;ZileConf),"Neconfirmată de "&amp;(TODAY()-C79)&amp;" zile. ","")&amp;IF(S79="Întârziată","Termenul de livrare a trecut: "&amp;RIGHT("0"&amp;DAY(J79),2)&amp;"."&amp;RIGHT("0"&amp;MONTH(J79),2)&amp;"."&amp;YEAR(J79)&amp;". ","")&amp;IF(S79="Livrată – de facturat","Emite factura. ",""))))</f>
        <v/>
      </c>
    </row>
    <row r="80" spans="2:20" x14ac:dyDescent="0.2">
      <c r="B80" s="10" t="str">
        <f>IF(D80="","",MAX($B$5:B79)+1)</f>
        <v/>
      </c>
      <c r="C80" s="11"/>
      <c r="D80" s="12"/>
      <c r="E80" s="12"/>
      <c r="F80" s="12"/>
      <c r="G80" s="12"/>
      <c r="H80" s="12"/>
      <c r="I80" s="10"/>
      <c r="J80" s="11"/>
      <c r="K80" s="13"/>
      <c r="L80" s="10"/>
      <c r="M80" s="11"/>
      <c r="N80" s="14" t="str">
        <f>IF(B80="","",SUMIF('Linii comandă'!$B$5:$B$1004,B80,'Linii comandă'!$K$5:$K$1004))</f>
        <v/>
      </c>
      <c r="O80" s="14" t="str">
        <f>IF(B80="","",SUMIF('Linii comandă'!$B$5:$B$1004,B80,'Linii comandă'!$L$5:$L$1004))</f>
        <v/>
      </c>
      <c r="P80" s="14" t="str">
        <f t="shared" si="2"/>
        <v/>
      </c>
      <c r="Q80" s="15" t="str">
        <f>IF(OR(B80="",COUNTIF('Linii comandă'!$B$5:$B$1004,B80)=0),"",IF(SUMIF('Linii comandă'!$B$5:$B$1004,B80,'Linii comandă'!$N$5:$N$1004)&lt;=0,"Completă",IF(SUMIF('Linii comandă'!$B$5:$B$1004,B80,'Linii comandă'!$M$5:$M$1004)&gt;0,"Parțială","Nelivrată")))</f>
        <v/>
      </c>
      <c r="R80" s="10"/>
      <c r="S80" s="15" t="str">
        <f t="shared" ca="1" si="3"/>
        <v/>
      </c>
      <c r="T80" s="16" t="str">
        <f ca="1">IF(AND(B80="",D80=""),"",IF(S80="Anulată","",TRIM(IF(COUNTIF($B$5:$B$304,B80)&gt;1,"Număr dublat. ","")&amp;IF(OR(C80="",D80="",H80="",J80="",K80=""),"Date incomplete. ","")&amp;IF(COUNTIF('Linii comandă'!$B$5:$B$1004,B80)=0,"Nicio linie de comandă. ","")&amp;IF(AND(L80&lt;&gt;"Da",C80&lt;&gt;"",TODAY()-C80&gt;ZileConf),"Neconfirmată de "&amp;(TODAY()-C80)&amp;" zile. ","")&amp;IF(S80="Întârziată","Termenul de livrare a trecut: "&amp;RIGHT("0"&amp;DAY(J80),2)&amp;"."&amp;RIGHT("0"&amp;MONTH(J80),2)&amp;"."&amp;YEAR(J80)&amp;". ","")&amp;IF(S80="Livrată – de facturat","Emite factura. ",""))))</f>
        <v/>
      </c>
    </row>
    <row r="81" spans="2:20" x14ac:dyDescent="0.2">
      <c r="B81" s="10" t="str">
        <f>IF(D81="","",MAX($B$5:B80)+1)</f>
        <v/>
      </c>
      <c r="C81" s="11"/>
      <c r="D81" s="12"/>
      <c r="E81" s="12"/>
      <c r="F81" s="12"/>
      <c r="G81" s="12"/>
      <c r="H81" s="12"/>
      <c r="I81" s="10"/>
      <c r="J81" s="11"/>
      <c r="K81" s="13"/>
      <c r="L81" s="10"/>
      <c r="M81" s="11"/>
      <c r="N81" s="14" t="str">
        <f>IF(B81="","",SUMIF('Linii comandă'!$B$5:$B$1004,B81,'Linii comandă'!$K$5:$K$1004))</f>
        <v/>
      </c>
      <c r="O81" s="14" t="str">
        <f>IF(B81="","",SUMIF('Linii comandă'!$B$5:$B$1004,B81,'Linii comandă'!$L$5:$L$1004))</f>
        <v/>
      </c>
      <c r="P81" s="14" t="str">
        <f t="shared" si="2"/>
        <v/>
      </c>
      <c r="Q81" s="15" t="str">
        <f>IF(OR(B81="",COUNTIF('Linii comandă'!$B$5:$B$1004,B81)=0),"",IF(SUMIF('Linii comandă'!$B$5:$B$1004,B81,'Linii comandă'!$N$5:$N$1004)&lt;=0,"Completă",IF(SUMIF('Linii comandă'!$B$5:$B$1004,B81,'Linii comandă'!$M$5:$M$1004)&gt;0,"Parțială","Nelivrată")))</f>
        <v/>
      </c>
      <c r="R81" s="10"/>
      <c r="S81" s="15" t="str">
        <f t="shared" ca="1" si="3"/>
        <v/>
      </c>
      <c r="T81" s="16" t="str">
        <f ca="1">IF(AND(B81="",D81=""),"",IF(S81="Anulată","",TRIM(IF(COUNTIF($B$5:$B$304,B81)&gt;1,"Număr dublat. ","")&amp;IF(OR(C81="",D81="",H81="",J81="",K81=""),"Date incomplete. ","")&amp;IF(COUNTIF('Linii comandă'!$B$5:$B$1004,B81)=0,"Nicio linie de comandă. ","")&amp;IF(AND(L81&lt;&gt;"Da",C81&lt;&gt;"",TODAY()-C81&gt;ZileConf),"Neconfirmată de "&amp;(TODAY()-C81)&amp;" zile. ","")&amp;IF(S81="Întârziată","Termenul de livrare a trecut: "&amp;RIGHT("0"&amp;DAY(J81),2)&amp;"."&amp;RIGHT("0"&amp;MONTH(J81),2)&amp;"."&amp;YEAR(J81)&amp;". ","")&amp;IF(S81="Livrată – de facturat","Emite factura. ",""))))</f>
        <v/>
      </c>
    </row>
    <row r="82" spans="2:20" x14ac:dyDescent="0.2">
      <c r="B82" s="10" t="str">
        <f>IF(D82="","",MAX($B$5:B81)+1)</f>
        <v/>
      </c>
      <c r="C82" s="11"/>
      <c r="D82" s="12"/>
      <c r="E82" s="12"/>
      <c r="F82" s="12"/>
      <c r="G82" s="12"/>
      <c r="H82" s="12"/>
      <c r="I82" s="10"/>
      <c r="J82" s="11"/>
      <c r="K82" s="13"/>
      <c r="L82" s="10"/>
      <c r="M82" s="11"/>
      <c r="N82" s="14" t="str">
        <f>IF(B82="","",SUMIF('Linii comandă'!$B$5:$B$1004,B82,'Linii comandă'!$K$5:$K$1004))</f>
        <v/>
      </c>
      <c r="O82" s="14" t="str">
        <f>IF(B82="","",SUMIF('Linii comandă'!$B$5:$B$1004,B82,'Linii comandă'!$L$5:$L$1004))</f>
        <v/>
      </c>
      <c r="P82" s="14" t="str">
        <f t="shared" si="2"/>
        <v/>
      </c>
      <c r="Q82" s="15" t="str">
        <f>IF(OR(B82="",COUNTIF('Linii comandă'!$B$5:$B$1004,B82)=0),"",IF(SUMIF('Linii comandă'!$B$5:$B$1004,B82,'Linii comandă'!$N$5:$N$1004)&lt;=0,"Completă",IF(SUMIF('Linii comandă'!$B$5:$B$1004,B82,'Linii comandă'!$M$5:$M$1004)&gt;0,"Parțială","Nelivrată")))</f>
        <v/>
      </c>
      <c r="R82" s="10"/>
      <c r="S82" s="15" t="str">
        <f t="shared" ca="1" si="3"/>
        <v/>
      </c>
      <c r="T82" s="16" t="str">
        <f ca="1">IF(AND(B82="",D82=""),"",IF(S82="Anulată","",TRIM(IF(COUNTIF($B$5:$B$304,B82)&gt;1,"Număr dublat. ","")&amp;IF(OR(C82="",D82="",H82="",J82="",K82=""),"Date incomplete. ","")&amp;IF(COUNTIF('Linii comandă'!$B$5:$B$1004,B82)=0,"Nicio linie de comandă. ","")&amp;IF(AND(L82&lt;&gt;"Da",C82&lt;&gt;"",TODAY()-C82&gt;ZileConf),"Neconfirmată de "&amp;(TODAY()-C82)&amp;" zile. ","")&amp;IF(S82="Întârziată","Termenul de livrare a trecut: "&amp;RIGHT("0"&amp;DAY(J82),2)&amp;"."&amp;RIGHT("0"&amp;MONTH(J82),2)&amp;"."&amp;YEAR(J82)&amp;". ","")&amp;IF(S82="Livrată – de facturat","Emite factura. ",""))))</f>
        <v/>
      </c>
    </row>
    <row r="83" spans="2:20" x14ac:dyDescent="0.2">
      <c r="B83" s="10" t="str">
        <f>IF(D83="","",MAX($B$5:B82)+1)</f>
        <v/>
      </c>
      <c r="C83" s="11"/>
      <c r="D83" s="12"/>
      <c r="E83" s="12"/>
      <c r="F83" s="12"/>
      <c r="G83" s="12"/>
      <c r="H83" s="12"/>
      <c r="I83" s="10"/>
      <c r="J83" s="11"/>
      <c r="K83" s="13"/>
      <c r="L83" s="10"/>
      <c r="M83" s="11"/>
      <c r="N83" s="14" t="str">
        <f>IF(B83="","",SUMIF('Linii comandă'!$B$5:$B$1004,B83,'Linii comandă'!$K$5:$K$1004))</f>
        <v/>
      </c>
      <c r="O83" s="14" t="str">
        <f>IF(B83="","",SUMIF('Linii comandă'!$B$5:$B$1004,B83,'Linii comandă'!$L$5:$L$1004))</f>
        <v/>
      </c>
      <c r="P83" s="14" t="str">
        <f t="shared" si="2"/>
        <v/>
      </c>
      <c r="Q83" s="15" t="str">
        <f>IF(OR(B83="",COUNTIF('Linii comandă'!$B$5:$B$1004,B83)=0),"",IF(SUMIF('Linii comandă'!$B$5:$B$1004,B83,'Linii comandă'!$N$5:$N$1004)&lt;=0,"Completă",IF(SUMIF('Linii comandă'!$B$5:$B$1004,B83,'Linii comandă'!$M$5:$M$1004)&gt;0,"Parțială","Nelivrată")))</f>
        <v/>
      </c>
      <c r="R83" s="10"/>
      <c r="S83" s="15" t="str">
        <f t="shared" ca="1" si="3"/>
        <v/>
      </c>
      <c r="T83" s="16" t="str">
        <f ca="1">IF(AND(B83="",D83=""),"",IF(S83="Anulată","",TRIM(IF(COUNTIF($B$5:$B$304,B83)&gt;1,"Număr dublat. ","")&amp;IF(OR(C83="",D83="",H83="",J83="",K83=""),"Date incomplete. ","")&amp;IF(COUNTIF('Linii comandă'!$B$5:$B$1004,B83)=0,"Nicio linie de comandă. ","")&amp;IF(AND(L83&lt;&gt;"Da",C83&lt;&gt;"",TODAY()-C83&gt;ZileConf),"Neconfirmată de "&amp;(TODAY()-C83)&amp;" zile. ","")&amp;IF(S83="Întârziată","Termenul de livrare a trecut: "&amp;RIGHT("0"&amp;DAY(J83),2)&amp;"."&amp;RIGHT("0"&amp;MONTH(J83),2)&amp;"."&amp;YEAR(J83)&amp;". ","")&amp;IF(S83="Livrată – de facturat","Emite factura. ",""))))</f>
        <v/>
      </c>
    </row>
    <row r="84" spans="2:20" x14ac:dyDescent="0.2">
      <c r="B84" s="10" t="str">
        <f>IF(D84="","",MAX($B$5:B83)+1)</f>
        <v/>
      </c>
      <c r="C84" s="11"/>
      <c r="D84" s="12"/>
      <c r="E84" s="12"/>
      <c r="F84" s="12"/>
      <c r="G84" s="12"/>
      <c r="H84" s="12"/>
      <c r="I84" s="10"/>
      <c r="J84" s="11"/>
      <c r="K84" s="13"/>
      <c r="L84" s="10"/>
      <c r="M84" s="11"/>
      <c r="N84" s="14" t="str">
        <f>IF(B84="","",SUMIF('Linii comandă'!$B$5:$B$1004,B84,'Linii comandă'!$K$5:$K$1004))</f>
        <v/>
      </c>
      <c r="O84" s="14" t="str">
        <f>IF(B84="","",SUMIF('Linii comandă'!$B$5:$B$1004,B84,'Linii comandă'!$L$5:$L$1004))</f>
        <v/>
      </c>
      <c r="P84" s="14" t="str">
        <f t="shared" si="2"/>
        <v/>
      </c>
      <c r="Q84" s="15" t="str">
        <f>IF(OR(B84="",COUNTIF('Linii comandă'!$B$5:$B$1004,B84)=0),"",IF(SUMIF('Linii comandă'!$B$5:$B$1004,B84,'Linii comandă'!$N$5:$N$1004)&lt;=0,"Completă",IF(SUMIF('Linii comandă'!$B$5:$B$1004,B84,'Linii comandă'!$M$5:$M$1004)&gt;0,"Parțială","Nelivrată")))</f>
        <v/>
      </c>
      <c r="R84" s="10"/>
      <c r="S84" s="15" t="str">
        <f t="shared" ca="1" si="3"/>
        <v/>
      </c>
      <c r="T84" s="16" t="str">
        <f ca="1">IF(AND(B84="",D84=""),"",IF(S84="Anulată","",TRIM(IF(COUNTIF($B$5:$B$304,B84)&gt;1,"Număr dublat. ","")&amp;IF(OR(C84="",D84="",H84="",J84="",K84=""),"Date incomplete. ","")&amp;IF(COUNTIF('Linii comandă'!$B$5:$B$1004,B84)=0,"Nicio linie de comandă. ","")&amp;IF(AND(L84&lt;&gt;"Da",C84&lt;&gt;"",TODAY()-C84&gt;ZileConf),"Neconfirmată de "&amp;(TODAY()-C84)&amp;" zile. ","")&amp;IF(S84="Întârziată","Termenul de livrare a trecut: "&amp;RIGHT("0"&amp;DAY(J84),2)&amp;"."&amp;RIGHT("0"&amp;MONTH(J84),2)&amp;"."&amp;YEAR(J84)&amp;". ","")&amp;IF(S84="Livrată – de facturat","Emite factura. ",""))))</f>
        <v/>
      </c>
    </row>
    <row r="85" spans="2:20" x14ac:dyDescent="0.2">
      <c r="B85" s="10" t="str">
        <f>IF(D85="","",MAX($B$5:B84)+1)</f>
        <v/>
      </c>
      <c r="C85" s="11"/>
      <c r="D85" s="12"/>
      <c r="E85" s="12"/>
      <c r="F85" s="12"/>
      <c r="G85" s="12"/>
      <c r="H85" s="12"/>
      <c r="I85" s="10"/>
      <c r="J85" s="11"/>
      <c r="K85" s="13"/>
      <c r="L85" s="10"/>
      <c r="M85" s="11"/>
      <c r="N85" s="14" t="str">
        <f>IF(B85="","",SUMIF('Linii comandă'!$B$5:$B$1004,B85,'Linii comandă'!$K$5:$K$1004))</f>
        <v/>
      </c>
      <c r="O85" s="14" t="str">
        <f>IF(B85="","",SUMIF('Linii comandă'!$B$5:$B$1004,B85,'Linii comandă'!$L$5:$L$1004))</f>
        <v/>
      </c>
      <c r="P85" s="14" t="str">
        <f t="shared" si="2"/>
        <v/>
      </c>
      <c r="Q85" s="15" t="str">
        <f>IF(OR(B85="",COUNTIF('Linii comandă'!$B$5:$B$1004,B85)=0),"",IF(SUMIF('Linii comandă'!$B$5:$B$1004,B85,'Linii comandă'!$N$5:$N$1004)&lt;=0,"Completă",IF(SUMIF('Linii comandă'!$B$5:$B$1004,B85,'Linii comandă'!$M$5:$M$1004)&gt;0,"Parțială","Nelivrată")))</f>
        <v/>
      </c>
      <c r="R85" s="10"/>
      <c r="S85" s="15" t="str">
        <f t="shared" ca="1" si="3"/>
        <v/>
      </c>
      <c r="T85" s="16" t="str">
        <f ca="1">IF(AND(B85="",D85=""),"",IF(S85="Anulată","",TRIM(IF(COUNTIF($B$5:$B$304,B85)&gt;1,"Număr dublat. ","")&amp;IF(OR(C85="",D85="",H85="",J85="",K85=""),"Date incomplete. ","")&amp;IF(COUNTIF('Linii comandă'!$B$5:$B$1004,B85)=0,"Nicio linie de comandă. ","")&amp;IF(AND(L85&lt;&gt;"Da",C85&lt;&gt;"",TODAY()-C85&gt;ZileConf),"Neconfirmată de "&amp;(TODAY()-C85)&amp;" zile. ","")&amp;IF(S85="Întârziată","Termenul de livrare a trecut: "&amp;RIGHT("0"&amp;DAY(J85),2)&amp;"."&amp;RIGHT("0"&amp;MONTH(J85),2)&amp;"."&amp;YEAR(J85)&amp;". ","")&amp;IF(S85="Livrată – de facturat","Emite factura. ",""))))</f>
        <v/>
      </c>
    </row>
    <row r="86" spans="2:20" x14ac:dyDescent="0.2">
      <c r="B86" s="10" t="str">
        <f>IF(D86="","",MAX($B$5:B85)+1)</f>
        <v/>
      </c>
      <c r="C86" s="11"/>
      <c r="D86" s="12"/>
      <c r="E86" s="12"/>
      <c r="F86" s="12"/>
      <c r="G86" s="12"/>
      <c r="H86" s="12"/>
      <c r="I86" s="10"/>
      <c r="J86" s="11"/>
      <c r="K86" s="13"/>
      <c r="L86" s="10"/>
      <c r="M86" s="11"/>
      <c r="N86" s="14" t="str">
        <f>IF(B86="","",SUMIF('Linii comandă'!$B$5:$B$1004,B86,'Linii comandă'!$K$5:$K$1004))</f>
        <v/>
      </c>
      <c r="O86" s="14" t="str">
        <f>IF(B86="","",SUMIF('Linii comandă'!$B$5:$B$1004,B86,'Linii comandă'!$L$5:$L$1004))</f>
        <v/>
      </c>
      <c r="P86" s="14" t="str">
        <f t="shared" si="2"/>
        <v/>
      </c>
      <c r="Q86" s="15" t="str">
        <f>IF(OR(B86="",COUNTIF('Linii comandă'!$B$5:$B$1004,B86)=0),"",IF(SUMIF('Linii comandă'!$B$5:$B$1004,B86,'Linii comandă'!$N$5:$N$1004)&lt;=0,"Completă",IF(SUMIF('Linii comandă'!$B$5:$B$1004,B86,'Linii comandă'!$M$5:$M$1004)&gt;0,"Parțială","Nelivrată")))</f>
        <v/>
      </c>
      <c r="R86" s="10"/>
      <c r="S86" s="15" t="str">
        <f t="shared" ca="1" si="3"/>
        <v/>
      </c>
      <c r="T86" s="16" t="str">
        <f ca="1">IF(AND(B86="",D86=""),"",IF(S86="Anulată","",TRIM(IF(COUNTIF($B$5:$B$304,B86)&gt;1,"Număr dublat. ","")&amp;IF(OR(C86="",D86="",H86="",J86="",K86=""),"Date incomplete. ","")&amp;IF(COUNTIF('Linii comandă'!$B$5:$B$1004,B86)=0,"Nicio linie de comandă. ","")&amp;IF(AND(L86&lt;&gt;"Da",C86&lt;&gt;"",TODAY()-C86&gt;ZileConf),"Neconfirmată de "&amp;(TODAY()-C86)&amp;" zile. ","")&amp;IF(S86="Întârziată","Termenul de livrare a trecut: "&amp;RIGHT("0"&amp;DAY(J86),2)&amp;"."&amp;RIGHT("0"&amp;MONTH(J86),2)&amp;"."&amp;YEAR(J86)&amp;". ","")&amp;IF(S86="Livrată – de facturat","Emite factura. ",""))))</f>
        <v/>
      </c>
    </row>
    <row r="87" spans="2:20" x14ac:dyDescent="0.2">
      <c r="B87" s="10" t="str">
        <f>IF(D87="","",MAX($B$5:B86)+1)</f>
        <v/>
      </c>
      <c r="C87" s="11"/>
      <c r="D87" s="12"/>
      <c r="E87" s="12"/>
      <c r="F87" s="12"/>
      <c r="G87" s="12"/>
      <c r="H87" s="12"/>
      <c r="I87" s="10"/>
      <c r="J87" s="11"/>
      <c r="K87" s="13"/>
      <c r="L87" s="10"/>
      <c r="M87" s="11"/>
      <c r="N87" s="14" t="str">
        <f>IF(B87="","",SUMIF('Linii comandă'!$B$5:$B$1004,B87,'Linii comandă'!$K$5:$K$1004))</f>
        <v/>
      </c>
      <c r="O87" s="14" t="str">
        <f>IF(B87="","",SUMIF('Linii comandă'!$B$5:$B$1004,B87,'Linii comandă'!$L$5:$L$1004))</f>
        <v/>
      </c>
      <c r="P87" s="14" t="str">
        <f t="shared" si="2"/>
        <v/>
      </c>
      <c r="Q87" s="15" t="str">
        <f>IF(OR(B87="",COUNTIF('Linii comandă'!$B$5:$B$1004,B87)=0),"",IF(SUMIF('Linii comandă'!$B$5:$B$1004,B87,'Linii comandă'!$N$5:$N$1004)&lt;=0,"Completă",IF(SUMIF('Linii comandă'!$B$5:$B$1004,B87,'Linii comandă'!$M$5:$M$1004)&gt;0,"Parțială","Nelivrată")))</f>
        <v/>
      </c>
      <c r="R87" s="10"/>
      <c r="S87" s="15" t="str">
        <f t="shared" ca="1" si="3"/>
        <v/>
      </c>
      <c r="T87" s="16" t="str">
        <f ca="1">IF(AND(B87="",D87=""),"",IF(S87="Anulată","",TRIM(IF(COUNTIF($B$5:$B$304,B87)&gt;1,"Număr dublat. ","")&amp;IF(OR(C87="",D87="",H87="",J87="",K87=""),"Date incomplete. ","")&amp;IF(COUNTIF('Linii comandă'!$B$5:$B$1004,B87)=0,"Nicio linie de comandă. ","")&amp;IF(AND(L87&lt;&gt;"Da",C87&lt;&gt;"",TODAY()-C87&gt;ZileConf),"Neconfirmată de "&amp;(TODAY()-C87)&amp;" zile. ","")&amp;IF(S87="Întârziată","Termenul de livrare a trecut: "&amp;RIGHT("0"&amp;DAY(J87),2)&amp;"."&amp;RIGHT("0"&amp;MONTH(J87),2)&amp;"."&amp;YEAR(J87)&amp;". ","")&amp;IF(S87="Livrată – de facturat","Emite factura. ",""))))</f>
        <v/>
      </c>
    </row>
    <row r="88" spans="2:20" x14ac:dyDescent="0.2">
      <c r="B88" s="10" t="str">
        <f>IF(D88="","",MAX($B$5:B87)+1)</f>
        <v/>
      </c>
      <c r="C88" s="11"/>
      <c r="D88" s="12"/>
      <c r="E88" s="12"/>
      <c r="F88" s="12"/>
      <c r="G88" s="12"/>
      <c r="H88" s="12"/>
      <c r="I88" s="10"/>
      <c r="J88" s="11"/>
      <c r="K88" s="13"/>
      <c r="L88" s="10"/>
      <c r="M88" s="11"/>
      <c r="N88" s="14" t="str">
        <f>IF(B88="","",SUMIF('Linii comandă'!$B$5:$B$1004,B88,'Linii comandă'!$K$5:$K$1004))</f>
        <v/>
      </c>
      <c r="O88" s="14" t="str">
        <f>IF(B88="","",SUMIF('Linii comandă'!$B$5:$B$1004,B88,'Linii comandă'!$L$5:$L$1004))</f>
        <v/>
      </c>
      <c r="P88" s="14" t="str">
        <f t="shared" si="2"/>
        <v/>
      </c>
      <c r="Q88" s="15" t="str">
        <f>IF(OR(B88="",COUNTIF('Linii comandă'!$B$5:$B$1004,B88)=0),"",IF(SUMIF('Linii comandă'!$B$5:$B$1004,B88,'Linii comandă'!$N$5:$N$1004)&lt;=0,"Completă",IF(SUMIF('Linii comandă'!$B$5:$B$1004,B88,'Linii comandă'!$M$5:$M$1004)&gt;0,"Parțială","Nelivrată")))</f>
        <v/>
      </c>
      <c r="R88" s="10"/>
      <c r="S88" s="15" t="str">
        <f t="shared" ca="1" si="3"/>
        <v/>
      </c>
      <c r="T88" s="16" t="str">
        <f ca="1">IF(AND(B88="",D88=""),"",IF(S88="Anulată","",TRIM(IF(COUNTIF($B$5:$B$304,B88)&gt;1,"Număr dublat. ","")&amp;IF(OR(C88="",D88="",H88="",J88="",K88=""),"Date incomplete. ","")&amp;IF(COUNTIF('Linii comandă'!$B$5:$B$1004,B88)=0,"Nicio linie de comandă. ","")&amp;IF(AND(L88&lt;&gt;"Da",C88&lt;&gt;"",TODAY()-C88&gt;ZileConf),"Neconfirmată de "&amp;(TODAY()-C88)&amp;" zile. ","")&amp;IF(S88="Întârziată","Termenul de livrare a trecut: "&amp;RIGHT("0"&amp;DAY(J88),2)&amp;"."&amp;RIGHT("0"&amp;MONTH(J88),2)&amp;"."&amp;YEAR(J88)&amp;". ","")&amp;IF(S88="Livrată – de facturat","Emite factura. ",""))))</f>
        <v/>
      </c>
    </row>
    <row r="89" spans="2:20" x14ac:dyDescent="0.2">
      <c r="B89" s="10" t="str">
        <f>IF(D89="","",MAX($B$5:B88)+1)</f>
        <v/>
      </c>
      <c r="C89" s="11"/>
      <c r="D89" s="12"/>
      <c r="E89" s="12"/>
      <c r="F89" s="12"/>
      <c r="G89" s="12"/>
      <c r="H89" s="12"/>
      <c r="I89" s="10"/>
      <c r="J89" s="11"/>
      <c r="K89" s="13"/>
      <c r="L89" s="10"/>
      <c r="M89" s="11"/>
      <c r="N89" s="14" t="str">
        <f>IF(B89="","",SUMIF('Linii comandă'!$B$5:$B$1004,B89,'Linii comandă'!$K$5:$K$1004))</f>
        <v/>
      </c>
      <c r="O89" s="14" t="str">
        <f>IF(B89="","",SUMIF('Linii comandă'!$B$5:$B$1004,B89,'Linii comandă'!$L$5:$L$1004))</f>
        <v/>
      </c>
      <c r="P89" s="14" t="str">
        <f t="shared" si="2"/>
        <v/>
      </c>
      <c r="Q89" s="15" t="str">
        <f>IF(OR(B89="",COUNTIF('Linii comandă'!$B$5:$B$1004,B89)=0),"",IF(SUMIF('Linii comandă'!$B$5:$B$1004,B89,'Linii comandă'!$N$5:$N$1004)&lt;=0,"Completă",IF(SUMIF('Linii comandă'!$B$5:$B$1004,B89,'Linii comandă'!$M$5:$M$1004)&gt;0,"Parțială","Nelivrată")))</f>
        <v/>
      </c>
      <c r="R89" s="10"/>
      <c r="S89" s="15" t="str">
        <f t="shared" ca="1" si="3"/>
        <v/>
      </c>
      <c r="T89" s="16" t="str">
        <f ca="1">IF(AND(B89="",D89=""),"",IF(S89="Anulată","",TRIM(IF(COUNTIF($B$5:$B$304,B89)&gt;1,"Număr dublat. ","")&amp;IF(OR(C89="",D89="",H89="",J89="",K89=""),"Date incomplete. ","")&amp;IF(COUNTIF('Linii comandă'!$B$5:$B$1004,B89)=0,"Nicio linie de comandă. ","")&amp;IF(AND(L89&lt;&gt;"Da",C89&lt;&gt;"",TODAY()-C89&gt;ZileConf),"Neconfirmată de "&amp;(TODAY()-C89)&amp;" zile. ","")&amp;IF(S89="Întârziată","Termenul de livrare a trecut: "&amp;RIGHT("0"&amp;DAY(J89),2)&amp;"."&amp;RIGHT("0"&amp;MONTH(J89),2)&amp;"."&amp;YEAR(J89)&amp;". ","")&amp;IF(S89="Livrată – de facturat","Emite factura. ",""))))</f>
        <v/>
      </c>
    </row>
    <row r="90" spans="2:20" x14ac:dyDescent="0.2">
      <c r="B90" s="10" t="str">
        <f>IF(D90="","",MAX($B$5:B89)+1)</f>
        <v/>
      </c>
      <c r="C90" s="11"/>
      <c r="D90" s="12"/>
      <c r="E90" s="12"/>
      <c r="F90" s="12"/>
      <c r="G90" s="12"/>
      <c r="H90" s="12"/>
      <c r="I90" s="10"/>
      <c r="J90" s="11"/>
      <c r="K90" s="13"/>
      <c r="L90" s="10"/>
      <c r="M90" s="11"/>
      <c r="N90" s="14" t="str">
        <f>IF(B90="","",SUMIF('Linii comandă'!$B$5:$B$1004,B90,'Linii comandă'!$K$5:$K$1004))</f>
        <v/>
      </c>
      <c r="O90" s="14" t="str">
        <f>IF(B90="","",SUMIF('Linii comandă'!$B$5:$B$1004,B90,'Linii comandă'!$L$5:$L$1004))</f>
        <v/>
      </c>
      <c r="P90" s="14" t="str">
        <f t="shared" si="2"/>
        <v/>
      </c>
      <c r="Q90" s="15" t="str">
        <f>IF(OR(B90="",COUNTIF('Linii comandă'!$B$5:$B$1004,B90)=0),"",IF(SUMIF('Linii comandă'!$B$5:$B$1004,B90,'Linii comandă'!$N$5:$N$1004)&lt;=0,"Completă",IF(SUMIF('Linii comandă'!$B$5:$B$1004,B90,'Linii comandă'!$M$5:$M$1004)&gt;0,"Parțială","Nelivrată")))</f>
        <v/>
      </c>
      <c r="R90" s="10"/>
      <c r="S90" s="15" t="str">
        <f t="shared" ca="1" si="3"/>
        <v/>
      </c>
      <c r="T90" s="16" t="str">
        <f ca="1">IF(AND(B90="",D90=""),"",IF(S90="Anulată","",TRIM(IF(COUNTIF($B$5:$B$304,B90)&gt;1,"Număr dublat. ","")&amp;IF(OR(C90="",D90="",H90="",J90="",K90=""),"Date incomplete. ","")&amp;IF(COUNTIF('Linii comandă'!$B$5:$B$1004,B90)=0,"Nicio linie de comandă. ","")&amp;IF(AND(L90&lt;&gt;"Da",C90&lt;&gt;"",TODAY()-C90&gt;ZileConf),"Neconfirmată de "&amp;(TODAY()-C90)&amp;" zile. ","")&amp;IF(S90="Întârziată","Termenul de livrare a trecut: "&amp;RIGHT("0"&amp;DAY(J90),2)&amp;"."&amp;RIGHT("0"&amp;MONTH(J90),2)&amp;"."&amp;YEAR(J90)&amp;". ","")&amp;IF(S90="Livrată – de facturat","Emite factura. ",""))))</f>
        <v/>
      </c>
    </row>
    <row r="91" spans="2:20" x14ac:dyDescent="0.2">
      <c r="B91" s="10" t="str">
        <f>IF(D91="","",MAX($B$5:B90)+1)</f>
        <v/>
      </c>
      <c r="C91" s="11"/>
      <c r="D91" s="12"/>
      <c r="E91" s="12"/>
      <c r="F91" s="12"/>
      <c r="G91" s="12"/>
      <c r="H91" s="12"/>
      <c r="I91" s="10"/>
      <c r="J91" s="11"/>
      <c r="K91" s="13"/>
      <c r="L91" s="10"/>
      <c r="M91" s="11"/>
      <c r="N91" s="14" t="str">
        <f>IF(B91="","",SUMIF('Linii comandă'!$B$5:$B$1004,B91,'Linii comandă'!$K$5:$K$1004))</f>
        <v/>
      </c>
      <c r="O91" s="14" t="str">
        <f>IF(B91="","",SUMIF('Linii comandă'!$B$5:$B$1004,B91,'Linii comandă'!$L$5:$L$1004))</f>
        <v/>
      </c>
      <c r="P91" s="14" t="str">
        <f t="shared" si="2"/>
        <v/>
      </c>
      <c r="Q91" s="15" t="str">
        <f>IF(OR(B91="",COUNTIF('Linii comandă'!$B$5:$B$1004,B91)=0),"",IF(SUMIF('Linii comandă'!$B$5:$B$1004,B91,'Linii comandă'!$N$5:$N$1004)&lt;=0,"Completă",IF(SUMIF('Linii comandă'!$B$5:$B$1004,B91,'Linii comandă'!$M$5:$M$1004)&gt;0,"Parțială","Nelivrată")))</f>
        <v/>
      </c>
      <c r="R91" s="10"/>
      <c r="S91" s="15" t="str">
        <f t="shared" ca="1" si="3"/>
        <v/>
      </c>
      <c r="T91" s="16" t="str">
        <f ca="1">IF(AND(B91="",D91=""),"",IF(S91="Anulată","",TRIM(IF(COUNTIF($B$5:$B$304,B91)&gt;1,"Număr dublat. ","")&amp;IF(OR(C91="",D91="",H91="",J91="",K91=""),"Date incomplete. ","")&amp;IF(COUNTIF('Linii comandă'!$B$5:$B$1004,B91)=0,"Nicio linie de comandă. ","")&amp;IF(AND(L91&lt;&gt;"Da",C91&lt;&gt;"",TODAY()-C91&gt;ZileConf),"Neconfirmată de "&amp;(TODAY()-C91)&amp;" zile. ","")&amp;IF(S91="Întârziată","Termenul de livrare a trecut: "&amp;RIGHT("0"&amp;DAY(J91),2)&amp;"."&amp;RIGHT("0"&amp;MONTH(J91),2)&amp;"."&amp;YEAR(J91)&amp;". ","")&amp;IF(S91="Livrată – de facturat","Emite factura. ",""))))</f>
        <v/>
      </c>
    </row>
    <row r="92" spans="2:20" x14ac:dyDescent="0.2">
      <c r="B92" s="10" t="str">
        <f>IF(D92="","",MAX($B$5:B91)+1)</f>
        <v/>
      </c>
      <c r="C92" s="11"/>
      <c r="D92" s="12"/>
      <c r="E92" s="12"/>
      <c r="F92" s="12"/>
      <c r="G92" s="12"/>
      <c r="H92" s="12"/>
      <c r="I92" s="10"/>
      <c r="J92" s="11"/>
      <c r="K92" s="13"/>
      <c r="L92" s="10"/>
      <c r="M92" s="11"/>
      <c r="N92" s="14" t="str">
        <f>IF(B92="","",SUMIF('Linii comandă'!$B$5:$B$1004,B92,'Linii comandă'!$K$5:$K$1004))</f>
        <v/>
      </c>
      <c r="O92" s="14" t="str">
        <f>IF(B92="","",SUMIF('Linii comandă'!$B$5:$B$1004,B92,'Linii comandă'!$L$5:$L$1004))</f>
        <v/>
      </c>
      <c r="P92" s="14" t="str">
        <f t="shared" si="2"/>
        <v/>
      </c>
      <c r="Q92" s="15" t="str">
        <f>IF(OR(B92="",COUNTIF('Linii comandă'!$B$5:$B$1004,B92)=0),"",IF(SUMIF('Linii comandă'!$B$5:$B$1004,B92,'Linii comandă'!$N$5:$N$1004)&lt;=0,"Completă",IF(SUMIF('Linii comandă'!$B$5:$B$1004,B92,'Linii comandă'!$M$5:$M$1004)&gt;0,"Parțială","Nelivrată")))</f>
        <v/>
      </c>
      <c r="R92" s="10"/>
      <c r="S92" s="15" t="str">
        <f t="shared" ca="1" si="3"/>
        <v/>
      </c>
      <c r="T92" s="16" t="str">
        <f ca="1">IF(AND(B92="",D92=""),"",IF(S92="Anulată","",TRIM(IF(COUNTIF($B$5:$B$304,B92)&gt;1,"Număr dublat. ","")&amp;IF(OR(C92="",D92="",H92="",J92="",K92=""),"Date incomplete. ","")&amp;IF(COUNTIF('Linii comandă'!$B$5:$B$1004,B92)=0,"Nicio linie de comandă. ","")&amp;IF(AND(L92&lt;&gt;"Da",C92&lt;&gt;"",TODAY()-C92&gt;ZileConf),"Neconfirmată de "&amp;(TODAY()-C92)&amp;" zile. ","")&amp;IF(S92="Întârziată","Termenul de livrare a trecut: "&amp;RIGHT("0"&amp;DAY(J92),2)&amp;"."&amp;RIGHT("0"&amp;MONTH(J92),2)&amp;"."&amp;YEAR(J92)&amp;". ","")&amp;IF(S92="Livrată – de facturat","Emite factura. ",""))))</f>
        <v/>
      </c>
    </row>
    <row r="93" spans="2:20" x14ac:dyDescent="0.2">
      <c r="B93" s="10" t="str">
        <f>IF(D93="","",MAX($B$5:B92)+1)</f>
        <v/>
      </c>
      <c r="C93" s="11"/>
      <c r="D93" s="12"/>
      <c r="E93" s="12"/>
      <c r="F93" s="12"/>
      <c r="G93" s="12"/>
      <c r="H93" s="12"/>
      <c r="I93" s="10"/>
      <c r="J93" s="11"/>
      <c r="K93" s="13"/>
      <c r="L93" s="10"/>
      <c r="M93" s="11"/>
      <c r="N93" s="14" t="str">
        <f>IF(B93="","",SUMIF('Linii comandă'!$B$5:$B$1004,B93,'Linii comandă'!$K$5:$K$1004))</f>
        <v/>
      </c>
      <c r="O93" s="14" t="str">
        <f>IF(B93="","",SUMIF('Linii comandă'!$B$5:$B$1004,B93,'Linii comandă'!$L$5:$L$1004))</f>
        <v/>
      </c>
      <c r="P93" s="14" t="str">
        <f t="shared" si="2"/>
        <v/>
      </c>
      <c r="Q93" s="15" t="str">
        <f>IF(OR(B93="",COUNTIF('Linii comandă'!$B$5:$B$1004,B93)=0),"",IF(SUMIF('Linii comandă'!$B$5:$B$1004,B93,'Linii comandă'!$N$5:$N$1004)&lt;=0,"Completă",IF(SUMIF('Linii comandă'!$B$5:$B$1004,B93,'Linii comandă'!$M$5:$M$1004)&gt;0,"Parțială","Nelivrată")))</f>
        <v/>
      </c>
      <c r="R93" s="10"/>
      <c r="S93" s="15" t="str">
        <f t="shared" ca="1" si="3"/>
        <v/>
      </c>
      <c r="T93" s="16" t="str">
        <f ca="1">IF(AND(B93="",D93=""),"",IF(S93="Anulată","",TRIM(IF(COUNTIF($B$5:$B$304,B93)&gt;1,"Număr dublat. ","")&amp;IF(OR(C93="",D93="",H93="",J93="",K93=""),"Date incomplete. ","")&amp;IF(COUNTIF('Linii comandă'!$B$5:$B$1004,B93)=0,"Nicio linie de comandă. ","")&amp;IF(AND(L93&lt;&gt;"Da",C93&lt;&gt;"",TODAY()-C93&gt;ZileConf),"Neconfirmată de "&amp;(TODAY()-C93)&amp;" zile. ","")&amp;IF(S93="Întârziată","Termenul de livrare a trecut: "&amp;RIGHT("0"&amp;DAY(J93),2)&amp;"."&amp;RIGHT("0"&amp;MONTH(J93),2)&amp;"."&amp;YEAR(J93)&amp;". ","")&amp;IF(S93="Livrată – de facturat","Emite factura. ",""))))</f>
        <v/>
      </c>
    </row>
    <row r="94" spans="2:20" x14ac:dyDescent="0.2">
      <c r="B94" s="10" t="str">
        <f>IF(D94="","",MAX($B$5:B93)+1)</f>
        <v/>
      </c>
      <c r="C94" s="11"/>
      <c r="D94" s="12"/>
      <c r="E94" s="12"/>
      <c r="F94" s="12"/>
      <c r="G94" s="12"/>
      <c r="H94" s="12"/>
      <c r="I94" s="10"/>
      <c r="J94" s="11"/>
      <c r="K94" s="13"/>
      <c r="L94" s="10"/>
      <c r="M94" s="11"/>
      <c r="N94" s="14" t="str">
        <f>IF(B94="","",SUMIF('Linii comandă'!$B$5:$B$1004,B94,'Linii comandă'!$K$5:$K$1004))</f>
        <v/>
      </c>
      <c r="O94" s="14" t="str">
        <f>IF(B94="","",SUMIF('Linii comandă'!$B$5:$B$1004,B94,'Linii comandă'!$L$5:$L$1004))</f>
        <v/>
      </c>
      <c r="P94" s="14" t="str">
        <f t="shared" si="2"/>
        <v/>
      </c>
      <c r="Q94" s="15" t="str">
        <f>IF(OR(B94="",COUNTIF('Linii comandă'!$B$5:$B$1004,B94)=0),"",IF(SUMIF('Linii comandă'!$B$5:$B$1004,B94,'Linii comandă'!$N$5:$N$1004)&lt;=0,"Completă",IF(SUMIF('Linii comandă'!$B$5:$B$1004,B94,'Linii comandă'!$M$5:$M$1004)&gt;0,"Parțială","Nelivrată")))</f>
        <v/>
      </c>
      <c r="R94" s="10"/>
      <c r="S94" s="15" t="str">
        <f t="shared" ca="1" si="3"/>
        <v/>
      </c>
      <c r="T94" s="16" t="str">
        <f ca="1">IF(AND(B94="",D94=""),"",IF(S94="Anulată","",TRIM(IF(COUNTIF($B$5:$B$304,B94)&gt;1,"Număr dublat. ","")&amp;IF(OR(C94="",D94="",H94="",J94="",K94=""),"Date incomplete. ","")&amp;IF(COUNTIF('Linii comandă'!$B$5:$B$1004,B94)=0,"Nicio linie de comandă. ","")&amp;IF(AND(L94&lt;&gt;"Da",C94&lt;&gt;"",TODAY()-C94&gt;ZileConf),"Neconfirmată de "&amp;(TODAY()-C94)&amp;" zile. ","")&amp;IF(S94="Întârziată","Termenul de livrare a trecut: "&amp;RIGHT("0"&amp;DAY(J94),2)&amp;"."&amp;RIGHT("0"&amp;MONTH(J94),2)&amp;"."&amp;YEAR(J94)&amp;". ","")&amp;IF(S94="Livrată – de facturat","Emite factura. ",""))))</f>
        <v/>
      </c>
    </row>
    <row r="95" spans="2:20" x14ac:dyDescent="0.2">
      <c r="B95" s="10" t="str">
        <f>IF(D95="","",MAX($B$5:B94)+1)</f>
        <v/>
      </c>
      <c r="C95" s="11"/>
      <c r="D95" s="12"/>
      <c r="E95" s="12"/>
      <c r="F95" s="12"/>
      <c r="G95" s="12"/>
      <c r="H95" s="12"/>
      <c r="I95" s="10"/>
      <c r="J95" s="11"/>
      <c r="K95" s="13"/>
      <c r="L95" s="10"/>
      <c r="M95" s="11"/>
      <c r="N95" s="14" t="str">
        <f>IF(B95="","",SUMIF('Linii comandă'!$B$5:$B$1004,B95,'Linii comandă'!$K$5:$K$1004))</f>
        <v/>
      </c>
      <c r="O95" s="14" t="str">
        <f>IF(B95="","",SUMIF('Linii comandă'!$B$5:$B$1004,B95,'Linii comandă'!$L$5:$L$1004))</f>
        <v/>
      </c>
      <c r="P95" s="14" t="str">
        <f t="shared" si="2"/>
        <v/>
      </c>
      <c r="Q95" s="15" t="str">
        <f>IF(OR(B95="",COUNTIF('Linii comandă'!$B$5:$B$1004,B95)=0),"",IF(SUMIF('Linii comandă'!$B$5:$B$1004,B95,'Linii comandă'!$N$5:$N$1004)&lt;=0,"Completă",IF(SUMIF('Linii comandă'!$B$5:$B$1004,B95,'Linii comandă'!$M$5:$M$1004)&gt;0,"Parțială","Nelivrată")))</f>
        <v/>
      </c>
      <c r="R95" s="10"/>
      <c r="S95" s="15" t="str">
        <f t="shared" ca="1" si="3"/>
        <v/>
      </c>
      <c r="T95" s="16" t="str">
        <f ca="1">IF(AND(B95="",D95=""),"",IF(S95="Anulată","",TRIM(IF(COUNTIF($B$5:$B$304,B95)&gt;1,"Număr dublat. ","")&amp;IF(OR(C95="",D95="",H95="",J95="",K95=""),"Date incomplete. ","")&amp;IF(COUNTIF('Linii comandă'!$B$5:$B$1004,B95)=0,"Nicio linie de comandă. ","")&amp;IF(AND(L95&lt;&gt;"Da",C95&lt;&gt;"",TODAY()-C95&gt;ZileConf),"Neconfirmată de "&amp;(TODAY()-C95)&amp;" zile. ","")&amp;IF(S95="Întârziată","Termenul de livrare a trecut: "&amp;RIGHT("0"&amp;DAY(J95),2)&amp;"."&amp;RIGHT("0"&amp;MONTH(J95),2)&amp;"."&amp;YEAR(J95)&amp;". ","")&amp;IF(S95="Livrată – de facturat","Emite factura. ",""))))</f>
        <v/>
      </c>
    </row>
    <row r="96" spans="2:20" x14ac:dyDescent="0.2">
      <c r="B96" s="10" t="str">
        <f>IF(D96="","",MAX($B$5:B95)+1)</f>
        <v/>
      </c>
      <c r="C96" s="11"/>
      <c r="D96" s="12"/>
      <c r="E96" s="12"/>
      <c r="F96" s="12"/>
      <c r="G96" s="12"/>
      <c r="H96" s="12"/>
      <c r="I96" s="10"/>
      <c r="J96" s="11"/>
      <c r="K96" s="13"/>
      <c r="L96" s="10"/>
      <c r="M96" s="11"/>
      <c r="N96" s="14" t="str">
        <f>IF(B96="","",SUMIF('Linii comandă'!$B$5:$B$1004,B96,'Linii comandă'!$K$5:$K$1004))</f>
        <v/>
      </c>
      <c r="O96" s="14" t="str">
        <f>IF(B96="","",SUMIF('Linii comandă'!$B$5:$B$1004,B96,'Linii comandă'!$L$5:$L$1004))</f>
        <v/>
      </c>
      <c r="P96" s="14" t="str">
        <f t="shared" si="2"/>
        <v/>
      </c>
      <c r="Q96" s="15" t="str">
        <f>IF(OR(B96="",COUNTIF('Linii comandă'!$B$5:$B$1004,B96)=0),"",IF(SUMIF('Linii comandă'!$B$5:$B$1004,B96,'Linii comandă'!$N$5:$N$1004)&lt;=0,"Completă",IF(SUMIF('Linii comandă'!$B$5:$B$1004,B96,'Linii comandă'!$M$5:$M$1004)&gt;0,"Parțială","Nelivrată")))</f>
        <v/>
      </c>
      <c r="R96" s="10"/>
      <c r="S96" s="15" t="str">
        <f t="shared" ca="1" si="3"/>
        <v/>
      </c>
      <c r="T96" s="16" t="str">
        <f ca="1">IF(AND(B96="",D96=""),"",IF(S96="Anulată","",TRIM(IF(COUNTIF($B$5:$B$304,B96)&gt;1,"Număr dublat. ","")&amp;IF(OR(C96="",D96="",H96="",J96="",K96=""),"Date incomplete. ","")&amp;IF(COUNTIF('Linii comandă'!$B$5:$B$1004,B96)=0,"Nicio linie de comandă. ","")&amp;IF(AND(L96&lt;&gt;"Da",C96&lt;&gt;"",TODAY()-C96&gt;ZileConf),"Neconfirmată de "&amp;(TODAY()-C96)&amp;" zile. ","")&amp;IF(S96="Întârziată","Termenul de livrare a trecut: "&amp;RIGHT("0"&amp;DAY(J96),2)&amp;"."&amp;RIGHT("0"&amp;MONTH(J96),2)&amp;"."&amp;YEAR(J96)&amp;". ","")&amp;IF(S96="Livrată – de facturat","Emite factura. ",""))))</f>
        <v/>
      </c>
    </row>
    <row r="97" spans="2:20" x14ac:dyDescent="0.2">
      <c r="B97" s="10" t="str">
        <f>IF(D97="","",MAX($B$5:B96)+1)</f>
        <v/>
      </c>
      <c r="C97" s="11"/>
      <c r="D97" s="12"/>
      <c r="E97" s="12"/>
      <c r="F97" s="12"/>
      <c r="G97" s="12"/>
      <c r="H97" s="12"/>
      <c r="I97" s="10"/>
      <c r="J97" s="11"/>
      <c r="K97" s="13"/>
      <c r="L97" s="10"/>
      <c r="M97" s="11"/>
      <c r="N97" s="14" t="str">
        <f>IF(B97="","",SUMIF('Linii comandă'!$B$5:$B$1004,B97,'Linii comandă'!$K$5:$K$1004))</f>
        <v/>
      </c>
      <c r="O97" s="14" t="str">
        <f>IF(B97="","",SUMIF('Linii comandă'!$B$5:$B$1004,B97,'Linii comandă'!$L$5:$L$1004))</f>
        <v/>
      </c>
      <c r="P97" s="14" t="str">
        <f t="shared" si="2"/>
        <v/>
      </c>
      <c r="Q97" s="15" t="str">
        <f>IF(OR(B97="",COUNTIF('Linii comandă'!$B$5:$B$1004,B97)=0),"",IF(SUMIF('Linii comandă'!$B$5:$B$1004,B97,'Linii comandă'!$N$5:$N$1004)&lt;=0,"Completă",IF(SUMIF('Linii comandă'!$B$5:$B$1004,B97,'Linii comandă'!$M$5:$M$1004)&gt;0,"Parțială","Nelivrată")))</f>
        <v/>
      </c>
      <c r="R97" s="10"/>
      <c r="S97" s="15" t="str">
        <f t="shared" ca="1" si="3"/>
        <v/>
      </c>
      <c r="T97" s="16" t="str">
        <f ca="1">IF(AND(B97="",D97=""),"",IF(S97="Anulată","",TRIM(IF(COUNTIF($B$5:$B$304,B97)&gt;1,"Număr dublat. ","")&amp;IF(OR(C97="",D97="",H97="",J97="",K97=""),"Date incomplete. ","")&amp;IF(COUNTIF('Linii comandă'!$B$5:$B$1004,B97)=0,"Nicio linie de comandă. ","")&amp;IF(AND(L97&lt;&gt;"Da",C97&lt;&gt;"",TODAY()-C97&gt;ZileConf),"Neconfirmată de "&amp;(TODAY()-C97)&amp;" zile. ","")&amp;IF(S97="Întârziată","Termenul de livrare a trecut: "&amp;RIGHT("0"&amp;DAY(J97),2)&amp;"."&amp;RIGHT("0"&amp;MONTH(J97),2)&amp;"."&amp;YEAR(J97)&amp;". ","")&amp;IF(S97="Livrată – de facturat","Emite factura. ",""))))</f>
        <v/>
      </c>
    </row>
    <row r="98" spans="2:20" x14ac:dyDescent="0.2">
      <c r="B98" s="10" t="str">
        <f>IF(D98="","",MAX($B$5:B97)+1)</f>
        <v/>
      </c>
      <c r="C98" s="11"/>
      <c r="D98" s="12"/>
      <c r="E98" s="12"/>
      <c r="F98" s="12"/>
      <c r="G98" s="12"/>
      <c r="H98" s="12"/>
      <c r="I98" s="10"/>
      <c r="J98" s="11"/>
      <c r="K98" s="13"/>
      <c r="L98" s="10"/>
      <c r="M98" s="11"/>
      <c r="N98" s="14" t="str">
        <f>IF(B98="","",SUMIF('Linii comandă'!$B$5:$B$1004,B98,'Linii comandă'!$K$5:$K$1004))</f>
        <v/>
      </c>
      <c r="O98" s="14" t="str">
        <f>IF(B98="","",SUMIF('Linii comandă'!$B$5:$B$1004,B98,'Linii comandă'!$L$5:$L$1004))</f>
        <v/>
      </c>
      <c r="P98" s="14" t="str">
        <f t="shared" si="2"/>
        <v/>
      </c>
      <c r="Q98" s="15" t="str">
        <f>IF(OR(B98="",COUNTIF('Linii comandă'!$B$5:$B$1004,B98)=0),"",IF(SUMIF('Linii comandă'!$B$5:$B$1004,B98,'Linii comandă'!$N$5:$N$1004)&lt;=0,"Completă",IF(SUMIF('Linii comandă'!$B$5:$B$1004,B98,'Linii comandă'!$M$5:$M$1004)&gt;0,"Parțială","Nelivrată")))</f>
        <v/>
      </c>
      <c r="R98" s="10"/>
      <c r="S98" s="15" t="str">
        <f t="shared" ca="1" si="3"/>
        <v/>
      </c>
      <c r="T98" s="16" t="str">
        <f ca="1">IF(AND(B98="",D98=""),"",IF(S98="Anulată","",TRIM(IF(COUNTIF($B$5:$B$304,B98)&gt;1,"Număr dublat. ","")&amp;IF(OR(C98="",D98="",H98="",J98="",K98=""),"Date incomplete. ","")&amp;IF(COUNTIF('Linii comandă'!$B$5:$B$1004,B98)=0,"Nicio linie de comandă. ","")&amp;IF(AND(L98&lt;&gt;"Da",C98&lt;&gt;"",TODAY()-C98&gt;ZileConf),"Neconfirmată de "&amp;(TODAY()-C98)&amp;" zile. ","")&amp;IF(S98="Întârziată","Termenul de livrare a trecut: "&amp;RIGHT("0"&amp;DAY(J98),2)&amp;"."&amp;RIGHT("0"&amp;MONTH(J98),2)&amp;"."&amp;YEAR(J98)&amp;". ","")&amp;IF(S98="Livrată – de facturat","Emite factura. ",""))))</f>
        <v/>
      </c>
    </row>
    <row r="99" spans="2:20" x14ac:dyDescent="0.2">
      <c r="B99" s="10" t="str">
        <f>IF(D99="","",MAX($B$5:B98)+1)</f>
        <v/>
      </c>
      <c r="C99" s="11"/>
      <c r="D99" s="12"/>
      <c r="E99" s="12"/>
      <c r="F99" s="12"/>
      <c r="G99" s="12"/>
      <c r="H99" s="12"/>
      <c r="I99" s="10"/>
      <c r="J99" s="11"/>
      <c r="K99" s="13"/>
      <c r="L99" s="10"/>
      <c r="M99" s="11"/>
      <c r="N99" s="14" t="str">
        <f>IF(B99="","",SUMIF('Linii comandă'!$B$5:$B$1004,B99,'Linii comandă'!$K$5:$K$1004))</f>
        <v/>
      </c>
      <c r="O99" s="14" t="str">
        <f>IF(B99="","",SUMIF('Linii comandă'!$B$5:$B$1004,B99,'Linii comandă'!$L$5:$L$1004))</f>
        <v/>
      </c>
      <c r="P99" s="14" t="str">
        <f t="shared" si="2"/>
        <v/>
      </c>
      <c r="Q99" s="15" t="str">
        <f>IF(OR(B99="",COUNTIF('Linii comandă'!$B$5:$B$1004,B99)=0),"",IF(SUMIF('Linii comandă'!$B$5:$B$1004,B99,'Linii comandă'!$N$5:$N$1004)&lt;=0,"Completă",IF(SUMIF('Linii comandă'!$B$5:$B$1004,B99,'Linii comandă'!$M$5:$M$1004)&gt;0,"Parțială","Nelivrată")))</f>
        <v/>
      </c>
      <c r="R99" s="10"/>
      <c r="S99" s="15" t="str">
        <f t="shared" ca="1" si="3"/>
        <v/>
      </c>
      <c r="T99" s="16" t="str">
        <f ca="1">IF(AND(B99="",D99=""),"",IF(S99="Anulată","",TRIM(IF(COUNTIF($B$5:$B$304,B99)&gt;1,"Număr dublat. ","")&amp;IF(OR(C99="",D99="",H99="",J99="",K99=""),"Date incomplete. ","")&amp;IF(COUNTIF('Linii comandă'!$B$5:$B$1004,B99)=0,"Nicio linie de comandă. ","")&amp;IF(AND(L99&lt;&gt;"Da",C99&lt;&gt;"",TODAY()-C99&gt;ZileConf),"Neconfirmată de "&amp;(TODAY()-C99)&amp;" zile. ","")&amp;IF(S99="Întârziată","Termenul de livrare a trecut: "&amp;RIGHT("0"&amp;DAY(J99),2)&amp;"."&amp;RIGHT("0"&amp;MONTH(J99),2)&amp;"."&amp;YEAR(J99)&amp;". ","")&amp;IF(S99="Livrată – de facturat","Emite factura. ",""))))</f>
        <v/>
      </c>
    </row>
    <row r="100" spans="2:20" x14ac:dyDescent="0.2">
      <c r="B100" s="10" t="str">
        <f>IF(D100="","",MAX($B$5:B99)+1)</f>
        <v/>
      </c>
      <c r="C100" s="11"/>
      <c r="D100" s="12"/>
      <c r="E100" s="12"/>
      <c r="F100" s="12"/>
      <c r="G100" s="12"/>
      <c r="H100" s="12"/>
      <c r="I100" s="10"/>
      <c r="J100" s="11"/>
      <c r="K100" s="13"/>
      <c r="L100" s="10"/>
      <c r="M100" s="11"/>
      <c r="N100" s="14" t="str">
        <f>IF(B100="","",SUMIF('Linii comandă'!$B$5:$B$1004,B100,'Linii comandă'!$K$5:$K$1004))</f>
        <v/>
      </c>
      <c r="O100" s="14" t="str">
        <f>IF(B100="","",SUMIF('Linii comandă'!$B$5:$B$1004,B100,'Linii comandă'!$L$5:$L$1004))</f>
        <v/>
      </c>
      <c r="P100" s="14" t="str">
        <f t="shared" si="2"/>
        <v/>
      </c>
      <c r="Q100" s="15" t="str">
        <f>IF(OR(B100="",COUNTIF('Linii comandă'!$B$5:$B$1004,B100)=0),"",IF(SUMIF('Linii comandă'!$B$5:$B$1004,B100,'Linii comandă'!$N$5:$N$1004)&lt;=0,"Completă",IF(SUMIF('Linii comandă'!$B$5:$B$1004,B100,'Linii comandă'!$M$5:$M$1004)&gt;0,"Parțială","Nelivrată")))</f>
        <v/>
      </c>
      <c r="R100" s="10"/>
      <c r="S100" s="15" t="str">
        <f t="shared" ca="1" si="3"/>
        <v/>
      </c>
      <c r="T100" s="16" t="str">
        <f ca="1">IF(AND(B100="",D100=""),"",IF(S100="Anulată","",TRIM(IF(COUNTIF($B$5:$B$304,B100)&gt;1,"Număr dublat. ","")&amp;IF(OR(C100="",D100="",H100="",J100="",K100=""),"Date incomplete. ","")&amp;IF(COUNTIF('Linii comandă'!$B$5:$B$1004,B100)=0,"Nicio linie de comandă. ","")&amp;IF(AND(L100&lt;&gt;"Da",C100&lt;&gt;"",TODAY()-C100&gt;ZileConf),"Neconfirmată de "&amp;(TODAY()-C100)&amp;" zile. ","")&amp;IF(S100="Întârziată","Termenul de livrare a trecut: "&amp;RIGHT("0"&amp;DAY(J100),2)&amp;"."&amp;RIGHT("0"&amp;MONTH(J100),2)&amp;"."&amp;YEAR(J100)&amp;". ","")&amp;IF(S100="Livrată – de facturat","Emite factura. ",""))))</f>
        <v/>
      </c>
    </row>
    <row r="101" spans="2:20" x14ac:dyDescent="0.2">
      <c r="B101" s="10" t="str">
        <f>IF(D101="","",MAX($B$5:B100)+1)</f>
        <v/>
      </c>
      <c r="C101" s="11"/>
      <c r="D101" s="12"/>
      <c r="E101" s="12"/>
      <c r="F101" s="12"/>
      <c r="G101" s="12"/>
      <c r="H101" s="12"/>
      <c r="I101" s="10"/>
      <c r="J101" s="11"/>
      <c r="K101" s="13"/>
      <c r="L101" s="10"/>
      <c r="M101" s="11"/>
      <c r="N101" s="14" t="str">
        <f>IF(B101="","",SUMIF('Linii comandă'!$B$5:$B$1004,B101,'Linii comandă'!$K$5:$K$1004))</f>
        <v/>
      </c>
      <c r="O101" s="14" t="str">
        <f>IF(B101="","",SUMIF('Linii comandă'!$B$5:$B$1004,B101,'Linii comandă'!$L$5:$L$1004))</f>
        <v/>
      </c>
      <c r="P101" s="14" t="str">
        <f t="shared" si="2"/>
        <v/>
      </c>
      <c r="Q101" s="15" t="str">
        <f>IF(OR(B101="",COUNTIF('Linii comandă'!$B$5:$B$1004,B101)=0),"",IF(SUMIF('Linii comandă'!$B$5:$B$1004,B101,'Linii comandă'!$N$5:$N$1004)&lt;=0,"Completă",IF(SUMIF('Linii comandă'!$B$5:$B$1004,B101,'Linii comandă'!$M$5:$M$1004)&gt;0,"Parțială","Nelivrată")))</f>
        <v/>
      </c>
      <c r="R101" s="10"/>
      <c r="S101" s="15" t="str">
        <f t="shared" ca="1" si="3"/>
        <v/>
      </c>
      <c r="T101" s="16" t="str">
        <f ca="1">IF(AND(B101="",D101=""),"",IF(S101="Anulată","",TRIM(IF(COUNTIF($B$5:$B$304,B101)&gt;1,"Număr dublat. ","")&amp;IF(OR(C101="",D101="",H101="",J101="",K101=""),"Date incomplete. ","")&amp;IF(COUNTIF('Linii comandă'!$B$5:$B$1004,B101)=0,"Nicio linie de comandă. ","")&amp;IF(AND(L101&lt;&gt;"Da",C101&lt;&gt;"",TODAY()-C101&gt;ZileConf),"Neconfirmată de "&amp;(TODAY()-C101)&amp;" zile. ","")&amp;IF(S101="Întârziată","Termenul de livrare a trecut: "&amp;RIGHT("0"&amp;DAY(J101),2)&amp;"."&amp;RIGHT("0"&amp;MONTH(J101),2)&amp;"."&amp;YEAR(J101)&amp;". ","")&amp;IF(S101="Livrată – de facturat","Emite factura. ",""))))</f>
        <v/>
      </c>
    </row>
    <row r="102" spans="2:20" x14ac:dyDescent="0.2">
      <c r="B102" s="10" t="str">
        <f>IF(D102="","",MAX($B$5:B101)+1)</f>
        <v/>
      </c>
      <c r="C102" s="11"/>
      <c r="D102" s="12"/>
      <c r="E102" s="12"/>
      <c r="F102" s="12"/>
      <c r="G102" s="12"/>
      <c r="H102" s="12"/>
      <c r="I102" s="10"/>
      <c r="J102" s="11"/>
      <c r="K102" s="13"/>
      <c r="L102" s="10"/>
      <c r="M102" s="11"/>
      <c r="N102" s="14" t="str">
        <f>IF(B102="","",SUMIF('Linii comandă'!$B$5:$B$1004,B102,'Linii comandă'!$K$5:$K$1004))</f>
        <v/>
      </c>
      <c r="O102" s="14" t="str">
        <f>IF(B102="","",SUMIF('Linii comandă'!$B$5:$B$1004,B102,'Linii comandă'!$L$5:$L$1004))</f>
        <v/>
      </c>
      <c r="P102" s="14" t="str">
        <f t="shared" si="2"/>
        <v/>
      </c>
      <c r="Q102" s="15" t="str">
        <f>IF(OR(B102="",COUNTIF('Linii comandă'!$B$5:$B$1004,B102)=0),"",IF(SUMIF('Linii comandă'!$B$5:$B$1004,B102,'Linii comandă'!$N$5:$N$1004)&lt;=0,"Completă",IF(SUMIF('Linii comandă'!$B$5:$B$1004,B102,'Linii comandă'!$M$5:$M$1004)&gt;0,"Parțială","Nelivrată")))</f>
        <v/>
      </c>
      <c r="R102" s="10"/>
      <c r="S102" s="15" t="str">
        <f t="shared" ca="1" si="3"/>
        <v/>
      </c>
      <c r="T102" s="16" t="str">
        <f ca="1">IF(AND(B102="",D102=""),"",IF(S102="Anulată","",TRIM(IF(COUNTIF($B$5:$B$304,B102)&gt;1,"Număr dublat. ","")&amp;IF(OR(C102="",D102="",H102="",J102="",K102=""),"Date incomplete. ","")&amp;IF(COUNTIF('Linii comandă'!$B$5:$B$1004,B102)=0,"Nicio linie de comandă. ","")&amp;IF(AND(L102&lt;&gt;"Da",C102&lt;&gt;"",TODAY()-C102&gt;ZileConf),"Neconfirmată de "&amp;(TODAY()-C102)&amp;" zile. ","")&amp;IF(S102="Întârziată","Termenul de livrare a trecut: "&amp;RIGHT("0"&amp;DAY(J102),2)&amp;"."&amp;RIGHT("0"&amp;MONTH(J102),2)&amp;"."&amp;YEAR(J102)&amp;". ","")&amp;IF(S102="Livrată – de facturat","Emite factura. ",""))))</f>
        <v/>
      </c>
    </row>
    <row r="103" spans="2:20" x14ac:dyDescent="0.2">
      <c r="B103" s="10" t="str">
        <f>IF(D103="","",MAX($B$5:B102)+1)</f>
        <v/>
      </c>
      <c r="C103" s="11"/>
      <c r="D103" s="12"/>
      <c r="E103" s="12"/>
      <c r="F103" s="12"/>
      <c r="G103" s="12"/>
      <c r="H103" s="12"/>
      <c r="I103" s="10"/>
      <c r="J103" s="11"/>
      <c r="K103" s="13"/>
      <c r="L103" s="10"/>
      <c r="M103" s="11"/>
      <c r="N103" s="14" t="str">
        <f>IF(B103="","",SUMIF('Linii comandă'!$B$5:$B$1004,B103,'Linii comandă'!$K$5:$K$1004))</f>
        <v/>
      </c>
      <c r="O103" s="14" t="str">
        <f>IF(B103="","",SUMIF('Linii comandă'!$B$5:$B$1004,B103,'Linii comandă'!$L$5:$L$1004))</f>
        <v/>
      </c>
      <c r="P103" s="14" t="str">
        <f t="shared" si="2"/>
        <v/>
      </c>
      <c r="Q103" s="15" t="str">
        <f>IF(OR(B103="",COUNTIF('Linii comandă'!$B$5:$B$1004,B103)=0),"",IF(SUMIF('Linii comandă'!$B$5:$B$1004,B103,'Linii comandă'!$N$5:$N$1004)&lt;=0,"Completă",IF(SUMIF('Linii comandă'!$B$5:$B$1004,B103,'Linii comandă'!$M$5:$M$1004)&gt;0,"Parțială","Nelivrată")))</f>
        <v/>
      </c>
      <c r="R103" s="10"/>
      <c r="S103" s="15" t="str">
        <f t="shared" ca="1" si="3"/>
        <v/>
      </c>
      <c r="T103" s="16" t="str">
        <f ca="1">IF(AND(B103="",D103=""),"",IF(S103="Anulată","",TRIM(IF(COUNTIF($B$5:$B$304,B103)&gt;1,"Număr dublat. ","")&amp;IF(OR(C103="",D103="",H103="",J103="",K103=""),"Date incomplete. ","")&amp;IF(COUNTIF('Linii comandă'!$B$5:$B$1004,B103)=0,"Nicio linie de comandă. ","")&amp;IF(AND(L103&lt;&gt;"Da",C103&lt;&gt;"",TODAY()-C103&gt;ZileConf),"Neconfirmată de "&amp;(TODAY()-C103)&amp;" zile. ","")&amp;IF(S103="Întârziată","Termenul de livrare a trecut: "&amp;RIGHT("0"&amp;DAY(J103),2)&amp;"."&amp;RIGHT("0"&amp;MONTH(J103),2)&amp;"."&amp;YEAR(J103)&amp;". ","")&amp;IF(S103="Livrată – de facturat","Emite factura. ",""))))</f>
        <v/>
      </c>
    </row>
    <row r="104" spans="2:20" x14ac:dyDescent="0.2">
      <c r="B104" s="10" t="str">
        <f>IF(D104="","",MAX($B$5:B103)+1)</f>
        <v/>
      </c>
      <c r="C104" s="11"/>
      <c r="D104" s="12"/>
      <c r="E104" s="12"/>
      <c r="F104" s="12"/>
      <c r="G104" s="12"/>
      <c r="H104" s="12"/>
      <c r="I104" s="10"/>
      <c r="J104" s="11"/>
      <c r="K104" s="13"/>
      <c r="L104" s="10"/>
      <c r="M104" s="11"/>
      <c r="N104" s="14" t="str">
        <f>IF(B104="","",SUMIF('Linii comandă'!$B$5:$B$1004,B104,'Linii comandă'!$K$5:$K$1004))</f>
        <v/>
      </c>
      <c r="O104" s="14" t="str">
        <f>IF(B104="","",SUMIF('Linii comandă'!$B$5:$B$1004,B104,'Linii comandă'!$L$5:$L$1004))</f>
        <v/>
      </c>
      <c r="P104" s="14" t="str">
        <f t="shared" si="2"/>
        <v/>
      </c>
      <c r="Q104" s="15" t="str">
        <f>IF(OR(B104="",COUNTIF('Linii comandă'!$B$5:$B$1004,B104)=0),"",IF(SUMIF('Linii comandă'!$B$5:$B$1004,B104,'Linii comandă'!$N$5:$N$1004)&lt;=0,"Completă",IF(SUMIF('Linii comandă'!$B$5:$B$1004,B104,'Linii comandă'!$M$5:$M$1004)&gt;0,"Parțială","Nelivrată")))</f>
        <v/>
      </c>
      <c r="R104" s="10"/>
      <c r="S104" s="15" t="str">
        <f t="shared" ca="1" si="3"/>
        <v/>
      </c>
      <c r="T104" s="16" t="str">
        <f ca="1">IF(AND(B104="",D104=""),"",IF(S104="Anulată","",TRIM(IF(COUNTIF($B$5:$B$304,B104)&gt;1,"Număr dublat. ","")&amp;IF(OR(C104="",D104="",H104="",J104="",K104=""),"Date incomplete. ","")&amp;IF(COUNTIF('Linii comandă'!$B$5:$B$1004,B104)=0,"Nicio linie de comandă. ","")&amp;IF(AND(L104&lt;&gt;"Da",C104&lt;&gt;"",TODAY()-C104&gt;ZileConf),"Neconfirmată de "&amp;(TODAY()-C104)&amp;" zile. ","")&amp;IF(S104="Întârziată","Termenul de livrare a trecut: "&amp;RIGHT("0"&amp;DAY(J104),2)&amp;"."&amp;RIGHT("0"&amp;MONTH(J104),2)&amp;"."&amp;YEAR(J104)&amp;". ","")&amp;IF(S104="Livrată – de facturat","Emite factura. ",""))))</f>
        <v/>
      </c>
    </row>
    <row r="105" spans="2:20" x14ac:dyDescent="0.2">
      <c r="B105" s="10" t="str">
        <f>IF(D105="","",MAX($B$5:B104)+1)</f>
        <v/>
      </c>
      <c r="C105" s="11"/>
      <c r="D105" s="12"/>
      <c r="E105" s="12"/>
      <c r="F105" s="12"/>
      <c r="G105" s="12"/>
      <c r="H105" s="12"/>
      <c r="I105" s="10"/>
      <c r="J105" s="11"/>
      <c r="K105" s="13"/>
      <c r="L105" s="10"/>
      <c r="M105" s="11"/>
      <c r="N105" s="14" t="str">
        <f>IF(B105="","",SUMIF('Linii comandă'!$B$5:$B$1004,B105,'Linii comandă'!$K$5:$K$1004))</f>
        <v/>
      </c>
      <c r="O105" s="14" t="str">
        <f>IF(B105="","",SUMIF('Linii comandă'!$B$5:$B$1004,B105,'Linii comandă'!$L$5:$L$1004))</f>
        <v/>
      </c>
      <c r="P105" s="14" t="str">
        <f t="shared" si="2"/>
        <v/>
      </c>
      <c r="Q105" s="15" t="str">
        <f>IF(OR(B105="",COUNTIF('Linii comandă'!$B$5:$B$1004,B105)=0),"",IF(SUMIF('Linii comandă'!$B$5:$B$1004,B105,'Linii comandă'!$N$5:$N$1004)&lt;=0,"Completă",IF(SUMIF('Linii comandă'!$B$5:$B$1004,B105,'Linii comandă'!$M$5:$M$1004)&gt;0,"Parțială","Nelivrată")))</f>
        <v/>
      </c>
      <c r="R105" s="10"/>
      <c r="S105" s="15" t="str">
        <f t="shared" ca="1" si="3"/>
        <v/>
      </c>
      <c r="T105" s="16" t="str">
        <f ca="1">IF(AND(B105="",D105=""),"",IF(S105="Anulată","",TRIM(IF(COUNTIF($B$5:$B$304,B105)&gt;1,"Număr dublat. ","")&amp;IF(OR(C105="",D105="",H105="",J105="",K105=""),"Date incomplete. ","")&amp;IF(COUNTIF('Linii comandă'!$B$5:$B$1004,B105)=0,"Nicio linie de comandă. ","")&amp;IF(AND(L105&lt;&gt;"Da",C105&lt;&gt;"",TODAY()-C105&gt;ZileConf),"Neconfirmată de "&amp;(TODAY()-C105)&amp;" zile. ","")&amp;IF(S105="Întârziată","Termenul de livrare a trecut: "&amp;RIGHT("0"&amp;DAY(J105),2)&amp;"."&amp;RIGHT("0"&amp;MONTH(J105),2)&amp;"."&amp;YEAR(J105)&amp;". ","")&amp;IF(S105="Livrată – de facturat","Emite factura. ",""))))</f>
        <v/>
      </c>
    </row>
    <row r="106" spans="2:20" x14ac:dyDescent="0.2">
      <c r="B106" s="10" t="str">
        <f>IF(D106="","",MAX($B$5:B105)+1)</f>
        <v/>
      </c>
      <c r="C106" s="11"/>
      <c r="D106" s="12"/>
      <c r="E106" s="12"/>
      <c r="F106" s="12"/>
      <c r="G106" s="12"/>
      <c r="H106" s="12"/>
      <c r="I106" s="10"/>
      <c r="J106" s="11"/>
      <c r="K106" s="13"/>
      <c r="L106" s="10"/>
      <c r="M106" s="11"/>
      <c r="N106" s="14" t="str">
        <f>IF(B106="","",SUMIF('Linii comandă'!$B$5:$B$1004,B106,'Linii comandă'!$K$5:$K$1004))</f>
        <v/>
      </c>
      <c r="O106" s="14" t="str">
        <f>IF(B106="","",SUMIF('Linii comandă'!$B$5:$B$1004,B106,'Linii comandă'!$L$5:$L$1004))</f>
        <v/>
      </c>
      <c r="P106" s="14" t="str">
        <f t="shared" si="2"/>
        <v/>
      </c>
      <c r="Q106" s="15" t="str">
        <f>IF(OR(B106="",COUNTIF('Linii comandă'!$B$5:$B$1004,B106)=0),"",IF(SUMIF('Linii comandă'!$B$5:$B$1004,B106,'Linii comandă'!$N$5:$N$1004)&lt;=0,"Completă",IF(SUMIF('Linii comandă'!$B$5:$B$1004,B106,'Linii comandă'!$M$5:$M$1004)&gt;0,"Parțială","Nelivrată")))</f>
        <v/>
      </c>
      <c r="R106" s="10"/>
      <c r="S106" s="15" t="str">
        <f t="shared" ca="1" si="3"/>
        <v/>
      </c>
      <c r="T106" s="16" t="str">
        <f ca="1">IF(AND(B106="",D106=""),"",IF(S106="Anulată","",TRIM(IF(COUNTIF($B$5:$B$304,B106)&gt;1,"Număr dublat. ","")&amp;IF(OR(C106="",D106="",H106="",J106="",K106=""),"Date incomplete. ","")&amp;IF(COUNTIF('Linii comandă'!$B$5:$B$1004,B106)=0,"Nicio linie de comandă. ","")&amp;IF(AND(L106&lt;&gt;"Da",C106&lt;&gt;"",TODAY()-C106&gt;ZileConf),"Neconfirmată de "&amp;(TODAY()-C106)&amp;" zile. ","")&amp;IF(S106="Întârziată","Termenul de livrare a trecut: "&amp;RIGHT("0"&amp;DAY(J106),2)&amp;"."&amp;RIGHT("0"&amp;MONTH(J106),2)&amp;"."&amp;YEAR(J106)&amp;". ","")&amp;IF(S106="Livrată – de facturat","Emite factura. ",""))))</f>
        <v/>
      </c>
    </row>
    <row r="107" spans="2:20" x14ac:dyDescent="0.2">
      <c r="B107" s="10" t="str">
        <f>IF(D107="","",MAX($B$5:B106)+1)</f>
        <v/>
      </c>
      <c r="C107" s="11"/>
      <c r="D107" s="12"/>
      <c r="E107" s="12"/>
      <c r="F107" s="12"/>
      <c r="G107" s="12"/>
      <c r="H107" s="12"/>
      <c r="I107" s="10"/>
      <c r="J107" s="11"/>
      <c r="K107" s="13"/>
      <c r="L107" s="10"/>
      <c r="M107" s="11"/>
      <c r="N107" s="14" t="str">
        <f>IF(B107="","",SUMIF('Linii comandă'!$B$5:$B$1004,B107,'Linii comandă'!$K$5:$K$1004))</f>
        <v/>
      </c>
      <c r="O107" s="14" t="str">
        <f>IF(B107="","",SUMIF('Linii comandă'!$B$5:$B$1004,B107,'Linii comandă'!$L$5:$L$1004))</f>
        <v/>
      </c>
      <c r="P107" s="14" t="str">
        <f t="shared" si="2"/>
        <v/>
      </c>
      <c r="Q107" s="15" t="str">
        <f>IF(OR(B107="",COUNTIF('Linii comandă'!$B$5:$B$1004,B107)=0),"",IF(SUMIF('Linii comandă'!$B$5:$B$1004,B107,'Linii comandă'!$N$5:$N$1004)&lt;=0,"Completă",IF(SUMIF('Linii comandă'!$B$5:$B$1004,B107,'Linii comandă'!$M$5:$M$1004)&gt;0,"Parțială","Nelivrată")))</f>
        <v/>
      </c>
      <c r="R107" s="10"/>
      <c r="S107" s="15" t="str">
        <f t="shared" ca="1" si="3"/>
        <v/>
      </c>
      <c r="T107" s="16" t="str">
        <f ca="1">IF(AND(B107="",D107=""),"",IF(S107="Anulată","",TRIM(IF(COUNTIF($B$5:$B$304,B107)&gt;1,"Număr dublat. ","")&amp;IF(OR(C107="",D107="",H107="",J107="",K107=""),"Date incomplete. ","")&amp;IF(COUNTIF('Linii comandă'!$B$5:$B$1004,B107)=0,"Nicio linie de comandă. ","")&amp;IF(AND(L107&lt;&gt;"Da",C107&lt;&gt;"",TODAY()-C107&gt;ZileConf),"Neconfirmată de "&amp;(TODAY()-C107)&amp;" zile. ","")&amp;IF(S107="Întârziată","Termenul de livrare a trecut: "&amp;RIGHT("0"&amp;DAY(J107),2)&amp;"."&amp;RIGHT("0"&amp;MONTH(J107),2)&amp;"."&amp;YEAR(J107)&amp;". ","")&amp;IF(S107="Livrată – de facturat","Emite factura. ",""))))</f>
        <v/>
      </c>
    </row>
    <row r="108" spans="2:20" x14ac:dyDescent="0.2">
      <c r="B108" s="10" t="str">
        <f>IF(D108="","",MAX($B$5:B107)+1)</f>
        <v/>
      </c>
      <c r="C108" s="11"/>
      <c r="D108" s="12"/>
      <c r="E108" s="12"/>
      <c r="F108" s="12"/>
      <c r="G108" s="12"/>
      <c r="H108" s="12"/>
      <c r="I108" s="10"/>
      <c r="J108" s="11"/>
      <c r="K108" s="13"/>
      <c r="L108" s="10"/>
      <c r="M108" s="11"/>
      <c r="N108" s="14" t="str">
        <f>IF(B108="","",SUMIF('Linii comandă'!$B$5:$B$1004,B108,'Linii comandă'!$K$5:$K$1004))</f>
        <v/>
      </c>
      <c r="O108" s="14" t="str">
        <f>IF(B108="","",SUMIF('Linii comandă'!$B$5:$B$1004,B108,'Linii comandă'!$L$5:$L$1004))</f>
        <v/>
      </c>
      <c r="P108" s="14" t="str">
        <f t="shared" si="2"/>
        <v/>
      </c>
      <c r="Q108" s="15" t="str">
        <f>IF(OR(B108="",COUNTIF('Linii comandă'!$B$5:$B$1004,B108)=0),"",IF(SUMIF('Linii comandă'!$B$5:$B$1004,B108,'Linii comandă'!$N$5:$N$1004)&lt;=0,"Completă",IF(SUMIF('Linii comandă'!$B$5:$B$1004,B108,'Linii comandă'!$M$5:$M$1004)&gt;0,"Parțială","Nelivrată")))</f>
        <v/>
      </c>
      <c r="R108" s="10"/>
      <c r="S108" s="15" t="str">
        <f t="shared" ca="1" si="3"/>
        <v/>
      </c>
      <c r="T108" s="16" t="str">
        <f ca="1">IF(AND(B108="",D108=""),"",IF(S108="Anulată","",TRIM(IF(COUNTIF($B$5:$B$304,B108)&gt;1,"Număr dublat. ","")&amp;IF(OR(C108="",D108="",H108="",J108="",K108=""),"Date incomplete. ","")&amp;IF(COUNTIF('Linii comandă'!$B$5:$B$1004,B108)=0,"Nicio linie de comandă. ","")&amp;IF(AND(L108&lt;&gt;"Da",C108&lt;&gt;"",TODAY()-C108&gt;ZileConf),"Neconfirmată de "&amp;(TODAY()-C108)&amp;" zile. ","")&amp;IF(S108="Întârziată","Termenul de livrare a trecut: "&amp;RIGHT("0"&amp;DAY(J108),2)&amp;"."&amp;RIGHT("0"&amp;MONTH(J108),2)&amp;"."&amp;YEAR(J108)&amp;". ","")&amp;IF(S108="Livrată – de facturat","Emite factura. ",""))))</f>
        <v/>
      </c>
    </row>
    <row r="109" spans="2:20" x14ac:dyDescent="0.2">
      <c r="B109" s="10" t="str">
        <f>IF(D109="","",MAX($B$5:B108)+1)</f>
        <v/>
      </c>
      <c r="C109" s="11"/>
      <c r="D109" s="12"/>
      <c r="E109" s="12"/>
      <c r="F109" s="12"/>
      <c r="G109" s="12"/>
      <c r="H109" s="12"/>
      <c r="I109" s="10"/>
      <c r="J109" s="11"/>
      <c r="K109" s="13"/>
      <c r="L109" s="10"/>
      <c r="M109" s="11"/>
      <c r="N109" s="14" t="str">
        <f>IF(B109="","",SUMIF('Linii comandă'!$B$5:$B$1004,B109,'Linii comandă'!$K$5:$K$1004))</f>
        <v/>
      </c>
      <c r="O109" s="14" t="str">
        <f>IF(B109="","",SUMIF('Linii comandă'!$B$5:$B$1004,B109,'Linii comandă'!$L$5:$L$1004))</f>
        <v/>
      </c>
      <c r="P109" s="14" t="str">
        <f t="shared" si="2"/>
        <v/>
      </c>
      <c r="Q109" s="15" t="str">
        <f>IF(OR(B109="",COUNTIF('Linii comandă'!$B$5:$B$1004,B109)=0),"",IF(SUMIF('Linii comandă'!$B$5:$B$1004,B109,'Linii comandă'!$N$5:$N$1004)&lt;=0,"Completă",IF(SUMIF('Linii comandă'!$B$5:$B$1004,B109,'Linii comandă'!$M$5:$M$1004)&gt;0,"Parțială","Nelivrată")))</f>
        <v/>
      </c>
      <c r="R109" s="10"/>
      <c r="S109" s="15" t="str">
        <f t="shared" ca="1" si="3"/>
        <v/>
      </c>
      <c r="T109" s="16" t="str">
        <f ca="1">IF(AND(B109="",D109=""),"",IF(S109="Anulată","",TRIM(IF(COUNTIF($B$5:$B$304,B109)&gt;1,"Număr dublat. ","")&amp;IF(OR(C109="",D109="",H109="",J109="",K109=""),"Date incomplete. ","")&amp;IF(COUNTIF('Linii comandă'!$B$5:$B$1004,B109)=0,"Nicio linie de comandă. ","")&amp;IF(AND(L109&lt;&gt;"Da",C109&lt;&gt;"",TODAY()-C109&gt;ZileConf),"Neconfirmată de "&amp;(TODAY()-C109)&amp;" zile. ","")&amp;IF(S109="Întârziată","Termenul de livrare a trecut: "&amp;RIGHT("0"&amp;DAY(J109),2)&amp;"."&amp;RIGHT("0"&amp;MONTH(J109),2)&amp;"."&amp;YEAR(J109)&amp;". ","")&amp;IF(S109="Livrată – de facturat","Emite factura. ",""))))</f>
        <v/>
      </c>
    </row>
    <row r="110" spans="2:20" x14ac:dyDescent="0.2">
      <c r="B110" s="10" t="str">
        <f>IF(D110="","",MAX($B$5:B109)+1)</f>
        <v/>
      </c>
      <c r="C110" s="11"/>
      <c r="D110" s="12"/>
      <c r="E110" s="12"/>
      <c r="F110" s="12"/>
      <c r="G110" s="12"/>
      <c r="H110" s="12"/>
      <c r="I110" s="10"/>
      <c r="J110" s="11"/>
      <c r="K110" s="13"/>
      <c r="L110" s="10"/>
      <c r="M110" s="11"/>
      <c r="N110" s="14" t="str">
        <f>IF(B110="","",SUMIF('Linii comandă'!$B$5:$B$1004,B110,'Linii comandă'!$K$5:$K$1004))</f>
        <v/>
      </c>
      <c r="O110" s="14" t="str">
        <f>IF(B110="","",SUMIF('Linii comandă'!$B$5:$B$1004,B110,'Linii comandă'!$L$5:$L$1004))</f>
        <v/>
      </c>
      <c r="P110" s="14" t="str">
        <f t="shared" si="2"/>
        <v/>
      </c>
      <c r="Q110" s="15" t="str">
        <f>IF(OR(B110="",COUNTIF('Linii comandă'!$B$5:$B$1004,B110)=0),"",IF(SUMIF('Linii comandă'!$B$5:$B$1004,B110,'Linii comandă'!$N$5:$N$1004)&lt;=0,"Completă",IF(SUMIF('Linii comandă'!$B$5:$B$1004,B110,'Linii comandă'!$M$5:$M$1004)&gt;0,"Parțială","Nelivrată")))</f>
        <v/>
      </c>
      <c r="R110" s="10"/>
      <c r="S110" s="15" t="str">
        <f t="shared" ca="1" si="3"/>
        <v/>
      </c>
      <c r="T110" s="16" t="str">
        <f ca="1">IF(AND(B110="",D110=""),"",IF(S110="Anulată","",TRIM(IF(COUNTIF($B$5:$B$304,B110)&gt;1,"Număr dublat. ","")&amp;IF(OR(C110="",D110="",H110="",J110="",K110=""),"Date incomplete. ","")&amp;IF(COUNTIF('Linii comandă'!$B$5:$B$1004,B110)=0,"Nicio linie de comandă. ","")&amp;IF(AND(L110&lt;&gt;"Da",C110&lt;&gt;"",TODAY()-C110&gt;ZileConf),"Neconfirmată de "&amp;(TODAY()-C110)&amp;" zile. ","")&amp;IF(S110="Întârziată","Termenul de livrare a trecut: "&amp;RIGHT("0"&amp;DAY(J110),2)&amp;"."&amp;RIGHT("0"&amp;MONTH(J110),2)&amp;"."&amp;YEAR(J110)&amp;". ","")&amp;IF(S110="Livrată – de facturat","Emite factura. ",""))))</f>
        <v/>
      </c>
    </row>
    <row r="111" spans="2:20" x14ac:dyDescent="0.2">
      <c r="B111" s="10" t="str">
        <f>IF(D111="","",MAX($B$5:B110)+1)</f>
        <v/>
      </c>
      <c r="C111" s="11"/>
      <c r="D111" s="12"/>
      <c r="E111" s="12"/>
      <c r="F111" s="12"/>
      <c r="G111" s="12"/>
      <c r="H111" s="12"/>
      <c r="I111" s="10"/>
      <c r="J111" s="11"/>
      <c r="K111" s="13"/>
      <c r="L111" s="10"/>
      <c r="M111" s="11"/>
      <c r="N111" s="14" t="str">
        <f>IF(B111="","",SUMIF('Linii comandă'!$B$5:$B$1004,B111,'Linii comandă'!$K$5:$K$1004))</f>
        <v/>
      </c>
      <c r="O111" s="14" t="str">
        <f>IF(B111="","",SUMIF('Linii comandă'!$B$5:$B$1004,B111,'Linii comandă'!$L$5:$L$1004))</f>
        <v/>
      </c>
      <c r="P111" s="14" t="str">
        <f t="shared" si="2"/>
        <v/>
      </c>
      <c r="Q111" s="15" t="str">
        <f>IF(OR(B111="",COUNTIF('Linii comandă'!$B$5:$B$1004,B111)=0),"",IF(SUMIF('Linii comandă'!$B$5:$B$1004,B111,'Linii comandă'!$N$5:$N$1004)&lt;=0,"Completă",IF(SUMIF('Linii comandă'!$B$5:$B$1004,B111,'Linii comandă'!$M$5:$M$1004)&gt;0,"Parțială","Nelivrată")))</f>
        <v/>
      </c>
      <c r="R111" s="10"/>
      <c r="S111" s="15" t="str">
        <f t="shared" ca="1" si="3"/>
        <v/>
      </c>
      <c r="T111" s="16" t="str">
        <f ca="1">IF(AND(B111="",D111=""),"",IF(S111="Anulată","",TRIM(IF(COUNTIF($B$5:$B$304,B111)&gt;1,"Număr dublat. ","")&amp;IF(OR(C111="",D111="",H111="",J111="",K111=""),"Date incomplete. ","")&amp;IF(COUNTIF('Linii comandă'!$B$5:$B$1004,B111)=0,"Nicio linie de comandă. ","")&amp;IF(AND(L111&lt;&gt;"Da",C111&lt;&gt;"",TODAY()-C111&gt;ZileConf),"Neconfirmată de "&amp;(TODAY()-C111)&amp;" zile. ","")&amp;IF(S111="Întârziată","Termenul de livrare a trecut: "&amp;RIGHT("0"&amp;DAY(J111),2)&amp;"."&amp;RIGHT("0"&amp;MONTH(J111),2)&amp;"."&amp;YEAR(J111)&amp;". ","")&amp;IF(S111="Livrată – de facturat","Emite factura. ",""))))</f>
        <v/>
      </c>
    </row>
    <row r="112" spans="2:20" x14ac:dyDescent="0.2">
      <c r="B112" s="10" t="str">
        <f>IF(D112="","",MAX($B$5:B111)+1)</f>
        <v/>
      </c>
      <c r="C112" s="11"/>
      <c r="D112" s="12"/>
      <c r="E112" s="12"/>
      <c r="F112" s="12"/>
      <c r="G112" s="12"/>
      <c r="H112" s="12"/>
      <c r="I112" s="10"/>
      <c r="J112" s="11"/>
      <c r="K112" s="13"/>
      <c r="L112" s="10"/>
      <c r="M112" s="11"/>
      <c r="N112" s="14" t="str">
        <f>IF(B112="","",SUMIF('Linii comandă'!$B$5:$B$1004,B112,'Linii comandă'!$K$5:$K$1004))</f>
        <v/>
      </c>
      <c r="O112" s="14" t="str">
        <f>IF(B112="","",SUMIF('Linii comandă'!$B$5:$B$1004,B112,'Linii comandă'!$L$5:$L$1004))</f>
        <v/>
      </c>
      <c r="P112" s="14" t="str">
        <f t="shared" si="2"/>
        <v/>
      </c>
      <c r="Q112" s="15" t="str">
        <f>IF(OR(B112="",COUNTIF('Linii comandă'!$B$5:$B$1004,B112)=0),"",IF(SUMIF('Linii comandă'!$B$5:$B$1004,B112,'Linii comandă'!$N$5:$N$1004)&lt;=0,"Completă",IF(SUMIF('Linii comandă'!$B$5:$B$1004,B112,'Linii comandă'!$M$5:$M$1004)&gt;0,"Parțială","Nelivrată")))</f>
        <v/>
      </c>
      <c r="R112" s="10"/>
      <c r="S112" s="15" t="str">
        <f t="shared" ca="1" si="3"/>
        <v/>
      </c>
      <c r="T112" s="16" t="str">
        <f ca="1">IF(AND(B112="",D112=""),"",IF(S112="Anulată","",TRIM(IF(COUNTIF($B$5:$B$304,B112)&gt;1,"Număr dublat. ","")&amp;IF(OR(C112="",D112="",H112="",J112="",K112=""),"Date incomplete. ","")&amp;IF(COUNTIF('Linii comandă'!$B$5:$B$1004,B112)=0,"Nicio linie de comandă. ","")&amp;IF(AND(L112&lt;&gt;"Da",C112&lt;&gt;"",TODAY()-C112&gt;ZileConf),"Neconfirmată de "&amp;(TODAY()-C112)&amp;" zile. ","")&amp;IF(S112="Întârziată","Termenul de livrare a trecut: "&amp;RIGHT("0"&amp;DAY(J112),2)&amp;"."&amp;RIGHT("0"&amp;MONTH(J112),2)&amp;"."&amp;YEAR(J112)&amp;". ","")&amp;IF(S112="Livrată – de facturat","Emite factura. ",""))))</f>
        <v/>
      </c>
    </row>
    <row r="113" spans="2:20" x14ac:dyDescent="0.2">
      <c r="B113" s="10" t="str">
        <f>IF(D113="","",MAX($B$5:B112)+1)</f>
        <v/>
      </c>
      <c r="C113" s="11"/>
      <c r="D113" s="12"/>
      <c r="E113" s="12"/>
      <c r="F113" s="12"/>
      <c r="G113" s="12"/>
      <c r="H113" s="12"/>
      <c r="I113" s="10"/>
      <c r="J113" s="11"/>
      <c r="K113" s="13"/>
      <c r="L113" s="10"/>
      <c r="M113" s="11"/>
      <c r="N113" s="14" t="str">
        <f>IF(B113="","",SUMIF('Linii comandă'!$B$5:$B$1004,B113,'Linii comandă'!$K$5:$K$1004))</f>
        <v/>
      </c>
      <c r="O113" s="14" t="str">
        <f>IF(B113="","",SUMIF('Linii comandă'!$B$5:$B$1004,B113,'Linii comandă'!$L$5:$L$1004))</f>
        <v/>
      </c>
      <c r="P113" s="14" t="str">
        <f t="shared" si="2"/>
        <v/>
      </c>
      <c r="Q113" s="15" t="str">
        <f>IF(OR(B113="",COUNTIF('Linii comandă'!$B$5:$B$1004,B113)=0),"",IF(SUMIF('Linii comandă'!$B$5:$B$1004,B113,'Linii comandă'!$N$5:$N$1004)&lt;=0,"Completă",IF(SUMIF('Linii comandă'!$B$5:$B$1004,B113,'Linii comandă'!$M$5:$M$1004)&gt;0,"Parțială","Nelivrată")))</f>
        <v/>
      </c>
      <c r="R113" s="10"/>
      <c r="S113" s="15" t="str">
        <f t="shared" ca="1" si="3"/>
        <v/>
      </c>
      <c r="T113" s="16" t="str">
        <f ca="1">IF(AND(B113="",D113=""),"",IF(S113="Anulată","",TRIM(IF(COUNTIF($B$5:$B$304,B113)&gt;1,"Număr dublat. ","")&amp;IF(OR(C113="",D113="",H113="",J113="",K113=""),"Date incomplete. ","")&amp;IF(COUNTIF('Linii comandă'!$B$5:$B$1004,B113)=0,"Nicio linie de comandă. ","")&amp;IF(AND(L113&lt;&gt;"Da",C113&lt;&gt;"",TODAY()-C113&gt;ZileConf),"Neconfirmată de "&amp;(TODAY()-C113)&amp;" zile. ","")&amp;IF(S113="Întârziată","Termenul de livrare a trecut: "&amp;RIGHT("0"&amp;DAY(J113),2)&amp;"."&amp;RIGHT("0"&amp;MONTH(J113),2)&amp;"."&amp;YEAR(J113)&amp;". ","")&amp;IF(S113="Livrată – de facturat","Emite factura. ",""))))</f>
        <v/>
      </c>
    </row>
    <row r="114" spans="2:20" x14ac:dyDescent="0.2">
      <c r="B114" s="10" t="str">
        <f>IF(D114="","",MAX($B$5:B113)+1)</f>
        <v/>
      </c>
      <c r="C114" s="11"/>
      <c r="D114" s="12"/>
      <c r="E114" s="12"/>
      <c r="F114" s="12"/>
      <c r="G114" s="12"/>
      <c r="H114" s="12"/>
      <c r="I114" s="10"/>
      <c r="J114" s="11"/>
      <c r="K114" s="13"/>
      <c r="L114" s="10"/>
      <c r="M114" s="11"/>
      <c r="N114" s="14" t="str">
        <f>IF(B114="","",SUMIF('Linii comandă'!$B$5:$B$1004,B114,'Linii comandă'!$K$5:$K$1004))</f>
        <v/>
      </c>
      <c r="O114" s="14" t="str">
        <f>IF(B114="","",SUMIF('Linii comandă'!$B$5:$B$1004,B114,'Linii comandă'!$L$5:$L$1004))</f>
        <v/>
      </c>
      <c r="P114" s="14" t="str">
        <f t="shared" si="2"/>
        <v/>
      </c>
      <c r="Q114" s="15" t="str">
        <f>IF(OR(B114="",COUNTIF('Linii comandă'!$B$5:$B$1004,B114)=0),"",IF(SUMIF('Linii comandă'!$B$5:$B$1004,B114,'Linii comandă'!$N$5:$N$1004)&lt;=0,"Completă",IF(SUMIF('Linii comandă'!$B$5:$B$1004,B114,'Linii comandă'!$M$5:$M$1004)&gt;0,"Parțială","Nelivrată")))</f>
        <v/>
      </c>
      <c r="R114" s="10"/>
      <c r="S114" s="15" t="str">
        <f t="shared" ca="1" si="3"/>
        <v/>
      </c>
      <c r="T114" s="16" t="str">
        <f ca="1">IF(AND(B114="",D114=""),"",IF(S114="Anulată","",TRIM(IF(COUNTIF($B$5:$B$304,B114)&gt;1,"Număr dublat. ","")&amp;IF(OR(C114="",D114="",H114="",J114="",K114=""),"Date incomplete. ","")&amp;IF(COUNTIF('Linii comandă'!$B$5:$B$1004,B114)=0,"Nicio linie de comandă. ","")&amp;IF(AND(L114&lt;&gt;"Da",C114&lt;&gt;"",TODAY()-C114&gt;ZileConf),"Neconfirmată de "&amp;(TODAY()-C114)&amp;" zile. ","")&amp;IF(S114="Întârziată","Termenul de livrare a trecut: "&amp;RIGHT("0"&amp;DAY(J114),2)&amp;"."&amp;RIGHT("0"&amp;MONTH(J114),2)&amp;"."&amp;YEAR(J114)&amp;". ","")&amp;IF(S114="Livrată – de facturat","Emite factura. ",""))))</f>
        <v/>
      </c>
    </row>
    <row r="115" spans="2:20" x14ac:dyDescent="0.2">
      <c r="B115" s="10" t="str">
        <f>IF(D115="","",MAX($B$5:B114)+1)</f>
        <v/>
      </c>
      <c r="C115" s="11"/>
      <c r="D115" s="12"/>
      <c r="E115" s="12"/>
      <c r="F115" s="12"/>
      <c r="G115" s="12"/>
      <c r="H115" s="12"/>
      <c r="I115" s="10"/>
      <c r="J115" s="11"/>
      <c r="K115" s="13"/>
      <c r="L115" s="10"/>
      <c r="M115" s="11"/>
      <c r="N115" s="14" t="str">
        <f>IF(B115="","",SUMIF('Linii comandă'!$B$5:$B$1004,B115,'Linii comandă'!$K$5:$K$1004))</f>
        <v/>
      </c>
      <c r="O115" s="14" t="str">
        <f>IF(B115="","",SUMIF('Linii comandă'!$B$5:$B$1004,B115,'Linii comandă'!$L$5:$L$1004))</f>
        <v/>
      </c>
      <c r="P115" s="14" t="str">
        <f t="shared" si="2"/>
        <v/>
      </c>
      <c r="Q115" s="15" t="str">
        <f>IF(OR(B115="",COUNTIF('Linii comandă'!$B$5:$B$1004,B115)=0),"",IF(SUMIF('Linii comandă'!$B$5:$B$1004,B115,'Linii comandă'!$N$5:$N$1004)&lt;=0,"Completă",IF(SUMIF('Linii comandă'!$B$5:$B$1004,B115,'Linii comandă'!$M$5:$M$1004)&gt;0,"Parțială","Nelivrată")))</f>
        <v/>
      </c>
      <c r="R115" s="10"/>
      <c r="S115" s="15" t="str">
        <f t="shared" ca="1" si="3"/>
        <v/>
      </c>
      <c r="T115" s="16" t="str">
        <f ca="1">IF(AND(B115="",D115=""),"",IF(S115="Anulată","",TRIM(IF(COUNTIF($B$5:$B$304,B115)&gt;1,"Număr dublat. ","")&amp;IF(OR(C115="",D115="",H115="",J115="",K115=""),"Date incomplete. ","")&amp;IF(COUNTIF('Linii comandă'!$B$5:$B$1004,B115)=0,"Nicio linie de comandă. ","")&amp;IF(AND(L115&lt;&gt;"Da",C115&lt;&gt;"",TODAY()-C115&gt;ZileConf),"Neconfirmată de "&amp;(TODAY()-C115)&amp;" zile. ","")&amp;IF(S115="Întârziată","Termenul de livrare a trecut: "&amp;RIGHT("0"&amp;DAY(J115),2)&amp;"."&amp;RIGHT("0"&amp;MONTH(J115),2)&amp;"."&amp;YEAR(J115)&amp;". ","")&amp;IF(S115="Livrată – de facturat","Emite factura. ",""))))</f>
        <v/>
      </c>
    </row>
    <row r="116" spans="2:20" x14ac:dyDescent="0.2">
      <c r="B116" s="10" t="str">
        <f>IF(D116="","",MAX($B$5:B115)+1)</f>
        <v/>
      </c>
      <c r="C116" s="11"/>
      <c r="D116" s="12"/>
      <c r="E116" s="12"/>
      <c r="F116" s="12"/>
      <c r="G116" s="12"/>
      <c r="H116" s="12"/>
      <c r="I116" s="10"/>
      <c r="J116" s="11"/>
      <c r="K116" s="13"/>
      <c r="L116" s="10"/>
      <c r="M116" s="11"/>
      <c r="N116" s="14" t="str">
        <f>IF(B116="","",SUMIF('Linii comandă'!$B$5:$B$1004,B116,'Linii comandă'!$K$5:$K$1004))</f>
        <v/>
      </c>
      <c r="O116" s="14" t="str">
        <f>IF(B116="","",SUMIF('Linii comandă'!$B$5:$B$1004,B116,'Linii comandă'!$L$5:$L$1004))</f>
        <v/>
      </c>
      <c r="P116" s="14" t="str">
        <f t="shared" si="2"/>
        <v/>
      </c>
      <c r="Q116" s="15" t="str">
        <f>IF(OR(B116="",COUNTIF('Linii comandă'!$B$5:$B$1004,B116)=0),"",IF(SUMIF('Linii comandă'!$B$5:$B$1004,B116,'Linii comandă'!$N$5:$N$1004)&lt;=0,"Completă",IF(SUMIF('Linii comandă'!$B$5:$B$1004,B116,'Linii comandă'!$M$5:$M$1004)&gt;0,"Parțială","Nelivrată")))</f>
        <v/>
      </c>
      <c r="R116" s="10"/>
      <c r="S116" s="15" t="str">
        <f t="shared" ca="1" si="3"/>
        <v/>
      </c>
      <c r="T116" s="16" t="str">
        <f ca="1">IF(AND(B116="",D116=""),"",IF(S116="Anulată","",TRIM(IF(COUNTIF($B$5:$B$304,B116)&gt;1,"Număr dublat. ","")&amp;IF(OR(C116="",D116="",H116="",J116="",K116=""),"Date incomplete. ","")&amp;IF(COUNTIF('Linii comandă'!$B$5:$B$1004,B116)=0,"Nicio linie de comandă. ","")&amp;IF(AND(L116&lt;&gt;"Da",C116&lt;&gt;"",TODAY()-C116&gt;ZileConf),"Neconfirmată de "&amp;(TODAY()-C116)&amp;" zile. ","")&amp;IF(S116="Întârziată","Termenul de livrare a trecut: "&amp;RIGHT("0"&amp;DAY(J116),2)&amp;"."&amp;RIGHT("0"&amp;MONTH(J116),2)&amp;"."&amp;YEAR(J116)&amp;". ","")&amp;IF(S116="Livrată – de facturat","Emite factura. ",""))))</f>
        <v/>
      </c>
    </row>
    <row r="117" spans="2:20" x14ac:dyDescent="0.2">
      <c r="B117" s="10" t="str">
        <f>IF(D117="","",MAX($B$5:B116)+1)</f>
        <v/>
      </c>
      <c r="C117" s="11"/>
      <c r="D117" s="12"/>
      <c r="E117" s="12"/>
      <c r="F117" s="12"/>
      <c r="G117" s="12"/>
      <c r="H117" s="12"/>
      <c r="I117" s="10"/>
      <c r="J117" s="11"/>
      <c r="K117" s="13"/>
      <c r="L117" s="10"/>
      <c r="M117" s="11"/>
      <c r="N117" s="14" t="str">
        <f>IF(B117="","",SUMIF('Linii comandă'!$B$5:$B$1004,B117,'Linii comandă'!$K$5:$K$1004))</f>
        <v/>
      </c>
      <c r="O117" s="14" t="str">
        <f>IF(B117="","",SUMIF('Linii comandă'!$B$5:$B$1004,B117,'Linii comandă'!$L$5:$L$1004))</f>
        <v/>
      </c>
      <c r="P117" s="14" t="str">
        <f t="shared" si="2"/>
        <v/>
      </c>
      <c r="Q117" s="15" t="str">
        <f>IF(OR(B117="",COUNTIF('Linii comandă'!$B$5:$B$1004,B117)=0),"",IF(SUMIF('Linii comandă'!$B$5:$B$1004,B117,'Linii comandă'!$N$5:$N$1004)&lt;=0,"Completă",IF(SUMIF('Linii comandă'!$B$5:$B$1004,B117,'Linii comandă'!$M$5:$M$1004)&gt;0,"Parțială","Nelivrată")))</f>
        <v/>
      </c>
      <c r="R117" s="10"/>
      <c r="S117" s="15" t="str">
        <f t="shared" ca="1" si="3"/>
        <v/>
      </c>
      <c r="T117" s="16" t="str">
        <f ca="1">IF(AND(B117="",D117=""),"",IF(S117="Anulată","",TRIM(IF(COUNTIF($B$5:$B$304,B117)&gt;1,"Număr dublat. ","")&amp;IF(OR(C117="",D117="",H117="",J117="",K117=""),"Date incomplete. ","")&amp;IF(COUNTIF('Linii comandă'!$B$5:$B$1004,B117)=0,"Nicio linie de comandă. ","")&amp;IF(AND(L117&lt;&gt;"Da",C117&lt;&gt;"",TODAY()-C117&gt;ZileConf),"Neconfirmată de "&amp;(TODAY()-C117)&amp;" zile. ","")&amp;IF(S117="Întârziată","Termenul de livrare a trecut: "&amp;RIGHT("0"&amp;DAY(J117),2)&amp;"."&amp;RIGHT("0"&amp;MONTH(J117),2)&amp;"."&amp;YEAR(J117)&amp;". ","")&amp;IF(S117="Livrată – de facturat","Emite factura. ",""))))</f>
        <v/>
      </c>
    </row>
    <row r="118" spans="2:20" x14ac:dyDescent="0.2">
      <c r="B118" s="10" t="str">
        <f>IF(D118="","",MAX($B$5:B117)+1)</f>
        <v/>
      </c>
      <c r="C118" s="11"/>
      <c r="D118" s="12"/>
      <c r="E118" s="12"/>
      <c r="F118" s="12"/>
      <c r="G118" s="12"/>
      <c r="H118" s="12"/>
      <c r="I118" s="10"/>
      <c r="J118" s="11"/>
      <c r="K118" s="13"/>
      <c r="L118" s="10"/>
      <c r="M118" s="11"/>
      <c r="N118" s="14" t="str">
        <f>IF(B118="","",SUMIF('Linii comandă'!$B$5:$B$1004,B118,'Linii comandă'!$K$5:$K$1004))</f>
        <v/>
      </c>
      <c r="O118" s="14" t="str">
        <f>IF(B118="","",SUMIF('Linii comandă'!$B$5:$B$1004,B118,'Linii comandă'!$L$5:$L$1004))</f>
        <v/>
      </c>
      <c r="P118" s="14" t="str">
        <f t="shared" si="2"/>
        <v/>
      </c>
      <c r="Q118" s="15" t="str">
        <f>IF(OR(B118="",COUNTIF('Linii comandă'!$B$5:$B$1004,B118)=0),"",IF(SUMIF('Linii comandă'!$B$5:$B$1004,B118,'Linii comandă'!$N$5:$N$1004)&lt;=0,"Completă",IF(SUMIF('Linii comandă'!$B$5:$B$1004,B118,'Linii comandă'!$M$5:$M$1004)&gt;0,"Parțială","Nelivrată")))</f>
        <v/>
      </c>
      <c r="R118" s="10"/>
      <c r="S118" s="15" t="str">
        <f t="shared" ca="1" si="3"/>
        <v/>
      </c>
      <c r="T118" s="16" t="str">
        <f ca="1">IF(AND(B118="",D118=""),"",IF(S118="Anulată","",TRIM(IF(COUNTIF($B$5:$B$304,B118)&gt;1,"Număr dublat. ","")&amp;IF(OR(C118="",D118="",H118="",J118="",K118=""),"Date incomplete. ","")&amp;IF(COUNTIF('Linii comandă'!$B$5:$B$1004,B118)=0,"Nicio linie de comandă. ","")&amp;IF(AND(L118&lt;&gt;"Da",C118&lt;&gt;"",TODAY()-C118&gt;ZileConf),"Neconfirmată de "&amp;(TODAY()-C118)&amp;" zile. ","")&amp;IF(S118="Întârziată","Termenul de livrare a trecut: "&amp;RIGHT("0"&amp;DAY(J118),2)&amp;"."&amp;RIGHT("0"&amp;MONTH(J118),2)&amp;"."&amp;YEAR(J118)&amp;". ","")&amp;IF(S118="Livrată – de facturat","Emite factura. ",""))))</f>
        <v/>
      </c>
    </row>
    <row r="119" spans="2:20" x14ac:dyDescent="0.2">
      <c r="B119" s="10" t="str">
        <f>IF(D119="","",MAX($B$5:B118)+1)</f>
        <v/>
      </c>
      <c r="C119" s="11"/>
      <c r="D119" s="12"/>
      <c r="E119" s="12"/>
      <c r="F119" s="12"/>
      <c r="G119" s="12"/>
      <c r="H119" s="12"/>
      <c r="I119" s="10"/>
      <c r="J119" s="11"/>
      <c r="K119" s="13"/>
      <c r="L119" s="10"/>
      <c r="M119" s="11"/>
      <c r="N119" s="14" t="str">
        <f>IF(B119="","",SUMIF('Linii comandă'!$B$5:$B$1004,B119,'Linii comandă'!$K$5:$K$1004))</f>
        <v/>
      </c>
      <c r="O119" s="14" t="str">
        <f>IF(B119="","",SUMIF('Linii comandă'!$B$5:$B$1004,B119,'Linii comandă'!$L$5:$L$1004))</f>
        <v/>
      </c>
      <c r="P119" s="14" t="str">
        <f t="shared" si="2"/>
        <v/>
      </c>
      <c r="Q119" s="15" t="str">
        <f>IF(OR(B119="",COUNTIF('Linii comandă'!$B$5:$B$1004,B119)=0),"",IF(SUMIF('Linii comandă'!$B$5:$B$1004,B119,'Linii comandă'!$N$5:$N$1004)&lt;=0,"Completă",IF(SUMIF('Linii comandă'!$B$5:$B$1004,B119,'Linii comandă'!$M$5:$M$1004)&gt;0,"Parțială","Nelivrată")))</f>
        <v/>
      </c>
      <c r="R119" s="10"/>
      <c r="S119" s="15" t="str">
        <f t="shared" ca="1" si="3"/>
        <v/>
      </c>
      <c r="T119" s="16" t="str">
        <f ca="1">IF(AND(B119="",D119=""),"",IF(S119="Anulată","",TRIM(IF(COUNTIF($B$5:$B$304,B119)&gt;1,"Număr dublat. ","")&amp;IF(OR(C119="",D119="",H119="",J119="",K119=""),"Date incomplete. ","")&amp;IF(COUNTIF('Linii comandă'!$B$5:$B$1004,B119)=0,"Nicio linie de comandă. ","")&amp;IF(AND(L119&lt;&gt;"Da",C119&lt;&gt;"",TODAY()-C119&gt;ZileConf),"Neconfirmată de "&amp;(TODAY()-C119)&amp;" zile. ","")&amp;IF(S119="Întârziată","Termenul de livrare a trecut: "&amp;RIGHT("0"&amp;DAY(J119),2)&amp;"."&amp;RIGHT("0"&amp;MONTH(J119),2)&amp;"."&amp;YEAR(J119)&amp;". ","")&amp;IF(S119="Livrată – de facturat","Emite factura. ",""))))</f>
        <v/>
      </c>
    </row>
    <row r="120" spans="2:20" x14ac:dyDescent="0.2">
      <c r="B120" s="10" t="str">
        <f>IF(D120="","",MAX($B$5:B119)+1)</f>
        <v/>
      </c>
      <c r="C120" s="11"/>
      <c r="D120" s="12"/>
      <c r="E120" s="12"/>
      <c r="F120" s="12"/>
      <c r="G120" s="12"/>
      <c r="H120" s="12"/>
      <c r="I120" s="10"/>
      <c r="J120" s="11"/>
      <c r="K120" s="13"/>
      <c r="L120" s="10"/>
      <c r="M120" s="11"/>
      <c r="N120" s="14" t="str">
        <f>IF(B120="","",SUMIF('Linii comandă'!$B$5:$B$1004,B120,'Linii comandă'!$K$5:$K$1004))</f>
        <v/>
      </c>
      <c r="O120" s="14" t="str">
        <f>IF(B120="","",SUMIF('Linii comandă'!$B$5:$B$1004,B120,'Linii comandă'!$L$5:$L$1004))</f>
        <v/>
      </c>
      <c r="P120" s="14" t="str">
        <f t="shared" si="2"/>
        <v/>
      </c>
      <c r="Q120" s="15" t="str">
        <f>IF(OR(B120="",COUNTIF('Linii comandă'!$B$5:$B$1004,B120)=0),"",IF(SUMIF('Linii comandă'!$B$5:$B$1004,B120,'Linii comandă'!$N$5:$N$1004)&lt;=0,"Completă",IF(SUMIF('Linii comandă'!$B$5:$B$1004,B120,'Linii comandă'!$M$5:$M$1004)&gt;0,"Parțială","Nelivrată")))</f>
        <v/>
      </c>
      <c r="R120" s="10"/>
      <c r="S120" s="15" t="str">
        <f t="shared" ca="1" si="3"/>
        <v/>
      </c>
      <c r="T120" s="16" t="str">
        <f ca="1">IF(AND(B120="",D120=""),"",IF(S120="Anulată","",TRIM(IF(COUNTIF($B$5:$B$304,B120)&gt;1,"Număr dublat. ","")&amp;IF(OR(C120="",D120="",H120="",J120="",K120=""),"Date incomplete. ","")&amp;IF(COUNTIF('Linii comandă'!$B$5:$B$1004,B120)=0,"Nicio linie de comandă. ","")&amp;IF(AND(L120&lt;&gt;"Da",C120&lt;&gt;"",TODAY()-C120&gt;ZileConf),"Neconfirmată de "&amp;(TODAY()-C120)&amp;" zile. ","")&amp;IF(S120="Întârziată","Termenul de livrare a trecut: "&amp;RIGHT("0"&amp;DAY(J120),2)&amp;"."&amp;RIGHT("0"&amp;MONTH(J120),2)&amp;"."&amp;YEAR(J120)&amp;". ","")&amp;IF(S120="Livrată – de facturat","Emite factura. ",""))))</f>
        <v/>
      </c>
    </row>
    <row r="121" spans="2:20" x14ac:dyDescent="0.2">
      <c r="B121" s="10" t="str">
        <f>IF(D121="","",MAX($B$5:B120)+1)</f>
        <v/>
      </c>
      <c r="C121" s="11"/>
      <c r="D121" s="12"/>
      <c r="E121" s="12"/>
      <c r="F121" s="12"/>
      <c r="G121" s="12"/>
      <c r="H121" s="12"/>
      <c r="I121" s="10"/>
      <c r="J121" s="11"/>
      <c r="K121" s="13"/>
      <c r="L121" s="10"/>
      <c r="M121" s="11"/>
      <c r="N121" s="14" t="str">
        <f>IF(B121="","",SUMIF('Linii comandă'!$B$5:$B$1004,B121,'Linii comandă'!$K$5:$K$1004))</f>
        <v/>
      </c>
      <c r="O121" s="14" t="str">
        <f>IF(B121="","",SUMIF('Linii comandă'!$B$5:$B$1004,B121,'Linii comandă'!$L$5:$L$1004))</f>
        <v/>
      </c>
      <c r="P121" s="14" t="str">
        <f t="shared" si="2"/>
        <v/>
      </c>
      <c r="Q121" s="15" t="str">
        <f>IF(OR(B121="",COUNTIF('Linii comandă'!$B$5:$B$1004,B121)=0),"",IF(SUMIF('Linii comandă'!$B$5:$B$1004,B121,'Linii comandă'!$N$5:$N$1004)&lt;=0,"Completă",IF(SUMIF('Linii comandă'!$B$5:$B$1004,B121,'Linii comandă'!$M$5:$M$1004)&gt;0,"Parțială","Nelivrată")))</f>
        <v/>
      </c>
      <c r="R121" s="10"/>
      <c r="S121" s="15" t="str">
        <f t="shared" ca="1" si="3"/>
        <v/>
      </c>
      <c r="T121" s="16" t="str">
        <f ca="1">IF(AND(B121="",D121=""),"",IF(S121="Anulată","",TRIM(IF(COUNTIF($B$5:$B$304,B121)&gt;1,"Număr dublat. ","")&amp;IF(OR(C121="",D121="",H121="",J121="",K121=""),"Date incomplete. ","")&amp;IF(COUNTIF('Linii comandă'!$B$5:$B$1004,B121)=0,"Nicio linie de comandă. ","")&amp;IF(AND(L121&lt;&gt;"Da",C121&lt;&gt;"",TODAY()-C121&gt;ZileConf),"Neconfirmată de "&amp;(TODAY()-C121)&amp;" zile. ","")&amp;IF(S121="Întârziată","Termenul de livrare a trecut: "&amp;RIGHT("0"&amp;DAY(J121),2)&amp;"."&amp;RIGHT("0"&amp;MONTH(J121),2)&amp;"."&amp;YEAR(J121)&amp;". ","")&amp;IF(S121="Livrată – de facturat","Emite factura. ",""))))</f>
        <v/>
      </c>
    </row>
    <row r="122" spans="2:20" x14ac:dyDescent="0.2">
      <c r="B122" s="10" t="str">
        <f>IF(D122="","",MAX($B$5:B121)+1)</f>
        <v/>
      </c>
      <c r="C122" s="11"/>
      <c r="D122" s="12"/>
      <c r="E122" s="12"/>
      <c r="F122" s="12"/>
      <c r="G122" s="12"/>
      <c r="H122" s="12"/>
      <c r="I122" s="10"/>
      <c r="J122" s="11"/>
      <c r="K122" s="13"/>
      <c r="L122" s="10"/>
      <c r="M122" s="11"/>
      <c r="N122" s="14" t="str">
        <f>IF(B122="","",SUMIF('Linii comandă'!$B$5:$B$1004,B122,'Linii comandă'!$K$5:$K$1004))</f>
        <v/>
      </c>
      <c r="O122" s="14" t="str">
        <f>IF(B122="","",SUMIF('Linii comandă'!$B$5:$B$1004,B122,'Linii comandă'!$L$5:$L$1004))</f>
        <v/>
      </c>
      <c r="P122" s="14" t="str">
        <f t="shared" si="2"/>
        <v/>
      </c>
      <c r="Q122" s="15" t="str">
        <f>IF(OR(B122="",COUNTIF('Linii comandă'!$B$5:$B$1004,B122)=0),"",IF(SUMIF('Linii comandă'!$B$5:$B$1004,B122,'Linii comandă'!$N$5:$N$1004)&lt;=0,"Completă",IF(SUMIF('Linii comandă'!$B$5:$B$1004,B122,'Linii comandă'!$M$5:$M$1004)&gt;0,"Parțială","Nelivrată")))</f>
        <v/>
      </c>
      <c r="R122" s="10"/>
      <c r="S122" s="15" t="str">
        <f t="shared" ca="1" si="3"/>
        <v/>
      </c>
      <c r="T122" s="16" t="str">
        <f ca="1">IF(AND(B122="",D122=""),"",IF(S122="Anulată","",TRIM(IF(COUNTIF($B$5:$B$304,B122)&gt;1,"Număr dublat. ","")&amp;IF(OR(C122="",D122="",H122="",J122="",K122=""),"Date incomplete. ","")&amp;IF(COUNTIF('Linii comandă'!$B$5:$B$1004,B122)=0,"Nicio linie de comandă. ","")&amp;IF(AND(L122&lt;&gt;"Da",C122&lt;&gt;"",TODAY()-C122&gt;ZileConf),"Neconfirmată de "&amp;(TODAY()-C122)&amp;" zile. ","")&amp;IF(S122="Întârziată","Termenul de livrare a trecut: "&amp;RIGHT("0"&amp;DAY(J122),2)&amp;"."&amp;RIGHT("0"&amp;MONTH(J122),2)&amp;"."&amp;YEAR(J122)&amp;". ","")&amp;IF(S122="Livrată – de facturat","Emite factura. ",""))))</f>
        <v/>
      </c>
    </row>
    <row r="123" spans="2:20" x14ac:dyDescent="0.2">
      <c r="B123" s="10" t="str">
        <f>IF(D123="","",MAX($B$5:B122)+1)</f>
        <v/>
      </c>
      <c r="C123" s="11"/>
      <c r="D123" s="12"/>
      <c r="E123" s="12"/>
      <c r="F123" s="12"/>
      <c r="G123" s="12"/>
      <c r="H123" s="12"/>
      <c r="I123" s="10"/>
      <c r="J123" s="11"/>
      <c r="K123" s="13"/>
      <c r="L123" s="10"/>
      <c r="M123" s="11"/>
      <c r="N123" s="14" t="str">
        <f>IF(B123="","",SUMIF('Linii comandă'!$B$5:$B$1004,B123,'Linii comandă'!$K$5:$K$1004))</f>
        <v/>
      </c>
      <c r="O123" s="14" t="str">
        <f>IF(B123="","",SUMIF('Linii comandă'!$B$5:$B$1004,B123,'Linii comandă'!$L$5:$L$1004))</f>
        <v/>
      </c>
      <c r="P123" s="14" t="str">
        <f t="shared" si="2"/>
        <v/>
      </c>
      <c r="Q123" s="15" t="str">
        <f>IF(OR(B123="",COUNTIF('Linii comandă'!$B$5:$B$1004,B123)=0),"",IF(SUMIF('Linii comandă'!$B$5:$B$1004,B123,'Linii comandă'!$N$5:$N$1004)&lt;=0,"Completă",IF(SUMIF('Linii comandă'!$B$5:$B$1004,B123,'Linii comandă'!$M$5:$M$1004)&gt;0,"Parțială","Nelivrată")))</f>
        <v/>
      </c>
      <c r="R123" s="10"/>
      <c r="S123" s="15" t="str">
        <f t="shared" ca="1" si="3"/>
        <v/>
      </c>
      <c r="T123" s="16" t="str">
        <f ca="1">IF(AND(B123="",D123=""),"",IF(S123="Anulată","",TRIM(IF(COUNTIF($B$5:$B$304,B123)&gt;1,"Număr dublat. ","")&amp;IF(OR(C123="",D123="",H123="",J123="",K123=""),"Date incomplete. ","")&amp;IF(COUNTIF('Linii comandă'!$B$5:$B$1004,B123)=0,"Nicio linie de comandă. ","")&amp;IF(AND(L123&lt;&gt;"Da",C123&lt;&gt;"",TODAY()-C123&gt;ZileConf),"Neconfirmată de "&amp;(TODAY()-C123)&amp;" zile. ","")&amp;IF(S123="Întârziată","Termenul de livrare a trecut: "&amp;RIGHT("0"&amp;DAY(J123),2)&amp;"."&amp;RIGHT("0"&amp;MONTH(J123),2)&amp;"."&amp;YEAR(J123)&amp;". ","")&amp;IF(S123="Livrată – de facturat","Emite factura. ",""))))</f>
        <v/>
      </c>
    </row>
    <row r="124" spans="2:20" x14ac:dyDescent="0.2">
      <c r="B124" s="10" t="str">
        <f>IF(D124="","",MAX($B$5:B123)+1)</f>
        <v/>
      </c>
      <c r="C124" s="11"/>
      <c r="D124" s="12"/>
      <c r="E124" s="12"/>
      <c r="F124" s="12"/>
      <c r="G124" s="12"/>
      <c r="H124" s="12"/>
      <c r="I124" s="10"/>
      <c r="J124" s="11"/>
      <c r="K124" s="13"/>
      <c r="L124" s="10"/>
      <c r="M124" s="11"/>
      <c r="N124" s="14" t="str">
        <f>IF(B124="","",SUMIF('Linii comandă'!$B$5:$B$1004,B124,'Linii comandă'!$K$5:$K$1004))</f>
        <v/>
      </c>
      <c r="O124" s="14" t="str">
        <f>IF(B124="","",SUMIF('Linii comandă'!$B$5:$B$1004,B124,'Linii comandă'!$L$5:$L$1004))</f>
        <v/>
      </c>
      <c r="P124" s="14" t="str">
        <f t="shared" si="2"/>
        <v/>
      </c>
      <c r="Q124" s="15" t="str">
        <f>IF(OR(B124="",COUNTIF('Linii comandă'!$B$5:$B$1004,B124)=0),"",IF(SUMIF('Linii comandă'!$B$5:$B$1004,B124,'Linii comandă'!$N$5:$N$1004)&lt;=0,"Completă",IF(SUMIF('Linii comandă'!$B$5:$B$1004,B124,'Linii comandă'!$M$5:$M$1004)&gt;0,"Parțială","Nelivrată")))</f>
        <v/>
      </c>
      <c r="R124" s="10"/>
      <c r="S124" s="15" t="str">
        <f t="shared" ca="1" si="3"/>
        <v/>
      </c>
      <c r="T124" s="16" t="str">
        <f ca="1">IF(AND(B124="",D124=""),"",IF(S124="Anulată","",TRIM(IF(COUNTIF($B$5:$B$304,B124)&gt;1,"Număr dublat. ","")&amp;IF(OR(C124="",D124="",H124="",J124="",K124=""),"Date incomplete. ","")&amp;IF(COUNTIF('Linii comandă'!$B$5:$B$1004,B124)=0,"Nicio linie de comandă. ","")&amp;IF(AND(L124&lt;&gt;"Da",C124&lt;&gt;"",TODAY()-C124&gt;ZileConf),"Neconfirmată de "&amp;(TODAY()-C124)&amp;" zile. ","")&amp;IF(S124="Întârziată","Termenul de livrare a trecut: "&amp;RIGHT("0"&amp;DAY(J124),2)&amp;"."&amp;RIGHT("0"&amp;MONTH(J124),2)&amp;"."&amp;YEAR(J124)&amp;". ","")&amp;IF(S124="Livrată – de facturat","Emite factura. ",""))))</f>
        <v/>
      </c>
    </row>
    <row r="125" spans="2:20" x14ac:dyDescent="0.2">
      <c r="B125" s="10" t="str">
        <f>IF(D125="","",MAX($B$5:B124)+1)</f>
        <v/>
      </c>
      <c r="C125" s="11"/>
      <c r="D125" s="12"/>
      <c r="E125" s="12"/>
      <c r="F125" s="12"/>
      <c r="G125" s="12"/>
      <c r="H125" s="12"/>
      <c r="I125" s="10"/>
      <c r="J125" s="11"/>
      <c r="K125" s="13"/>
      <c r="L125" s="10"/>
      <c r="M125" s="11"/>
      <c r="N125" s="14" t="str">
        <f>IF(B125="","",SUMIF('Linii comandă'!$B$5:$B$1004,B125,'Linii comandă'!$K$5:$K$1004))</f>
        <v/>
      </c>
      <c r="O125" s="14" t="str">
        <f>IF(B125="","",SUMIF('Linii comandă'!$B$5:$B$1004,B125,'Linii comandă'!$L$5:$L$1004))</f>
        <v/>
      </c>
      <c r="P125" s="14" t="str">
        <f t="shared" si="2"/>
        <v/>
      </c>
      <c r="Q125" s="15" t="str">
        <f>IF(OR(B125="",COUNTIF('Linii comandă'!$B$5:$B$1004,B125)=0),"",IF(SUMIF('Linii comandă'!$B$5:$B$1004,B125,'Linii comandă'!$N$5:$N$1004)&lt;=0,"Completă",IF(SUMIF('Linii comandă'!$B$5:$B$1004,B125,'Linii comandă'!$M$5:$M$1004)&gt;0,"Parțială","Nelivrată")))</f>
        <v/>
      </c>
      <c r="R125" s="10"/>
      <c r="S125" s="15" t="str">
        <f t="shared" ca="1" si="3"/>
        <v/>
      </c>
      <c r="T125" s="16" t="str">
        <f ca="1">IF(AND(B125="",D125=""),"",IF(S125="Anulată","",TRIM(IF(COUNTIF($B$5:$B$304,B125)&gt;1,"Număr dublat. ","")&amp;IF(OR(C125="",D125="",H125="",J125="",K125=""),"Date incomplete. ","")&amp;IF(COUNTIF('Linii comandă'!$B$5:$B$1004,B125)=0,"Nicio linie de comandă. ","")&amp;IF(AND(L125&lt;&gt;"Da",C125&lt;&gt;"",TODAY()-C125&gt;ZileConf),"Neconfirmată de "&amp;(TODAY()-C125)&amp;" zile. ","")&amp;IF(S125="Întârziată","Termenul de livrare a trecut: "&amp;RIGHT("0"&amp;DAY(J125),2)&amp;"."&amp;RIGHT("0"&amp;MONTH(J125),2)&amp;"."&amp;YEAR(J125)&amp;". ","")&amp;IF(S125="Livrată – de facturat","Emite factura. ",""))))</f>
        <v/>
      </c>
    </row>
    <row r="126" spans="2:20" x14ac:dyDescent="0.2">
      <c r="B126" s="10" t="str">
        <f>IF(D126="","",MAX($B$5:B125)+1)</f>
        <v/>
      </c>
      <c r="C126" s="11"/>
      <c r="D126" s="12"/>
      <c r="E126" s="12"/>
      <c r="F126" s="12"/>
      <c r="G126" s="12"/>
      <c r="H126" s="12"/>
      <c r="I126" s="10"/>
      <c r="J126" s="11"/>
      <c r="K126" s="13"/>
      <c r="L126" s="10"/>
      <c r="M126" s="11"/>
      <c r="N126" s="14" t="str">
        <f>IF(B126="","",SUMIF('Linii comandă'!$B$5:$B$1004,B126,'Linii comandă'!$K$5:$K$1004))</f>
        <v/>
      </c>
      <c r="O126" s="14" t="str">
        <f>IF(B126="","",SUMIF('Linii comandă'!$B$5:$B$1004,B126,'Linii comandă'!$L$5:$L$1004))</f>
        <v/>
      </c>
      <c r="P126" s="14" t="str">
        <f t="shared" si="2"/>
        <v/>
      </c>
      <c r="Q126" s="15" t="str">
        <f>IF(OR(B126="",COUNTIF('Linii comandă'!$B$5:$B$1004,B126)=0),"",IF(SUMIF('Linii comandă'!$B$5:$B$1004,B126,'Linii comandă'!$N$5:$N$1004)&lt;=0,"Completă",IF(SUMIF('Linii comandă'!$B$5:$B$1004,B126,'Linii comandă'!$M$5:$M$1004)&gt;0,"Parțială","Nelivrată")))</f>
        <v/>
      </c>
      <c r="R126" s="10"/>
      <c r="S126" s="15" t="str">
        <f t="shared" ca="1" si="3"/>
        <v/>
      </c>
      <c r="T126" s="16" t="str">
        <f ca="1">IF(AND(B126="",D126=""),"",IF(S126="Anulată","",TRIM(IF(COUNTIF($B$5:$B$304,B126)&gt;1,"Număr dublat. ","")&amp;IF(OR(C126="",D126="",H126="",J126="",K126=""),"Date incomplete. ","")&amp;IF(COUNTIF('Linii comandă'!$B$5:$B$1004,B126)=0,"Nicio linie de comandă. ","")&amp;IF(AND(L126&lt;&gt;"Da",C126&lt;&gt;"",TODAY()-C126&gt;ZileConf),"Neconfirmată de "&amp;(TODAY()-C126)&amp;" zile. ","")&amp;IF(S126="Întârziată","Termenul de livrare a trecut: "&amp;RIGHT("0"&amp;DAY(J126),2)&amp;"."&amp;RIGHT("0"&amp;MONTH(J126),2)&amp;"."&amp;YEAR(J126)&amp;". ","")&amp;IF(S126="Livrată – de facturat","Emite factura. ",""))))</f>
        <v/>
      </c>
    </row>
    <row r="127" spans="2:20" x14ac:dyDescent="0.2">
      <c r="B127" s="10" t="str">
        <f>IF(D127="","",MAX($B$5:B126)+1)</f>
        <v/>
      </c>
      <c r="C127" s="11"/>
      <c r="D127" s="12"/>
      <c r="E127" s="12"/>
      <c r="F127" s="12"/>
      <c r="G127" s="12"/>
      <c r="H127" s="12"/>
      <c r="I127" s="10"/>
      <c r="J127" s="11"/>
      <c r="K127" s="13"/>
      <c r="L127" s="10"/>
      <c r="M127" s="11"/>
      <c r="N127" s="14" t="str">
        <f>IF(B127="","",SUMIF('Linii comandă'!$B$5:$B$1004,B127,'Linii comandă'!$K$5:$K$1004))</f>
        <v/>
      </c>
      <c r="O127" s="14" t="str">
        <f>IF(B127="","",SUMIF('Linii comandă'!$B$5:$B$1004,B127,'Linii comandă'!$L$5:$L$1004))</f>
        <v/>
      </c>
      <c r="P127" s="14" t="str">
        <f t="shared" si="2"/>
        <v/>
      </c>
      <c r="Q127" s="15" t="str">
        <f>IF(OR(B127="",COUNTIF('Linii comandă'!$B$5:$B$1004,B127)=0),"",IF(SUMIF('Linii comandă'!$B$5:$B$1004,B127,'Linii comandă'!$N$5:$N$1004)&lt;=0,"Completă",IF(SUMIF('Linii comandă'!$B$5:$B$1004,B127,'Linii comandă'!$M$5:$M$1004)&gt;0,"Parțială","Nelivrată")))</f>
        <v/>
      </c>
      <c r="R127" s="10"/>
      <c r="S127" s="15" t="str">
        <f t="shared" ca="1" si="3"/>
        <v/>
      </c>
      <c r="T127" s="16" t="str">
        <f ca="1">IF(AND(B127="",D127=""),"",IF(S127="Anulată","",TRIM(IF(COUNTIF($B$5:$B$304,B127)&gt;1,"Număr dublat. ","")&amp;IF(OR(C127="",D127="",H127="",J127="",K127=""),"Date incomplete. ","")&amp;IF(COUNTIF('Linii comandă'!$B$5:$B$1004,B127)=0,"Nicio linie de comandă. ","")&amp;IF(AND(L127&lt;&gt;"Da",C127&lt;&gt;"",TODAY()-C127&gt;ZileConf),"Neconfirmată de "&amp;(TODAY()-C127)&amp;" zile. ","")&amp;IF(S127="Întârziată","Termenul de livrare a trecut: "&amp;RIGHT("0"&amp;DAY(J127),2)&amp;"."&amp;RIGHT("0"&amp;MONTH(J127),2)&amp;"."&amp;YEAR(J127)&amp;". ","")&amp;IF(S127="Livrată – de facturat","Emite factura. ",""))))</f>
        <v/>
      </c>
    </row>
    <row r="128" spans="2:20" x14ac:dyDescent="0.2">
      <c r="B128" s="10" t="str">
        <f>IF(D128="","",MAX($B$5:B127)+1)</f>
        <v/>
      </c>
      <c r="C128" s="11"/>
      <c r="D128" s="12"/>
      <c r="E128" s="12"/>
      <c r="F128" s="12"/>
      <c r="G128" s="12"/>
      <c r="H128" s="12"/>
      <c r="I128" s="10"/>
      <c r="J128" s="11"/>
      <c r="K128" s="13"/>
      <c r="L128" s="10"/>
      <c r="M128" s="11"/>
      <c r="N128" s="14" t="str">
        <f>IF(B128="","",SUMIF('Linii comandă'!$B$5:$B$1004,B128,'Linii comandă'!$K$5:$K$1004))</f>
        <v/>
      </c>
      <c r="O128" s="14" t="str">
        <f>IF(B128="","",SUMIF('Linii comandă'!$B$5:$B$1004,B128,'Linii comandă'!$L$5:$L$1004))</f>
        <v/>
      </c>
      <c r="P128" s="14" t="str">
        <f t="shared" si="2"/>
        <v/>
      </c>
      <c r="Q128" s="15" t="str">
        <f>IF(OR(B128="",COUNTIF('Linii comandă'!$B$5:$B$1004,B128)=0),"",IF(SUMIF('Linii comandă'!$B$5:$B$1004,B128,'Linii comandă'!$N$5:$N$1004)&lt;=0,"Completă",IF(SUMIF('Linii comandă'!$B$5:$B$1004,B128,'Linii comandă'!$M$5:$M$1004)&gt;0,"Parțială","Nelivrată")))</f>
        <v/>
      </c>
      <c r="R128" s="10"/>
      <c r="S128" s="15" t="str">
        <f t="shared" ca="1" si="3"/>
        <v/>
      </c>
      <c r="T128" s="16" t="str">
        <f ca="1">IF(AND(B128="",D128=""),"",IF(S128="Anulată","",TRIM(IF(COUNTIF($B$5:$B$304,B128)&gt;1,"Număr dublat. ","")&amp;IF(OR(C128="",D128="",H128="",J128="",K128=""),"Date incomplete. ","")&amp;IF(COUNTIF('Linii comandă'!$B$5:$B$1004,B128)=0,"Nicio linie de comandă. ","")&amp;IF(AND(L128&lt;&gt;"Da",C128&lt;&gt;"",TODAY()-C128&gt;ZileConf),"Neconfirmată de "&amp;(TODAY()-C128)&amp;" zile. ","")&amp;IF(S128="Întârziată","Termenul de livrare a trecut: "&amp;RIGHT("0"&amp;DAY(J128),2)&amp;"."&amp;RIGHT("0"&amp;MONTH(J128),2)&amp;"."&amp;YEAR(J128)&amp;". ","")&amp;IF(S128="Livrată – de facturat","Emite factura. ",""))))</f>
        <v/>
      </c>
    </row>
    <row r="129" spans="2:20" x14ac:dyDescent="0.2">
      <c r="B129" s="10" t="str">
        <f>IF(D129="","",MAX($B$5:B128)+1)</f>
        <v/>
      </c>
      <c r="C129" s="11"/>
      <c r="D129" s="12"/>
      <c r="E129" s="12"/>
      <c r="F129" s="12"/>
      <c r="G129" s="12"/>
      <c r="H129" s="12"/>
      <c r="I129" s="10"/>
      <c r="J129" s="11"/>
      <c r="K129" s="13"/>
      <c r="L129" s="10"/>
      <c r="M129" s="11"/>
      <c r="N129" s="14" t="str">
        <f>IF(B129="","",SUMIF('Linii comandă'!$B$5:$B$1004,B129,'Linii comandă'!$K$5:$K$1004))</f>
        <v/>
      </c>
      <c r="O129" s="14" t="str">
        <f>IF(B129="","",SUMIF('Linii comandă'!$B$5:$B$1004,B129,'Linii comandă'!$L$5:$L$1004))</f>
        <v/>
      </c>
      <c r="P129" s="14" t="str">
        <f t="shared" si="2"/>
        <v/>
      </c>
      <c r="Q129" s="15" t="str">
        <f>IF(OR(B129="",COUNTIF('Linii comandă'!$B$5:$B$1004,B129)=0),"",IF(SUMIF('Linii comandă'!$B$5:$B$1004,B129,'Linii comandă'!$N$5:$N$1004)&lt;=0,"Completă",IF(SUMIF('Linii comandă'!$B$5:$B$1004,B129,'Linii comandă'!$M$5:$M$1004)&gt;0,"Parțială","Nelivrată")))</f>
        <v/>
      </c>
      <c r="R129" s="10"/>
      <c r="S129" s="15" t="str">
        <f t="shared" ca="1" si="3"/>
        <v/>
      </c>
      <c r="T129" s="16" t="str">
        <f ca="1">IF(AND(B129="",D129=""),"",IF(S129="Anulată","",TRIM(IF(COUNTIF($B$5:$B$304,B129)&gt;1,"Număr dublat. ","")&amp;IF(OR(C129="",D129="",H129="",J129="",K129=""),"Date incomplete. ","")&amp;IF(COUNTIF('Linii comandă'!$B$5:$B$1004,B129)=0,"Nicio linie de comandă. ","")&amp;IF(AND(L129&lt;&gt;"Da",C129&lt;&gt;"",TODAY()-C129&gt;ZileConf),"Neconfirmată de "&amp;(TODAY()-C129)&amp;" zile. ","")&amp;IF(S129="Întârziată","Termenul de livrare a trecut: "&amp;RIGHT("0"&amp;DAY(J129),2)&amp;"."&amp;RIGHT("0"&amp;MONTH(J129),2)&amp;"."&amp;YEAR(J129)&amp;". ","")&amp;IF(S129="Livrată – de facturat","Emite factura. ",""))))</f>
        <v/>
      </c>
    </row>
    <row r="130" spans="2:20" x14ac:dyDescent="0.2">
      <c r="B130" s="10" t="str">
        <f>IF(D130="","",MAX($B$5:B129)+1)</f>
        <v/>
      </c>
      <c r="C130" s="11"/>
      <c r="D130" s="12"/>
      <c r="E130" s="12"/>
      <c r="F130" s="12"/>
      <c r="G130" s="12"/>
      <c r="H130" s="12"/>
      <c r="I130" s="10"/>
      <c r="J130" s="11"/>
      <c r="K130" s="13"/>
      <c r="L130" s="10"/>
      <c r="M130" s="11"/>
      <c r="N130" s="14" t="str">
        <f>IF(B130="","",SUMIF('Linii comandă'!$B$5:$B$1004,B130,'Linii comandă'!$K$5:$K$1004))</f>
        <v/>
      </c>
      <c r="O130" s="14" t="str">
        <f>IF(B130="","",SUMIF('Linii comandă'!$B$5:$B$1004,B130,'Linii comandă'!$L$5:$L$1004))</f>
        <v/>
      </c>
      <c r="P130" s="14" t="str">
        <f t="shared" si="2"/>
        <v/>
      </c>
      <c r="Q130" s="15" t="str">
        <f>IF(OR(B130="",COUNTIF('Linii comandă'!$B$5:$B$1004,B130)=0),"",IF(SUMIF('Linii comandă'!$B$5:$B$1004,B130,'Linii comandă'!$N$5:$N$1004)&lt;=0,"Completă",IF(SUMIF('Linii comandă'!$B$5:$B$1004,B130,'Linii comandă'!$M$5:$M$1004)&gt;0,"Parțială","Nelivrată")))</f>
        <v/>
      </c>
      <c r="R130" s="10"/>
      <c r="S130" s="15" t="str">
        <f t="shared" ca="1" si="3"/>
        <v/>
      </c>
      <c r="T130" s="16" t="str">
        <f ca="1">IF(AND(B130="",D130=""),"",IF(S130="Anulată","",TRIM(IF(COUNTIF($B$5:$B$304,B130)&gt;1,"Număr dublat. ","")&amp;IF(OR(C130="",D130="",H130="",J130="",K130=""),"Date incomplete. ","")&amp;IF(COUNTIF('Linii comandă'!$B$5:$B$1004,B130)=0,"Nicio linie de comandă. ","")&amp;IF(AND(L130&lt;&gt;"Da",C130&lt;&gt;"",TODAY()-C130&gt;ZileConf),"Neconfirmată de "&amp;(TODAY()-C130)&amp;" zile. ","")&amp;IF(S130="Întârziată","Termenul de livrare a trecut: "&amp;RIGHT("0"&amp;DAY(J130),2)&amp;"."&amp;RIGHT("0"&amp;MONTH(J130),2)&amp;"."&amp;YEAR(J130)&amp;". ","")&amp;IF(S130="Livrată – de facturat","Emite factura. ",""))))</f>
        <v/>
      </c>
    </row>
    <row r="131" spans="2:20" x14ac:dyDescent="0.2">
      <c r="B131" s="10" t="str">
        <f>IF(D131="","",MAX($B$5:B130)+1)</f>
        <v/>
      </c>
      <c r="C131" s="11"/>
      <c r="D131" s="12"/>
      <c r="E131" s="12"/>
      <c r="F131" s="12"/>
      <c r="G131" s="12"/>
      <c r="H131" s="12"/>
      <c r="I131" s="10"/>
      <c r="J131" s="11"/>
      <c r="K131" s="13"/>
      <c r="L131" s="10"/>
      <c r="M131" s="11"/>
      <c r="N131" s="14" t="str">
        <f>IF(B131="","",SUMIF('Linii comandă'!$B$5:$B$1004,B131,'Linii comandă'!$K$5:$K$1004))</f>
        <v/>
      </c>
      <c r="O131" s="14" t="str">
        <f>IF(B131="","",SUMIF('Linii comandă'!$B$5:$B$1004,B131,'Linii comandă'!$L$5:$L$1004))</f>
        <v/>
      </c>
      <c r="P131" s="14" t="str">
        <f t="shared" si="2"/>
        <v/>
      </c>
      <c r="Q131" s="15" t="str">
        <f>IF(OR(B131="",COUNTIF('Linii comandă'!$B$5:$B$1004,B131)=0),"",IF(SUMIF('Linii comandă'!$B$5:$B$1004,B131,'Linii comandă'!$N$5:$N$1004)&lt;=0,"Completă",IF(SUMIF('Linii comandă'!$B$5:$B$1004,B131,'Linii comandă'!$M$5:$M$1004)&gt;0,"Parțială","Nelivrată")))</f>
        <v/>
      </c>
      <c r="R131" s="10"/>
      <c r="S131" s="15" t="str">
        <f t="shared" ca="1" si="3"/>
        <v/>
      </c>
      <c r="T131" s="16" t="str">
        <f ca="1">IF(AND(B131="",D131=""),"",IF(S131="Anulată","",TRIM(IF(COUNTIF($B$5:$B$304,B131)&gt;1,"Număr dublat. ","")&amp;IF(OR(C131="",D131="",H131="",J131="",K131=""),"Date incomplete. ","")&amp;IF(COUNTIF('Linii comandă'!$B$5:$B$1004,B131)=0,"Nicio linie de comandă. ","")&amp;IF(AND(L131&lt;&gt;"Da",C131&lt;&gt;"",TODAY()-C131&gt;ZileConf),"Neconfirmată de "&amp;(TODAY()-C131)&amp;" zile. ","")&amp;IF(S131="Întârziată","Termenul de livrare a trecut: "&amp;RIGHT("0"&amp;DAY(J131),2)&amp;"."&amp;RIGHT("0"&amp;MONTH(J131),2)&amp;"."&amp;YEAR(J131)&amp;". ","")&amp;IF(S131="Livrată – de facturat","Emite factura. ",""))))</f>
        <v/>
      </c>
    </row>
    <row r="132" spans="2:20" x14ac:dyDescent="0.2">
      <c r="B132" s="10" t="str">
        <f>IF(D132="","",MAX($B$5:B131)+1)</f>
        <v/>
      </c>
      <c r="C132" s="11"/>
      <c r="D132" s="12"/>
      <c r="E132" s="12"/>
      <c r="F132" s="12"/>
      <c r="G132" s="12"/>
      <c r="H132" s="12"/>
      <c r="I132" s="10"/>
      <c r="J132" s="11"/>
      <c r="K132" s="13"/>
      <c r="L132" s="10"/>
      <c r="M132" s="11"/>
      <c r="N132" s="14" t="str">
        <f>IF(B132="","",SUMIF('Linii comandă'!$B$5:$B$1004,B132,'Linii comandă'!$K$5:$K$1004))</f>
        <v/>
      </c>
      <c r="O132" s="14" t="str">
        <f>IF(B132="","",SUMIF('Linii comandă'!$B$5:$B$1004,B132,'Linii comandă'!$L$5:$L$1004))</f>
        <v/>
      </c>
      <c r="P132" s="14" t="str">
        <f t="shared" si="2"/>
        <v/>
      </c>
      <c r="Q132" s="15" t="str">
        <f>IF(OR(B132="",COUNTIF('Linii comandă'!$B$5:$B$1004,B132)=0),"",IF(SUMIF('Linii comandă'!$B$5:$B$1004,B132,'Linii comandă'!$N$5:$N$1004)&lt;=0,"Completă",IF(SUMIF('Linii comandă'!$B$5:$B$1004,B132,'Linii comandă'!$M$5:$M$1004)&gt;0,"Parțială","Nelivrată")))</f>
        <v/>
      </c>
      <c r="R132" s="10"/>
      <c r="S132" s="15" t="str">
        <f t="shared" ca="1" si="3"/>
        <v/>
      </c>
      <c r="T132" s="16" t="str">
        <f ca="1">IF(AND(B132="",D132=""),"",IF(S132="Anulată","",TRIM(IF(COUNTIF($B$5:$B$304,B132)&gt;1,"Număr dublat. ","")&amp;IF(OR(C132="",D132="",H132="",J132="",K132=""),"Date incomplete. ","")&amp;IF(COUNTIF('Linii comandă'!$B$5:$B$1004,B132)=0,"Nicio linie de comandă. ","")&amp;IF(AND(L132&lt;&gt;"Da",C132&lt;&gt;"",TODAY()-C132&gt;ZileConf),"Neconfirmată de "&amp;(TODAY()-C132)&amp;" zile. ","")&amp;IF(S132="Întârziată","Termenul de livrare a trecut: "&amp;RIGHT("0"&amp;DAY(J132),2)&amp;"."&amp;RIGHT("0"&amp;MONTH(J132),2)&amp;"."&amp;YEAR(J132)&amp;". ","")&amp;IF(S132="Livrată – de facturat","Emite factura. ",""))))</f>
        <v/>
      </c>
    </row>
    <row r="133" spans="2:20" x14ac:dyDescent="0.2">
      <c r="B133" s="10" t="str">
        <f>IF(D133="","",MAX($B$5:B132)+1)</f>
        <v/>
      </c>
      <c r="C133" s="11"/>
      <c r="D133" s="12"/>
      <c r="E133" s="12"/>
      <c r="F133" s="12"/>
      <c r="G133" s="12"/>
      <c r="H133" s="12"/>
      <c r="I133" s="10"/>
      <c r="J133" s="11"/>
      <c r="K133" s="13"/>
      <c r="L133" s="10"/>
      <c r="M133" s="11"/>
      <c r="N133" s="14" t="str">
        <f>IF(B133="","",SUMIF('Linii comandă'!$B$5:$B$1004,B133,'Linii comandă'!$K$5:$K$1004))</f>
        <v/>
      </c>
      <c r="O133" s="14" t="str">
        <f>IF(B133="","",SUMIF('Linii comandă'!$B$5:$B$1004,B133,'Linii comandă'!$L$5:$L$1004))</f>
        <v/>
      </c>
      <c r="P133" s="14" t="str">
        <f t="shared" ref="P133:P196" si="4">IF(B133="","",N133+O133)</f>
        <v/>
      </c>
      <c r="Q133" s="15" t="str">
        <f>IF(OR(B133="",COUNTIF('Linii comandă'!$B$5:$B$1004,B133)=0),"",IF(SUMIF('Linii comandă'!$B$5:$B$1004,B133,'Linii comandă'!$N$5:$N$1004)&lt;=0,"Completă",IF(SUMIF('Linii comandă'!$B$5:$B$1004,B133,'Linii comandă'!$M$5:$M$1004)&gt;0,"Parțială","Nelivrată")))</f>
        <v/>
      </c>
      <c r="R133" s="10"/>
      <c r="S133" s="15" t="str">
        <f t="shared" ref="S133:S196" ca="1" si="5">IF(B133="","",IF(L133="Anulată","Anulată",IF(AND(L133="Da",Q133&lt;&gt;"Completă",J133&lt;&gt;"",J133&lt;TODAY()),"Întârziată",IF(AND(Q133="Completă",R133&lt;&gt;""),"Facturată",IF(Q133="Completă","Livrată – de facturat",IF(L133&lt;&gt;"Da","Neconfirmată",IF(Q133="Parțială","Livrată parțial","Confirmată – în pregătire")))))))</f>
        <v/>
      </c>
      <c r="T133" s="16" t="str">
        <f ca="1">IF(AND(B133="",D133=""),"",IF(S133="Anulată","",TRIM(IF(COUNTIF($B$5:$B$304,B133)&gt;1,"Număr dublat. ","")&amp;IF(OR(C133="",D133="",H133="",J133="",K133=""),"Date incomplete. ","")&amp;IF(COUNTIF('Linii comandă'!$B$5:$B$1004,B133)=0,"Nicio linie de comandă. ","")&amp;IF(AND(L133&lt;&gt;"Da",C133&lt;&gt;"",TODAY()-C133&gt;ZileConf),"Neconfirmată de "&amp;(TODAY()-C133)&amp;" zile. ","")&amp;IF(S133="Întârziată","Termenul de livrare a trecut: "&amp;RIGHT("0"&amp;DAY(J133),2)&amp;"."&amp;RIGHT("0"&amp;MONTH(J133),2)&amp;"."&amp;YEAR(J133)&amp;". ","")&amp;IF(S133="Livrată – de facturat","Emite factura. ",""))))</f>
        <v/>
      </c>
    </row>
    <row r="134" spans="2:20" x14ac:dyDescent="0.2">
      <c r="B134" s="10" t="str">
        <f>IF(D134="","",MAX($B$5:B133)+1)</f>
        <v/>
      </c>
      <c r="C134" s="11"/>
      <c r="D134" s="12"/>
      <c r="E134" s="12"/>
      <c r="F134" s="12"/>
      <c r="G134" s="12"/>
      <c r="H134" s="12"/>
      <c r="I134" s="10"/>
      <c r="J134" s="11"/>
      <c r="K134" s="13"/>
      <c r="L134" s="10"/>
      <c r="M134" s="11"/>
      <c r="N134" s="14" t="str">
        <f>IF(B134="","",SUMIF('Linii comandă'!$B$5:$B$1004,B134,'Linii comandă'!$K$5:$K$1004))</f>
        <v/>
      </c>
      <c r="O134" s="14" t="str">
        <f>IF(B134="","",SUMIF('Linii comandă'!$B$5:$B$1004,B134,'Linii comandă'!$L$5:$L$1004))</f>
        <v/>
      </c>
      <c r="P134" s="14" t="str">
        <f t="shared" si="4"/>
        <v/>
      </c>
      <c r="Q134" s="15" t="str">
        <f>IF(OR(B134="",COUNTIF('Linii comandă'!$B$5:$B$1004,B134)=0),"",IF(SUMIF('Linii comandă'!$B$5:$B$1004,B134,'Linii comandă'!$N$5:$N$1004)&lt;=0,"Completă",IF(SUMIF('Linii comandă'!$B$5:$B$1004,B134,'Linii comandă'!$M$5:$M$1004)&gt;0,"Parțială","Nelivrată")))</f>
        <v/>
      </c>
      <c r="R134" s="10"/>
      <c r="S134" s="15" t="str">
        <f t="shared" ca="1" si="5"/>
        <v/>
      </c>
      <c r="T134" s="16" t="str">
        <f ca="1">IF(AND(B134="",D134=""),"",IF(S134="Anulată","",TRIM(IF(COUNTIF($B$5:$B$304,B134)&gt;1,"Număr dublat. ","")&amp;IF(OR(C134="",D134="",H134="",J134="",K134=""),"Date incomplete. ","")&amp;IF(COUNTIF('Linii comandă'!$B$5:$B$1004,B134)=0,"Nicio linie de comandă. ","")&amp;IF(AND(L134&lt;&gt;"Da",C134&lt;&gt;"",TODAY()-C134&gt;ZileConf),"Neconfirmată de "&amp;(TODAY()-C134)&amp;" zile. ","")&amp;IF(S134="Întârziată","Termenul de livrare a trecut: "&amp;RIGHT("0"&amp;DAY(J134),2)&amp;"."&amp;RIGHT("0"&amp;MONTH(J134),2)&amp;"."&amp;YEAR(J134)&amp;". ","")&amp;IF(S134="Livrată – de facturat","Emite factura. ",""))))</f>
        <v/>
      </c>
    </row>
    <row r="135" spans="2:20" x14ac:dyDescent="0.2">
      <c r="B135" s="10" t="str">
        <f>IF(D135="","",MAX($B$5:B134)+1)</f>
        <v/>
      </c>
      <c r="C135" s="11"/>
      <c r="D135" s="12"/>
      <c r="E135" s="12"/>
      <c r="F135" s="12"/>
      <c r="G135" s="12"/>
      <c r="H135" s="12"/>
      <c r="I135" s="10"/>
      <c r="J135" s="11"/>
      <c r="K135" s="13"/>
      <c r="L135" s="10"/>
      <c r="M135" s="11"/>
      <c r="N135" s="14" t="str">
        <f>IF(B135="","",SUMIF('Linii comandă'!$B$5:$B$1004,B135,'Linii comandă'!$K$5:$K$1004))</f>
        <v/>
      </c>
      <c r="O135" s="14" t="str">
        <f>IF(B135="","",SUMIF('Linii comandă'!$B$5:$B$1004,B135,'Linii comandă'!$L$5:$L$1004))</f>
        <v/>
      </c>
      <c r="P135" s="14" t="str">
        <f t="shared" si="4"/>
        <v/>
      </c>
      <c r="Q135" s="15" t="str">
        <f>IF(OR(B135="",COUNTIF('Linii comandă'!$B$5:$B$1004,B135)=0),"",IF(SUMIF('Linii comandă'!$B$5:$B$1004,B135,'Linii comandă'!$N$5:$N$1004)&lt;=0,"Completă",IF(SUMIF('Linii comandă'!$B$5:$B$1004,B135,'Linii comandă'!$M$5:$M$1004)&gt;0,"Parțială","Nelivrată")))</f>
        <v/>
      </c>
      <c r="R135" s="10"/>
      <c r="S135" s="15" t="str">
        <f t="shared" ca="1" si="5"/>
        <v/>
      </c>
      <c r="T135" s="16" t="str">
        <f ca="1">IF(AND(B135="",D135=""),"",IF(S135="Anulată","",TRIM(IF(COUNTIF($B$5:$B$304,B135)&gt;1,"Număr dublat. ","")&amp;IF(OR(C135="",D135="",H135="",J135="",K135=""),"Date incomplete. ","")&amp;IF(COUNTIF('Linii comandă'!$B$5:$B$1004,B135)=0,"Nicio linie de comandă. ","")&amp;IF(AND(L135&lt;&gt;"Da",C135&lt;&gt;"",TODAY()-C135&gt;ZileConf),"Neconfirmată de "&amp;(TODAY()-C135)&amp;" zile. ","")&amp;IF(S135="Întârziată","Termenul de livrare a trecut: "&amp;RIGHT("0"&amp;DAY(J135),2)&amp;"."&amp;RIGHT("0"&amp;MONTH(J135),2)&amp;"."&amp;YEAR(J135)&amp;". ","")&amp;IF(S135="Livrată – de facturat","Emite factura. ",""))))</f>
        <v/>
      </c>
    </row>
    <row r="136" spans="2:20" x14ac:dyDescent="0.2">
      <c r="B136" s="10" t="str">
        <f>IF(D136="","",MAX($B$5:B135)+1)</f>
        <v/>
      </c>
      <c r="C136" s="11"/>
      <c r="D136" s="12"/>
      <c r="E136" s="12"/>
      <c r="F136" s="12"/>
      <c r="G136" s="12"/>
      <c r="H136" s="12"/>
      <c r="I136" s="10"/>
      <c r="J136" s="11"/>
      <c r="K136" s="13"/>
      <c r="L136" s="10"/>
      <c r="M136" s="11"/>
      <c r="N136" s="14" t="str">
        <f>IF(B136="","",SUMIF('Linii comandă'!$B$5:$B$1004,B136,'Linii comandă'!$K$5:$K$1004))</f>
        <v/>
      </c>
      <c r="O136" s="14" t="str">
        <f>IF(B136="","",SUMIF('Linii comandă'!$B$5:$B$1004,B136,'Linii comandă'!$L$5:$L$1004))</f>
        <v/>
      </c>
      <c r="P136" s="14" t="str">
        <f t="shared" si="4"/>
        <v/>
      </c>
      <c r="Q136" s="15" t="str">
        <f>IF(OR(B136="",COUNTIF('Linii comandă'!$B$5:$B$1004,B136)=0),"",IF(SUMIF('Linii comandă'!$B$5:$B$1004,B136,'Linii comandă'!$N$5:$N$1004)&lt;=0,"Completă",IF(SUMIF('Linii comandă'!$B$5:$B$1004,B136,'Linii comandă'!$M$5:$M$1004)&gt;0,"Parțială","Nelivrată")))</f>
        <v/>
      </c>
      <c r="R136" s="10"/>
      <c r="S136" s="15" t="str">
        <f t="shared" ca="1" si="5"/>
        <v/>
      </c>
      <c r="T136" s="16" t="str">
        <f ca="1">IF(AND(B136="",D136=""),"",IF(S136="Anulată","",TRIM(IF(COUNTIF($B$5:$B$304,B136)&gt;1,"Număr dublat. ","")&amp;IF(OR(C136="",D136="",H136="",J136="",K136=""),"Date incomplete. ","")&amp;IF(COUNTIF('Linii comandă'!$B$5:$B$1004,B136)=0,"Nicio linie de comandă. ","")&amp;IF(AND(L136&lt;&gt;"Da",C136&lt;&gt;"",TODAY()-C136&gt;ZileConf),"Neconfirmată de "&amp;(TODAY()-C136)&amp;" zile. ","")&amp;IF(S136="Întârziată","Termenul de livrare a trecut: "&amp;RIGHT("0"&amp;DAY(J136),2)&amp;"."&amp;RIGHT("0"&amp;MONTH(J136),2)&amp;"."&amp;YEAR(J136)&amp;". ","")&amp;IF(S136="Livrată – de facturat","Emite factura. ",""))))</f>
        <v/>
      </c>
    </row>
    <row r="137" spans="2:20" x14ac:dyDescent="0.2">
      <c r="B137" s="10" t="str">
        <f>IF(D137="","",MAX($B$5:B136)+1)</f>
        <v/>
      </c>
      <c r="C137" s="11"/>
      <c r="D137" s="12"/>
      <c r="E137" s="12"/>
      <c r="F137" s="12"/>
      <c r="G137" s="12"/>
      <c r="H137" s="12"/>
      <c r="I137" s="10"/>
      <c r="J137" s="11"/>
      <c r="K137" s="13"/>
      <c r="L137" s="10"/>
      <c r="M137" s="11"/>
      <c r="N137" s="14" t="str">
        <f>IF(B137="","",SUMIF('Linii comandă'!$B$5:$B$1004,B137,'Linii comandă'!$K$5:$K$1004))</f>
        <v/>
      </c>
      <c r="O137" s="14" t="str">
        <f>IF(B137="","",SUMIF('Linii comandă'!$B$5:$B$1004,B137,'Linii comandă'!$L$5:$L$1004))</f>
        <v/>
      </c>
      <c r="P137" s="14" t="str">
        <f t="shared" si="4"/>
        <v/>
      </c>
      <c r="Q137" s="15" t="str">
        <f>IF(OR(B137="",COUNTIF('Linii comandă'!$B$5:$B$1004,B137)=0),"",IF(SUMIF('Linii comandă'!$B$5:$B$1004,B137,'Linii comandă'!$N$5:$N$1004)&lt;=0,"Completă",IF(SUMIF('Linii comandă'!$B$5:$B$1004,B137,'Linii comandă'!$M$5:$M$1004)&gt;0,"Parțială","Nelivrată")))</f>
        <v/>
      </c>
      <c r="R137" s="10"/>
      <c r="S137" s="15" t="str">
        <f t="shared" ca="1" si="5"/>
        <v/>
      </c>
      <c r="T137" s="16" t="str">
        <f ca="1">IF(AND(B137="",D137=""),"",IF(S137="Anulată","",TRIM(IF(COUNTIF($B$5:$B$304,B137)&gt;1,"Număr dublat. ","")&amp;IF(OR(C137="",D137="",H137="",J137="",K137=""),"Date incomplete. ","")&amp;IF(COUNTIF('Linii comandă'!$B$5:$B$1004,B137)=0,"Nicio linie de comandă. ","")&amp;IF(AND(L137&lt;&gt;"Da",C137&lt;&gt;"",TODAY()-C137&gt;ZileConf),"Neconfirmată de "&amp;(TODAY()-C137)&amp;" zile. ","")&amp;IF(S137="Întârziată","Termenul de livrare a trecut: "&amp;RIGHT("0"&amp;DAY(J137),2)&amp;"."&amp;RIGHT("0"&amp;MONTH(J137),2)&amp;"."&amp;YEAR(J137)&amp;". ","")&amp;IF(S137="Livrată – de facturat","Emite factura. ",""))))</f>
        <v/>
      </c>
    </row>
    <row r="138" spans="2:20" x14ac:dyDescent="0.2">
      <c r="B138" s="10" t="str">
        <f>IF(D138="","",MAX($B$5:B137)+1)</f>
        <v/>
      </c>
      <c r="C138" s="11"/>
      <c r="D138" s="12"/>
      <c r="E138" s="12"/>
      <c r="F138" s="12"/>
      <c r="G138" s="12"/>
      <c r="H138" s="12"/>
      <c r="I138" s="10"/>
      <c r="J138" s="11"/>
      <c r="K138" s="13"/>
      <c r="L138" s="10"/>
      <c r="M138" s="11"/>
      <c r="N138" s="14" t="str">
        <f>IF(B138="","",SUMIF('Linii comandă'!$B$5:$B$1004,B138,'Linii comandă'!$K$5:$K$1004))</f>
        <v/>
      </c>
      <c r="O138" s="14" t="str">
        <f>IF(B138="","",SUMIF('Linii comandă'!$B$5:$B$1004,B138,'Linii comandă'!$L$5:$L$1004))</f>
        <v/>
      </c>
      <c r="P138" s="14" t="str">
        <f t="shared" si="4"/>
        <v/>
      </c>
      <c r="Q138" s="15" t="str">
        <f>IF(OR(B138="",COUNTIF('Linii comandă'!$B$5:$B$1004,B138)=0),"",IF(SUMIF('Linii comandă'!$B$5:$B$1004,B138,'Linii comandă'!$N$5:$N$1004)&lt;=0,"Completă",IF(SUMIF('Linii comandă'!$B$5:$B$1004,B138,'Linii comandă'!$M$5:$M$1004)&gt;0,"Parțială","Nelivrată")))</f>
        <v/>
      </c>
      <c r="R138" s="10"/>
      <c r="S138" s="15" t="str">
        <f t="shared" ca="1" si="5"/>
        <v/>
      </c>
      <c r="T138" s="16" t="str">
        <f ca="1">IF(AND(B138="",D138=""),"",IF(S138="Anulată","",TRIM(IF(COUNTIF($B$5:$B$304,B138)&gt;1,"Număr dublat. ","")&amp;IF(OR(C138="",D138="",H138="",J138="",K138=""),"Date incomplete. ","")&amp;IF(COUNTIF('Linii comandă'!$B$5:$B$1004,B138)=0,"Nicio linie de comandă. ","")&amp;IF(AND(L138&lt;&gt;"Da",C138&lt;&gt;"",TODAY()-C138&gt;ZileConf),"Neconfirmată de "&amp;(TODAY()-C138)&amp;" zile. ","")&amp;IF(S138="Întârziată","Termenul de livrare a trecut: "&amp;RIGHT("0"&amp;DAY(J138),2)&amp;"."&amp;RIGHT("0"&amp;MONTH(J138),2)&amp;"."&amp;YEAR(J138)&amp;". ","")&amp;IF(S138="Livrată – de facturat","Emite factura. ",""))))</f>
        <v/>
      </c>
    </row>
    <row r="139" spans="2:20" x14ac:dyDescent="0.2">
      <c r="B139" s="10" t="str">
        <f>IF(D139="","",MAX($B$5:B138)+1)</f>
        <v/>
      </c>
      <c r="C139" s="11"/>
      <c r="D139" s="12"/>
      <c r="E139" s="12"/>
      <c r="F139" s="12"/>
      <c r="G139" s="12"/>
      <c r="H139" s="12"/>
      <c r="I139" s="10"/>
      <c r="J139" s="11"/>
      <c r="K139" s="13"/>
      <c r="L139" s="10"/>
      <c r="M139" s="11"/>
      <c r="N139" s="14" t="str">
        <f>IF(B139="","",SUMIF('Linii comandă'!$B$5:$B$1004,B139,'Linii comandă'!$K$5:$K$1004))</f>
        <v/>
      </c>
      <c r="O139" s="14" t="str">
        <f>IF(B139="","",SUMIF('Linii comandă'!$B$5:$B$1004,B139,'Linii comandă'!$L$5:$L$1004))</f>
        <v/>
      </c>
      <c r="P139" s="14" t="str">
        <f t="shared" si="4"/>
        <v/>
      </c>
      <c r="Q139" s="15" t="str">
        <f>IF(OR(B139="",COUNTIF('Linii comandă'!$B$5:$B$1004,B139)=0),"",IF(SUMIF('Linii comandă'!$B$5:$B$1004,B139,'Linii comandă'!$N$5:$N$1004)&lt;=0,"Completă",IF(SUMIF('Linii comandă'!$B$5:$B$1004,B139,'Linii comandă'!$M$5:$M$1004)&gt;0,"Parțială","Nelivrată")))</f>
        <v/>
      </c>
      <c r="R139" s="10"/>
      <c r="S139" s="15" t="str">
        <f t="shared" ca="1" si="5"/>
        <v/>
      </c>
      <c r="T139" s="16" t="str">
        <f ca="1">IF(AND(B139="",D139=""),"",IF(S139="Anulată","",TRIM(IF(COUNTIF($B$5:$B$304,B139)&gt;1,"Număr dublat. ","")&amp;IF(OR(C139="",D139="",H139="",J139="",K139=""),"Date incomplete. ","")&amp;IF(COUNTIF('Linii comandă'!$B$5:$B$1004,B139)=0,"Nicio linie de comandă. ","")&amp;IF(AND(L139&lt;&gt;"Da",C139&lt;&gt;"",TODAY()-C139&gt;ZileConf),"Neconfirmată de "&amp;(TODAY()-C139)&amp;" zile. ","")&amp;IF(S139="Întârziată","Termenul de livrare a trecut: "&amp;RIGHT("0"&amp;DAY(J139),2)&amp;"."&amp;RIGHT("0"&amp;MONTH(J139),2)&amp;"."&amp;YEAR(J139)&amp;". ","")&amp;IF(S139="Livrată – de facturat","Emite factura. ",""))))</f>
        <v/>
      </c>
    </row>
    <row r="140" spans="2:20" x14ac:dyDescent="0.2">
      <c r="B140" s="10" t="str">
        <f>IF(D140="","",MAX($B$5:B139)+1)</f>
        <v/>
      </c>
      <c r="C140" s="11"/>
      <c r="D140" s="12"/>
      <c r="E140" s="12"/>
      <c r="F140" s="12"/>
      <c r="G140" s="12"/>
      <c r="H140" s="12"/>
      <c r="I140" s="10"/>
      <c r="J140" s="11"/>
      <c r="K140" s="13"/>
      <c r="L140" s="10"/>
      <c r="M140" s="11"/>
      <c r="N140" s="14" t="str">
        <f>IF(B140="","",SUMIF('Linii comandă'!$B$5:$B$1004,B140,'Linii comandă'!$K$5:$K$1004))</f>
        <v/>
      </c>
      <c r="O140" s="14" t="str">
        <f>IF(B140="","",SUMIF('Linii comandă'!$B$5:$B$1004,B140,'Linii comandă'!$L$5:$L$1004))</f>
        <v/>
      </c>
      <c r="P140" s="14" t="str">
        <f t="shared" si="4"/>
        <v/>
      </c>
      <c r="Q140" s="15" t="str">
        <f>IF(OR(B140="",COUNTIF('Linii comandă'!$B$5:$B$1004,B140)=0),"",IF(SUMIF('Linii comandă'!$B$5:$B$1004,B140,'Linii comandă'!$N$5:$N$1004)&lt;=0,"Completă",IF(SUMIF('Linii comandă'!$B$5:$B$1004,B140,'Linii comandă'!$M$5:$M$1004)&gt;0,"Parțială","Nelivrată")))</f>
        <v/>
      </c>
      <c r="R140" s="10"/>
      <c r="S140" s="15" t="str">
        <f t="shared" ca="1" si="5"/>
        <v/>
      </c>
      <c r="T140" s="16" t="str">
        <f ca="1">IF(AND(B140="",D140=""),"",IF(S140="Anulată","",TRIM(IF(COUNTIF($B$5:$B$304,B140)&gt;1,"Număr dublat. ","")&amp;IF(OR(C140="",D140="",H140="",J140="",K140=""),"Date incomplete. ","")&amp;IF(COUNTIF('Linii comandă'!$B$5:$B$1004,B140)=0,"Nicio linie de comandă. ","")&amp;IF(AND(L140&lt;&gt;"Da",C140&lt;&gt;"",TODAY()-C140&gt;ZileConf),"Neconfirmată de "&amp;(TODAY()-C140)&amp;" zile. ","")&amp;IF(S140="Întârziată","Termenul de livrare a trecut: "&amp;RIGHT("0"&amp;DAY(J140),2)&amp;"."&amp;RIGHT("0"&amp;MONTH(J140),2)&amp;"."&amp;YEAR(J140)&amp;". ","")&amp;IF(S140="Livrată – de facturat","Emite factura. ",""))))</f>
        <v/>
      </c>
    </row>
    <row r="141" spans="2:20" x14ac:dyDescent="0.2">
      <c r="B141" s="10" t="str">
        <f>IF(D141="","",MAX($B$5:B140)+1)</f>
        <v/>
      </c>
      <c r="C141" s="11"/>
      <c r="D141" s="12"/>
      <c r="E141" s="12"/>
      <c r="F141" s="12"/>
      <c r="G141" s="12"/>
      <c r="H141" s="12"/>
      <c r="I141" s="10"/>
      <c r="J141" s="11"/>
      <c r="K141" s="13"/>
      <c r="L141" s="10"/>
      <c r="M141" s="11"/>
      <c r="N141" s="14" t="str">
        <f>IF(B141="","",SUMIF('Linii comandă'!$B$5:$B$1004,B141,'Linii comandă'!$K$5:$K$1004))</f>
        <v/>
      </c>
      <c r="O141" s="14" t="str">
        <f>IF(B141="","",SUMIF('Linii comandă'!$B$5:$B$1004,B141,'Linii comandă'!$L$5:$L$1004))</f>
        <v/>
      </c>
      <c r="P141" s="14" t="str">
        <f t="shared" si="4"/>
        <v/>
      </c>
      <c r="Q141" s="15" t="str">
        <f>IF(OR(B141="",COUNTIF('Linii comandă'!$B$5:$B$1004,B141)=0),"",IF(SUMIF('Linii comandă'!$B$5:$B$1004,B141,'Linii comandă'!$N$5:$N$1004)&lt;=0,"Completă",IF(SUMIF('Linii comandă'!$B$5:$B$1004,B141,'Linii comandă'!$M$5:$M$1004)&gt;0,"Parțială","Nelivrată")))</f>
        <v/>
      </c>
      <c r="R141" s="10"/>
      <c r="S141" s="15" t="str">
        <f t="shared" ca="1" si="5"/>
        <v/>
      </c>
      <c r="T141" s="16" t="str">
        <f ca="1">IF(AND(B141="",D141=""),"",IF(S141="Anulată","",TRIM(IF(COUNTIF($B$5:$B$304,B141)&gt;1,"Număr dublat. ","")&amp;IF(OR(C141="",D141="",H141="",J141="",K141=""),"Date incomplete. ","")&amp;IF(COUNTIF('Linii comandă'!$B$5:$B$1004,B141)=0,"Nicio linie de comandă. ","")&amp;IF(AND(L141&lt;&gt;"Da",C141&lt;&gt;"",TODAY()-C141&gt;ZileConf),"Neconfirmată de "&amp;(TODAY()-C141)&amp;" zile. ","")&amp;IF(S141="Întârziată","Termenul de livrare a trecut: "&amp;RIGHT("0"&amp;DAY(J141),2)&amp;"."&amp;RIGHT("0"&amp;MONTH(J141),2)&amp;"."&amp;YEAR(J141)&amp;". ","")&amp;IF(S141="Livrată – de facturat","Emite factura. ",""))))</f>
        <v/>
      </c>
    </row>
    <row r="142" spans="2:20" x14ac:dyDescent="0.2">
      <c r="B142" s="10" t="str">
        <f>IF(D142="","",MAX($B$5:B141)+1)</f>
        <v/>
      </c>
      <c r="C142" s="11"/>
      <c r="D142" s="12"/>
      <c r="E142" s="12"/>
      <c r="F142" s="12"/>
      <c r="G142" s="12"/>
      <c r="H142" s="12"/>
      <c r="I142" s="10"/>
      <c r="J142" s="11"/>
      <c r="K142" s="13"/>
      <c r="L142" s="10"/>
      <c r="M142" s="11"/>
      <c r="N142" s="14" t="str">
        <f>IF(B142="","",SUMIF('Linii comandă'!$B$5:$B$1004,B142,'Linii comandă'!$K$5:$K$1004))</f>
        <v/>
      </c>
      <c r="O142" s="14" t="str">
        <f>IF(B142="","",SUMIF('Linii comandă'!$B$5:$B$1004,B142,'Linii comandă'!$L$5:$L$1004))</f>
        <v/>
      </c>
      <c r="P142" s="14" t="str">
        <f t="shared" si="4"/>
        <v/>
      </c>
      <c r="Q142" s="15" t="str">
        <f>IF(OR(B142="",COUNTIF('Linii comandă'!$B$5:$B$1004,B142)=0),"",IF(SUMIF('Linii comandă'!$B$5:$B$1004,B142,'Linii comandă'!$N$5:$N$1004)&lt;=0,"Completă",IF(SUMIF('Linii comandă'!$B$5:$B$1004,B142,'Linii comandă'!$M$5:$M$1004)&gt;0,"Parțială","Nelivrată")))</f>
        <v/>
      </c>
      <c r="R142" s="10"/>
      <c r="S142" s="15" t="str">
        <f t="shared" ca="1" si="5"/>
        <v/>
      </c>
      <c r="T142" s="16" t="str">
        <f ca="1">IF(AND(B142="",D142=""),"",IF(S142="Anulată","",TRIM(IF(COUNTIF($B$5:$B$304,B142)&gt;1,"Număr dublat. ","")&amp;IF(OR(C142="",D142="",H142="",J142="",K142=""),"Date incomplete. ","")&amp;IF(COUNTIF('Linii comandă'!$B$5:$B$1004,B142)=0,"Nicio linie de comandă. ","")&amp;IF(AND(L142&lt;&gt;"Da",C142&lt;&gt;"",TODAY()-C142&gt;ZileConf),"Neconfirmată de "&amp;(TODAY()-C142)&amp;" zile. ","")&amp;IF(S142="Întârziată","Termenul de livrare a trecut: "&amp;RIGHT("0"&amp;DAY(J142),2)&amp;"."&amp;RIGHT("0"&amp;MONTH(J142),2)&amp;"."&amp;YEAR(J142)&amp;". ","")&amp;IF(S142="Livrată – de facturat","Emite factura. ",""))))</f>
        <v/>
      </c>
    </row>
    <row r="143" spans="2:20" x14ac:dyDescent="0.2">
      <c r="B143" s="10" t="str">
        <f>IF(D143="","",MAX($B$5:B142)+1)</f>
        <v/>
      </c>
      <c r="C143" s="11"/>
      <c r="D143" s="12"/>
      <c r="E143" s="12"/>
      <c r="F143" s="12"/>
      <c r="G143" s="12"/>
      <c r="H143" s="12"/>
      <c r="I143" s="10"/>
      <c r="J143" s="11"/>
      <c r="K143" s="13"/>
      <c r="L143" s="10"/>
      <c r="M143" s="11"/>
      <c r="N143" s="14" t="str">
        <f>IF(B143="","",SUMIF('Linii comandă'!$B$5:$B$1004,B143,'Linii comandă'!$K$5:$K$1004))</f>
        <v/>
      </c>
      <c r="O143" s="14" t="str">
        <f>IF(B143="","",SUMIF('Linii comandă'!$B$5:$B$1004,B143,'Linii comandă'!$L$5:$L$1004))</f>
        <v/>
      </c>
      <c r="P143" s="14" t="str">
        <f t="shared" si="4"/>
        <v/>
      </c>
      <c r="Q143" s="15" t="str">
        <f>IF(OR(B143="",COUNTIF('Linii comandă'!$B$5:$B$1004,B143)=0),"",IF(SUMIF('Linii comandă'!$B$5:$B$1004,B143,'Linii comandă'!$N$5:$N$1004)&lt;=0,"Completă",IF(SUMIF('Linii comandă'!$B$5:$B$1004,B143,'Linii comandă'!$M$5:$M$1004)&gt;0,"Parțială","Nelivrată")))</f>
        <v/>
      </c>
      <c r="R143" s="10"/>
      <c r="S143" s="15" t="str">
        <f t="shared" ca="1" si="5"/>
        <v/>
      </c>
      <c r="T143" s="16" t="str">
        <f ca="1">IF(AND(B143="",D143=""),"",IF(S143="Anulată","",TRIM(IF(COUNTIF($B$5:$B$304,B143)&gt;1,"Număr dublat. ","")&amp;IF(OR(C143="",D143="",H143="",J143="",K143=""),"Date incomplete. ","")&amp;IF(COUNTIF('Linii comandă'!$B$5:$B$1004,B143)=0,"Nicio linie de comandă. ","")&amp;IF(AND(L143&lt;&gt;"Da",C143&lt;&gt;"",TODAY()-C143&gt;ZileConf),"Neconfirmată de "&amp;(TODAY()-C143)&amp;" zile. ","")&amp;IF(S143="Întârziată","Termenul de livrare a trecut: "&amp;RIGHT("0"&amp;DAY(J143),2)&amp;"."&amp;RIGHT("0"&amp;MONTH(J143),2)&amp;"."&amp;YEAR(J143)&amp;". ","")&amp;IF(S143="Livrată – de facturat","Emite factura. ",""))))</f>
        <v/>
      </c>
    </row>
    <row r="144" spans="2:20" x14ac:dyDescent="0.2">
      <c r="B144" s="10" t="str">
        <f>IF(D144="","",MAX($B$5:B143)+1)</f>
        <v/>
      </c>
      <c r="C144" s="11"/>
      <c r="D144" s="12"/>
      <c r="E144" s="12"/>
      <c r="F144" s="12"/>
      <c r="G144" s="12"/>
      <c r="H144" s="12"/>
      <c r="I144" s="10"/>
      <c r="J144" s="11"/>
      <c r="K144" s="13"/>
      <c r="L144" s="10"/>
      <c r="M144" s="11"/>
      <c r="N144" s="14" t="str">
        <f>IF(B144="","",SUMIF('Linii comandă'!$B$5:$B$1004,B144,'Linii comandă'!$K$5:$K$1004))</f>
        <v/>
      </c>
      <c r="O144" s="14" t="str">
        <f>IF(B144="","",SUMIF('Linii comandă'!$B$5:$B$1004,B144,'Linii comandă'!$L$5:$L$1004))</f>
        <v/>
      </c>
      <c r="P144" s="14" t="str">
        <f t="shared" si="4"/>
        <v/>
      </c>
      <c r="Q144" s="15" t="str">
        <f>IF(OR(B144="",COUNTIF('Linii comandă'!$B$5:$B$1004,B144)=0),"",IF(SUMIF('Linii comandă'!$B$5:$B$1004,B144,'Linii comandă'!$N$5:$N$1004)&lt;=0,"Completă",IF(SUMIF('Linii comandă'!$B$5:$B$1004,B144,'Linii comandă'!$M$5:$M$1004)&gt;0,"Parțială","Nelivrată")))</f>
        <v/>
      </c>
      <c r="R144" s="10"/>
      <c r="S144" s="15" t="str">
        <f t="shared" ca="1" si="5"/>
        <v/>
      </c>
      <c r="T144" s="16" t="str">
        <f ca="1">IF(AND(B144="",D144=""),"",IF(S144="Anulată","",TRIM(IF(COUNTIF($B$5:$B$304,B144)&gt;1,"Număr dublat. ","")&amp;IF(OR(C144="",D144="",H144="",J144="",K144=""),"Date incomplete. ","")&amp;IF(COUNTIF('Linii comandă'!$B$5:$B$1004,B144)=0,"Nicio linie de comandă. ","")&amp;IF(AND(L144&lt;&gt;"Da",C144&lt;&gt;"",TODAY()-C144&gt;ZileConf),"Neconfirmată de "&amp;(TODAY()-C144)&amp;" zile. ","")&amp;IF(S144="Întârziată","Termenul de livrare a trecut: "&amp;RIGHT("0"&amp;DAY(J144),2)&amp;"."&amp;RIGHT("0"&amp;MONTH(J144),2)&amp;"."&amp;YEAR(J144)&amp;". ","")&amp;IF(S144="Livrată – de facturat","Emite factura. ",""))))</f>
        <v/>
      </c>
    </row>
    <row r="145" spans="2:20" x14ac:dyDescent="0.2">
      <c r="B145" s="10" t="str">
        <f>IF(D145="","",MAX($B$5:B144)+1)</f>
        <v/>
      </c>
      <c r="C145" s="11"/>
      <c r="D145" s="12"/>
      <c r="E145" s="12"/>
      <c r="F145" s="12"/>
      <c r="G145" s="12"/>
      <c r="H145" s="12"/>
      <c r="I145" s="10"/>
      <c r="J145" s="11"/>
      <c r="K145" s="13"/>
      <c r="L145" s="10"/>
      <c r="M145" s="11"/>
      <c r="N145" s="14" t="str">
        <f>IF(B145="","",SUMIF('Linii comandă'!$B$5:$B$1004,B145,'Linii comandă'!$K$5:$K$1004))</f>
        <v/>
      </c>
      <c r="O145" s="14" t="str">
        <f>IF(B145="","",SUMIF('Linii comandă'!$B$5:$B$1004,B145,'Linii comandă'!$L$5:$L$1004))</f>
        <v/>
      </c>
      <c r="P145" s="14" t="str">
        <f t="shared" si="4"/>
        <v/>
      </c>
      <c r="Q145" s="15" t="str">
        <f>IF(OR(B145="",COUNTIF('Linii comandă'!$B$5:$B$1004,B145)=0),"",IF(SUMIF('Linii comandă'!$B$5:$B$1004,B145,'Linii comandă'!$N$5:$N$1004)&lt;=0,"Completă",IF(SUMIF('Linii comandă'!$B$5:$B$1004,B145,'Linii comandă'!$M$5:$M$1004)&gt;0,"Parțială","Nelivrată")))</f>
        <v/>
      </c>
      <c r="R145" s="10"/>
      <c r="S145" s="15" t="str">
        <f t="shared" ca="1" si="5"/>
        <v/>
      </c>
      <c r="T145" s="16" t="str">
        <f ca="1">IF(AND(B145="",D145=""),"",IF(S145="Anulată","",TRIM(IF(COUNTIF($B$5:$B$304,B145)&gt;1,"Număr dublat. ","")&amp;IF(OR(C145="",D145="",H145="",J145="",K145=""),"Date incomplete. ","")&amp;IF(COUNTIF('Linii comandă'!$B$5:$B$1004,B145)=0,"Nicio linie de comandă. ","")&amp;IF(AND(L145&lt;&gt;"Da",C145&lt;&gt;"",TODAY()-C145&gt;ZileConf),"Neconfirmată de "&amp;(TODAY()-C145)&amp;" zile. ","")&amp;IF(S145="Întârziată","Termenul de livrare a trecut: "&amp;RIGHT("0"&amp;DAY(J145),2)&amp;"."&amp;RIGHT("0"&amp;MONTH(J145),2)&amp;"."&amp;YEAR(J145)&amp;". ","")&amp;IF(S145="Livrată – de facturat","Emite factura. ",""))))</f>
        <v/>
      </c>
    </row>
    <row r="146" spans="2:20" x14ac:dyDescent="0.2">
      <c r="B146" s="10" t="str">
        <f>IF(D146="","",MAX($B$5:B145)+1)</f>
        <v/>
      </c>
      <c r="C146" s="11"/>
      <c r="D146" s="12"/>
      <c r="E146" s="12"/>
      <c r="F146" s="12"/>
      <c r="G146" s="12"/>
      <c r="H146" s="12"/>
      <c r="I146" s="10"/>
      <c r="J146" s="11"/>
      <c r="K146" s="13"/>
      <c r="L146" s="10"/>
      <c r="M146" s="11"/>
      <c r="N146" s="14" t="str">
        <f>IF(B146="","",SUMIF('Linii comandă'!$B$5:$B$1004,B146,'Linii comandă'!$K$5:$K$1004))</f>
        <v/>
      </c>
      <c r="O146" s="14" t="str">
        <f>IF(B146="","",SUMIF('Linii comandă'!$B$5:$B$1004,B146,'Linii comandă'!$L$5:$L$1004))</f>
        <v/>
      </c>
      <c r="P146" s="14" t="str">
        <f t="shared" si="4"/>
        <v/>
      </c>
      <c r="Q146" s="15" t="str">
        <f>IF(OR(B146="",COUNTIF('Linii comandă'!$B$5:$B$1004,B146)=0),"",IF(SUMIF('Linii comandă'!$B$5:$B$1004,B146,'Linii comandă'!$N$5:$N$1004)&lt;=0,"Completă",IF(SUMIF('Linii comandă'!$B$5:$B$1004,B146,'Linii comandă'!$M$5:$M$1004)&gt;0,"Parțială","Nelivrată")))</f>
        <v/>
      </c>
      <c r="R146" s="10"/>
      <c r="S146" s="15" t="str">
        <f t="shared" ca="1" si="5"/>
        <v/>
      </c>
      <c r="T146" s="16" t="str">
        <f ca="1">IF(AND(B146="",D146=""),"",IF(S146="Anulată","",TRIM(IF(COUNTIF($B$5:$B$304,B146)&gt;1,"Număr dublat. ","")&amp;IF(OR(C146="",D146="",H146="",J146="",K146=""),"Date incomplete. ","")&amp;IF(COUNTIF('Linii comandă'!$B$5:$B$1004,B146)=0,"Nicio linie de comandă. ","")&amp;IF(AND(L146&lt;&gt;"Da",C146&lt;&gt;"",TODAY()-C146&gt;ZileConf),"Neconfirmată de "&amp;(TODAY()-C146)&amp;" zile. ","")&amp;IF(S146="Întârziată","Termenul de livrare a trecut: "&amp;RIGHT("0"&amp;DAY(J146),2)&amp;"."&amp;RIGHT("0"&amp;MONTH(J146),2)&amp;"."&amp;YEAR(J146)&amp;". ","")&amp;IF(S146="Livrată – de facturat","Emite factura. ",""))))</f>
        <v/>
      </c>
    </row>
    <row r="147" spans="2:20" x14ac:dyDescent="0.2">
      <c r="B147" s="10" t="str">
        <f>IF(D147="","",MAX($B$5:B146)+1)</f>
        <v/>
      </c>
      <c r="C147" s="11"/>
      <c r="D147" s="12"/>
      <c r="E147" s="12"/>
      <c r="F147" s="12"/>
      <c r="G147" s="12"/>
      <c r="H147" s="12"/>
      <c r="I147" s="10"/>
      <c r="J147" s="11"/>
      <c r="K147" s="13"/>
      <c r="L147" s="10"/>
      <c r="M147" s="11"/>
      <c r="N147" s="14" t="str">
        <f>IF(B147="","",SUMIF('Linii comandă'!$B$5:$B$1004,B147,'Linii comandă'!$K$5:$K$1004))</f>
        <v/>
      </c>
      <c r="O147" s="14" t="str">
        <f>IF(B147="","",SUMIF('Linii comandă'!$B$5:$B$1004,B147,'Linii comandă'!$L$5:$L$1004))</f>
        <v/>
      </c>
      <c r="P147" s="14" t="str">
        <f t="shared" si="4"/>
        <v/>
      </c>
      <c r="Q147" s="15" t="str">
        <f>IF(OR(B147="",COUNTIF('Linii comandă'!$B$5:$B$1004,B147)=0),"",IF(SUMIF('Linii comandă'!$B$5:$B$1004,B147,'Linii comandă'!$N$5:$N$1004)&lt;=0,"Completă",IF(SUMIF('Linii comandă'!$B$5:$B$1004,B147,'Linii comandă'!$M$5:$M$1004)&gt;0,"Parțială","Nelivrată")))</f>
        <v/>
      </c>
      <c r="R147" s="10"/>
      <c r="S147" s="15" t="str">
        <f t="shared" ca="1" si="5"/>
        <v/>
      </c>
      <c r="T147" s="16" t="str">
        <f ca="1">IF(AND(B147="",D147=""),"",IF(S147="Anulată","",TRIM(IF(COUNTIF($B$5:$B$304,B147)&gt;1,"Număr dublat. ","")&amp;IF(OR(C147="",D147="",H147="",J147="",K147=""),"Date incomplete. ","")&amp;IF(COUNTIF('Linii comandă'!$B$5:$B$1004,B147)=0,"Nicio linie de comandă. ","")&amp;IF(AND(L147&lt;&gt;"Da",C147&lt;&gt;"",TODAY()-C147&gt;ZileConf),"Neconfirmată de "&amp;(TODAY()-C147)&amp;" zile. ","")&amp;IF(S147="Întârziată","Termenul de livrare a trecut: "&amp;RIGHT("0"&amp;DAY(J147),2)&amp;"."&amp;RIGHT("0"&amp;MONTH(J147),2)&amp;"."&amp;YEAR(J147)&amp;". ","")&amp;IF(S147="Livrată – de facturat","Emite factura. ",""))))</f>
        <v/>
      </c>
    </row>
    <row r="148" spans="2:20" x14ac:dyDescent="0.2">
      <c r="B148" s="10" t="str">
        <f>IF(D148="","",MAX($B$5:B147)+1)</f>
        <v/>
      </c>
      <c r="C148" s="11"/>
      <c r="D148" s="12"/>
      <c r="E148" s="12"/>
      <c r="F148" s="12"/>
      <c r="G148" s="12"/>
      <c r="H148" s="12"/>
      <c r="I148" s="10"/>
      <c r="J148" s="11"/>
      <c r="K148" s="13"/>
      <c r="L148" s="10"/>
      <c r="M148" s="11"/>
      <c r="N148" s="14" t="str">
        <f>IF(B148="","",SUMIF('Linii comandă'!$B$5:$B$1004,B148,'Linii comandă'!$K$5:$K$1004))</f>
        <v/>
      </c>
      <c r="O148" s="14" t="str">
        <f>IF(B148="","",SUMIF('Linii comandă'!$B$5:$B$1004,B148,'Linii comandă'!$L$5:$L$1004))</f>
        <v/>
      </c>
      <c r="P148" s="14" t="str">
        <f t="shared" si="4"/>
        <v/>
      </c>
      <c r="Q148" s="15" t="str">
        <f>IF(OR(B148="",COUNTIF('Linii comandă'!$B$5:$B$1004,B148)=0),"",IF(SUMIF('Linii comandă'!$B$5:$B$1004,B148,'Linii comandă'!$N$5:$N$1004)&lt;=0,"Completă",IF(SUMIF('Linii comandă'!$B$5:$B$1004,B148,'Linii comandă'!$M$5:$M$1004)&gt;0,"Parțială","Nelivrată")))</f>
        <v/>
      </c>
      <c r="R148" s="10"/>
      <c r="S148" s="15" t="str">
        <f t="shared" ca="1" si="5"/>
        <v/>
      </c>
      <c r="T148" s="16" t="str">
        <f ca="1">IF(AND(B148="",D148=""),"",IF(S148="Anulată","",TRIM(IF(COUNTIF($B$5:$B$304,B148)&gt;1,"Număr dublat. ","")&amp;IF(OR(C148="",D148="",H148="",J148="",K148=""),"Date incomplete. ","")&amp;IF(COUNTIF('Linii comandă'!$B$5:$B$1004,B148)=0,"Nicio linie de comandă. ","")&amp;IF(AND(L148&lt;&gt;"Da",C148&lt;&gt;"",TODAY()-C148&gt;ZileConf),"Neconfirmată de "&amp;(TODAY()-C148)&amp;" zile. ","")&amp;IF(S148="Întârziată","Termenul de livrare a trecut: "&amp;RIGHT("0"&amp;DAY(J148),2)&amp;"."&amp;RIGHT("0"&amp;MONTH(J148),2)&amp;"."&amp;YEAR(J148)&amp;". ","")&amp;IF(S148="Livrată – de facturat","Emite factura. ",""))))</f>
        <v/>
      </c>
    </row>
    <row r="149" spans="2:20" x14ac:dyDescent="0.2">
      <c r="B149" s="10" t="str">
        <f>IF(D149="","",MAX($B$5:B148)+1)</f>
        <v/>
      </c>
      <c r="C149" s="11"/>
      <c r="D149" s="12"/>
      <c r="E149" s="12"/>
      <c r="F149" s="12"/>
      <c r="G149" s="12"/>
      <c r="H149" s="12"/>
      <c r="I149" s="10"/>
      <c r="J149" s="11"/>
      <c r="K149" s="13"/>
      <c r="L149" s="10"/>
      <c r="M149" s="11"/>
      <c r="N149" s="14" t="str">
        <f>IF(B149="","",SUMIF('Linii comandă'!$B$5:$B$1004,B149,'Linii comandă'!$K$5:$K$1004))</f>
        <v/>
      </c>
      <c r="O149" s="14" t="str">
        <f>IF(B149="","",SUMIF('Linii comandă'!$B$5:$B$1004,B149,'Linii comandă'!$L$5:$L$1004))</f>
        <v/>
      </c>
      <c r="P149" s="14" t="str">
        <f t="shared" si="4"/>
        <v/>
      </c>
      <c r="Q149" s="15" t="str">
        <f>IF(OR(B149="",COUNTIF('Linii comandă'!$B$5:$B$1004,B149)=0),"",IF(SUMIF('Linii comandă'!$B$5:$B$1004,B149,'Linii comandă'!$N$5:$N$1004)&lt;=0,"Completă",IF(SUMIF('Linii comandă'!$B$5:$B$1004,B149,'Linii comandă'!$M$5:$M$1004)&gt;0,"Parțială","Nelivrată")))</f>
        <v/>
      </c>
      <c r="R149" s="10"/>
      <c r="S149" s="15" t="str">
        <f t="shared" ca="1" si="5"/>
        <v/>
      </c>
      <c r="T149" s="16" t="str">
        <f ca="1">IF(AND(B149="",D149=""),"",IF(S149="Anulată","",TRIM(IF(COUNTIF($B$5:$B$304,B149)&gt;1,"Număr dublat. ","")&amp;IF(OR(C149="",D149="",H149="",J149="",K149=""),"Date incomplete. ","")&amp;IF(COUNTIF('Linii comandă'!$B$5:$B$1004,B149)=0,"Nicio linie de comandă. ","")&amp;IF(AND(L149&lt;&gt;"Da",C149&lt;&gt;"",TODAY()-C149&gt;ZileConf),"Neconfirmată de "&amp;(TODAY()-C149)&amp;" zile. ","")&amp;IF(S149="Întârziată","Termenul de livrare a trecut: "&amp;RIGHT("0"&amp;DAY(J149),2)&amp;"."&amp;RIGHT("0"&amp;MONTH(J149),2)&amp;"."&amp;YEAR(J149)&amp;". ","")&amp;IF(S149="Livrată – de facturat","Emite factura. ",""))))</f>
        <v/>
      </c>
    </row>
    <row r="150" spans="2:20" x14ac:dyDescent="0.2">
      <c r="B150" s="10" t="str">
        <f>IF(D150="","",MAX($B$5:B149)+1)</f>
        <v/>
      </c>
      <c r="C150" s="11"/>
      <c r="D150" s="12"/>
      <c r="E150" s="12"/>
      <c r="F150" s="12"/>
      <c r="G150" s="12"/>
      <c r="H150" s="12"/>
      <c r="I150" s="10"/>
      <c r="J150" s="11"/>
      <c r="K150" s="13"/>
      <c r="L150" s="10"/>
      <c r="M150" s="11"/>
      <c r="N150" s="14" t="str">
        <f>IF(B150="","",SUMIF('Linii comandă'!$B$5:$B$1004,B150,'Linii comandă'!$K$5:$K$1004))</f>
        <v/>
      </c>
      <c r="O150" s="14" t="str">
        <f>IF(B150="","",SUMIF('Linii comandă'!$B$5:$B$1004,B150,'Linii comandă'!$L$5:$L$1004))</f>
        <v/>
      </c>
      <c r="P150" s="14" t="str">
        <f t="shared" si="4"/>
        <v/>
      </c>
      <c r="Q150" s="15" t="str">
        <f>IF(OR(B150="",COUNTIF('Linii comandă'!$B$5:$B$1004,B150)=0),"",IF(SUMIF('Linii comandă'!$B$5:$B$1004,B150,'Linii comandă'!$N$5:$N$1004)&lt;=0,"Completă",IF(SUMIF('Linii comandă'!$B$5:$B$1004,B150,'Linii comandă'!$M$5:$M$1004)&gt;0,"Parțială","Nelivrată")))</f>
        <v/>
      </c>
      <c r="R150" s="10"/>
      <c r="S150" s="15" t="str">
        <f t="shared" ca="1" si="5"/>
        <v/>
      </c>
      <c r="T150" s="16" t="str">
        <f ca="1">IF(AND(B150="",D150=""),"",IF(S150="Anulată","",TRIM(IF(COUNTIF($B$5:$B$304,B150)&gt;1,"Număr dublat. ","")&amp;IF(OR(C150="",D150="",H150="",J150="",K150=""),"Date incomplete. ","")&amp;IF(COUNTIF('Linii comandă'!$B$5:$B$1004,B150)=0,"Nicio linie de comandă. ","")&amp;IF(AND(L150&lt;&gt;"Da",C150&lt;&gt;"",TODAY()-C150&gt;ZileConf),"Neconfirmată de "&amp;(TODAY()-C150)&amp;" zile. ","")&amp;IF(S150="Întârziată","Termenul de livrare a trecut: "&amp;RIGHT("0"&amp;DAY(J150),2)&amp;"."&amp;RIGHT("0"&amp;MONTH(J150),2)&amp;"."&amp;YEAR(J150)&amp;". ","")&amp;IF(S150="Livrată – de facturat","Emite factura. ",""))))</f>
        <v/>
      </c>
    </row>
    <row r="151" spans="2:20" x14ac:dyDescent="0.2">
      <c r="B151" s="10" t="str">
        <f>IF(D151="","",MAX($B$5:B150)+1)</f>
        <v/>
      </c>
      <c r="C151" s="11"/>
      <c r="D151" s="12"/>
      <c r="E151" s="12"/>
      <c r="F151" s="12"/>
      <c r="G151" s="12"/>
      <c r="H151" s="12"/>
      <c r="I151" s="10"/>
      <c r="J151" s="11"/>
      <c r="K151" s="13"/>
      <c r="L151" s="10"/>
      <c r="M151" s="11"/>
      <c r="N151" s="14" t="str">
        <f>IF(B151="","",SUMIF('Linii comandă'!$B$5:$B$1004,B151,'Linii comandă'!$K$5:$K$1004))</f>
        <v/>
      </c>
      <c r="O151" s="14" t="str">
        <f>IF(B151="","",SUMIF('Linii comandă'!$B$5:$B$1004,B151,'Linii comandă'!$L$5:$L$1004))</f>
        <v/>
      </c>
      <c r="P151" s="14" t="str">
        <f t="shared" si="4"/>
        <v/>
      </c>
      <c r="Q151" s="15" t="str">
        <f>IF(OR(B151="",COUNTIF('Linii comandă'!$B$5:$B$1004,B151)=0),"",IF(SUMIF('Linii comandă'!$B$5:$B$1004,B151,'Linii comandă'!$N$5:$N$1004)&lt;=0,"Completă",IF(SUMIF('Linii comandă'!$B$5:$B$1004,B151,'Linii comandă'!$M$5:$M$1004)&gt;0,"Parțială","Nelivrată")))</f>
        <v/>
      </c>
      <c r="R151" s="10"/>
      <c r="S151" s="15" t="str">
        <f t="shared" ca="1" si="5"/>
        <v/>
      </c>
      <c r="T151" s="16" t="str">
        <f ca="1">IF(AND(B151="",D151=""),"",IF(S151="Anulată","",TRIM(IF(COUNTIF($B$5:$B$304,B151)&gt;1,"Număr dublat. ","")&amp;IF(OR(C151="",D151="",H151="",J151="",K151=""),"Date incomplete. ","")&amp;IF(COUNTIF('Linii comandă'!$B$5:$B$1004,B151)=0,"Nicio linie de comandă. ","")&amp;IF(AND(L151&lt;&gt;"Da",C151&lt;&gt;"",TODAY()-C151&gt;ZileConf),"Neconfirmată de "&amp;(TODAY()-C151)&amp;" zile. ","")&amp;IF(S151="Întârziată","Termenul de livrare a trecut: "&amp;RIGHT("0"&amp;DAY(J151),2)&amp;"."&amp;RIGHT("0"&amp;MONTH(J151),2)&amp;"."&amp;YEAR(J151)&amp;". ","")&amp;IF(S151="Livrată – de facturat","Emite factura. ",""))))</f>
        <v/>
      </c>
    </row>
    <row r="152" spans="2:20" x14ac:dyDescent="0.2">
      <c r="B152" s="10" t="str">
        <f>IF(D152="","",MAX($B$5:B151)+1)</f>
        <v/>
      </c>
      <c r="C152" s="11"/>
      <c r="D152" s="12"/>
      <c r="E152" s="12"/>
      <c r="F152" s="12"/>
      <c r="G152" s="12"/>
      <c r="H152" s="12"/>
      <c r="I152" s="10"/>
      <c r="J152" s="11"/>
      <c r="K152" s="13"/>
      <c r="L152" s="10"/>
      <c r="M152" s="11"/>
      <c r="N152" s="14" t="str">
        <f>IF(B152="","",SUMIF('Linii comandă'!$B$5:$B$1004,B152,'Linii comandă'!$K$5:$K$1004))</f>
        <v/>
      </c>
      <c r="O152" s="14" t="str">
        <f>IF(B152="","",SUMIF('Linii comandă'!$B$5:$B$1004,B152,'Linii comandă'!$L$5:$L$1004))</f>
        <v/>
      </c>
      <c r="P152" s="14" t="str">
        <f t="shared" si="4"/>
        <v/>
      </c>
      <c r="Q152" s="15" t="str">
        <f>IF(OR(B152="",COUNTIF('Linii comandă'!$B$5:$B$1004,B152)=0),"",IF(SUMIF('Linii comandă'!$B$5:$B$1004,B152,'Linii comandă'!$N$5:$N$1004)&lt;=0,"Completă",IF(SUMIF('Linii comandă'!$B$5:$B$1004,B152,'Linii comandă'!$M$5:$M$1004)&gt;0,"Parțială","Nelivrată")))</f>
        <v/>
      </c>
      <c r="R152" s="10"/>
      <c r="S152" s="15" t="str">
        <f t="shared" ca="1" si="5"/>
        <v/>
      </c>
      <c r="T152" s="16" t="str">
        <f ca="1">IF(AND(B152="",D152=""),"",IF(S152="Anulată","",TRIM(IF(COUNTIF($B$5:$B$304,B152)&gt;1,"Număr dublat. ","")&amp;IF(OR(C152="",D152="",H152="",J152="",K152=""),"Date incomplete. ","")&amp;IF(COUNTIF('Linii comandă'!$B$5:$B$1004,B152)=0,"Nicio linie de comandă. ","")&amp;IF(AND(L152&lt;&gt;"Da",C152&lt;&gt;"",TODAY()-C152&gt;ZileConf),"Neconfirmată de "&amp;(TODAY()-C152)&amp;" zile. ","")&amp;IF(S152="Întârziată","Termenul de livrare a trecut: "&amp;RIGHT("0"&amp;DAY(J152),2)&amp;"."&amp;RIGHT("0"&amp;MONTH(J152),2)&amp;"."&amp;YEAR(J152)&amp;". ","")&amp;IF(S152="Livrată – de facturat","Emite factura. ",""))))</f>
        <v/>
      </c>
    </row>
    <row r="153" spans="2:20" x14ac:dyDescent="0.2">
      <c r="B153" s="10" t="str">
        <f>IF(D153="","",MAX($B$5:B152)+1)</f>
        <v/>
      </c>
      <c r="C153" s="11"/>
      <c r="D153" s="12"/>
      <c r="E153" s="12"/>
      <c r="F153" s="12"/>
      <c r="G153" s="12"/>
      <c r="H153" s="12"/>
      <c r="I153" s="10"/>
      <c r="J153" s="11"/>
      <c r="K153" s="13"/>
      <c r="L153" s="10"/>
      <c r="M153" s="11"/>
      <c r="N153" s="14" t="str">
        <f>IF(B153="","",SUMIF('Linii comandă'!$B$5:$B$1004,B153,'Linii comandă'!$K$5:$K$1004))</f>
        <v/>
      </c>
      <c r="O153" s="14" t="str">
        <f>IF(B153="","",SUMIF('Linii comandă'!$B$5:$B$1004,B153,'Linii comandă'!$L$5:$L$1004))</f>
        <v/>
      </c>
      <c r="P153" s="14" t="str">
        <f t="shared" si="4"/>
        <v/>
      </c>
      <c r="Q153" s="15" t="str">
        <f>IF(OR(B153="",COUNTIF('Linii comandă'!$B$5:$B$1004,B153)=0),"",IF(SUMIF('Linii comandă'!$B$5:$B$1004,B153,'Linii comandă'!$N$5:$N$1004)&lt;=0,"Completă",IF(SUMIF('Linii comandă'!$B$5:$B$1004,B153,'Linii comandă'!$M$5:$M$1004)&gt;0,"Parțială","Nelivrată")))</f>
        <v/>
      </c>
      <c r="R153" s="10"/>
      <c r="S153" s="15" t="str">
        <f t="shared" ca="1" si="5"/>
        <v/>
      </c>
      <c r="T153" s="16" t="str">
        <f ca="1">IF(AND(B153="",D153=""),"",IF(S153="Anulată","",TRIM(IF(COUNTIF($B$5:$B$304,B153)&gt;1,"Număr dublat. ","")&amp;IF(OR(C153="",D153="",H153="",J153="",K153=""),"Date incomplete. ","")&amp;IF(COUNTIF('Linii comandă'!$B$5:$B$1004,B153)=0,"Nicio linie de comandă. ","")&amp;IF(AND(L153&lt;&gt;"Da",C153&lt;&gt;"",TODAY()-C153&gt;ZileConf),"Neconfirmată de "&amp;(TODAY()-C153)&amp;" zile. ","")&amp;IF(S153="Întârziată","Termenul de livrare a trecut: "&amp;RIGHT("0"&amp;DAY(J153),2)&amp;"."&amp;RIGHT("0"&amp;MONTH(J153),2)&amp;"."&amp;YEAR(J153)&amp;". ","")&amp;IF(S153="Livrată – de facturat","Emite factura. ",""))))</f>
        <v/>
      </c>
    </row>
    <row r="154" spans="2:20" x14ac:dyDescent="0.2">
      <c r="B154" s="10" t="str">
        <f>IF(D154="","",MAX($B$5:B153)+1)</f>
        <v/>
      </c>
      <c r="C154" s="11"/>
      <c r="D154" s="12"/>
      <c r="E154" s="12"/>
      <c r="F154" s="12"/>
      <c r="G154" s="12"/>
      <c r="H154" s="12"/>
      <c r="I154" s="10"/>
      <c r="J154" s="11"/>
      <c r="K154" s="13"/>
      <c r="L154" s="10"/>
      <c r="M154" s="11"/>
      <c r="N154" s="14" t="str">
        <f>IF(B154="","",SUMIF('Linii comandă'!$B$5:$B$1004,B154,'Linii comandă'!$K$5:$K$1004))</f>
        <v/>
      </c>
      <c r="O154" s="14" t="str">
        <f>IF(B154="","",SUMIF('Linii comandă'!$B$5:$B$1004,B154,'Linii comandă'!$L$5:$L$1004))</f>
        <v/>
      </c>
      <c r="P154" s="14" t="str">
        <f t="shared" si="4"/>
        <v/>
      </c>
      <c r="Q154" s="15" t="str">
        <f>IF(OR(B154="",COUNTIF('Linii comandă'!$B$5:$B$1004,B154)=0),"",IF(SUMIF('Linii comandă'!$B$5:$B$1004,B154,'Linii comandă'!$N$5:$N$1004)&lt;=0,"Completă",IF(SUMIF('Linii comandă'!$B$5:$B$1004,B154,'Linii comandă'!$M$5:$M$1004)&gt;0,"Parțială","Nelivrată")))</f>
        <v/>
      </c>
      <c r="R154" s="10"/>
      <c r="S154" s="15" t="str">
        <f t="shared" ca="1" si="5"/>
        <v/>
      </c>
      <c r="T154" s="16" t="str">
        <f ca="1">IF(AND(B154="",D154=""),"",IF(S154="Anulată","",TRIM(IF(COUNTIF($B$5:$B$304,B154)&gt;1,"Număr dublat. ","")&amp;IF(OR(C154="",D154="",H154="",J154="",K154=""),"Date incomplete. ","")&amp;IF(COUNTIF('Linii comandă'!$B$5:$B$1004,B154)=0,"Nicio linie de comandă. ","")&amp;IF(AND(L154&lt;&gt;"Da",C154&lt;&gt;"",TODAY()-C154&gt;ZileConf),"Neconfirmată de "&amp;(TODAY()-C154)&amp;" zile. ","")&amp;IF(S154="Întârziată","Termenul de livrare a trecut: "&amp;RIGHT("0"&amp;DAY(J154),2)&amp;"."&amp;RIGHT("0"&amp;MONTH(J154),2)&amp;"."&amp;YEAR(J154)&amp;". ","")&amp;IF(S154="Livrată – de facturat","Emite factura. ",""))))</f>
        <v/>
      </c>
    </row>
    <row r="155" spans="2:20" x14ac:dyDescent="0.2">
      <c r="B155" s="10" t="str">
        <f>IF(D155="","",MAX($B$5:B154)+1)</f>
        <v/>
      </c>
      <c r="C155" s="11"/>
      <c r="D155" s="12"/>
      <c r="E155" s="12"/>
      <c r="F155" s="12"/>
      <c r="G155" s="12"/>
      <c r="H155" s="12"/>
      <c r="I155" s="10"/>
      <c r="J155" s="11"/>
      <c r="K155" s="13"/>
      <c r="L155" s="10"/>
      <c r="M155" s="11"/>
      <c r="N155" s="14" t="str">
        <f>IF(B155="","",SUMIF('Linii comandă'!$B$5:$B$1004,B155,'Linii comandă'!$K$5:$K$1004))</f>
        <v/>
      </c>
      <c r="O155" s="14" t="str">
        <f>IF(B155="","",SUMIF('Linii comandă'!$B$5:$B$1004,B155,'Linii comandă'!$L$5:$L$1004))</f>
        <v/>
      </c>
      <c r="P155" s="14" t="str">
        <f t="shared" si="4"/>
        <v/>
      </c>
      <c r="Q155" s="15" t="str">
        <f>IF(OR(B155="",COUNTIF('Linii comandă'!$B$5:$B$1004,B155)=0),"",IF(SUMIF('Linii comandă'!$B$5:$B$1004,B155,'Linii comandă'!$N$5:$N$1004)&lt;=0,"Completă",IF(SUMIF('Linii comandă'!$B$5:$B$1004,B155,'Linii comandă'!$M$5:$M$1004)&gt;0,"Parțială","Nelivrată")))</f>
        <v/>
      </c>
      <c r="R155" s="10"/>
      <c r="S155" s="15" t="str">
        <f t="shared" ca="1" si="5"/>
        <v/>
      </c>
      <c r="T155" s="16" t="str">
        <f ca="1">IF(AND(B155="",D155=""),"",IF(S155="Anulată","",TRIM(IF(COUNTIF($B$5:$B$304,B155)&gt;1,"Număr dublat. ","")&amp;IF(OR(C155="",D155="",H155="",J155="",K155=""),"Date incomplete. ","")&amp;IF(COUNTIF('Linii comandă'!$B$5:$B$1004,B155)=0,"Nicio linie de comandă. ","")&amp;IF(AND(L155&lt;&gt;"Da",C155&lt;&gt;"",TODAY()-C155&gt;ZileConf),"Neconfirmată de "&amp;(TODAY()-C155)&amp;" zile. ","")&amp;IF(S155="Întârziată","Termenul de livrare a trecut: "&amp;RIGHT("0"&amp;DAY(J155),2)&amp;"."&amp;RIGHT("0"&amp;MONTH(J155),2)&amp;"."&amp;YEAR(J155)&amp;". ","")&amp;IF(S155="Livrată – de facturat","Emite factura. ",""))))</f>
        <v/>
      </c>
    </row>
    <row r="156" spans="2:20" x14ac:dyDescent="0.2">
      <c r="B156" s="10" t="str">
        <f>IF(D156="","",MAX($B$5:B155)+1)</f>
        <v/>
      </c>
      <c r="C156" s="11"/>
      <c r="D156" s="12"/>
      <c r="E156" s="12"/>
      <c r="F156" s="12"/>
      <c r="G156" s="12"/>
      <c r="H156" s="12"/>
      <c r="I156" s="10"/>
      <c r="J156" s="11"/>
      <c r="K156" s="13"/>
      <c r="L156" s="10"/>
      <c r="M156" s="11"/>
      <c r="N156" s="14" t="str">
        <f>IF(B156="","",SUMIF('Linii comandă'!$B$5:$B$1004,B156,'Linii comandă'!$K$5:$K$1004))</f>
        <v/>
      </c>
      <c r="O156" s="14" t="str">
        <f>IF(B156="","",SUMIF('Linii comandă'!$B$5:$B$1004,B156,'Linii comandă'!$L$5:$L$1004))</f>
        <v/>
      </c>
      <c r="P156" s="14" t="str">
        <f t="shared" si="4"/>
        <v/>
      </c>
      <c r="Q156" s="15" t="str">
        <f>IF(OR(B156="",COUNTIF('Linii comandă'!$B$5:$B$1004,B156)=0),"",IF(SUMIF('Linii comandă'!$B$5:$B$1004,B156,'Linii comandă'!$N$5:$N$1004)&lt;=0,"Completă",IF(SUMIF('Linii comandă'!$B$5:$B$1004,B156,'Linii comandă'!$M$5:$M$1004)&gt;0,"Parțială","Nelivrată")))</f>
        <v/>
      </c>
      <c r="R156" s="10"/>
      <c r="S156" s="15" t="str">
        <f t="shared" ca="1" si="5"/>
        <v/>
      </c>
      <c r="T156" s="16" t="str">
        <f ca="1">IF(AND(B156="",D156=""),"",IF(S156="Anulată","",TRIM(IF(COUNTIF($B$5:$B$304,B156)&gt;1,"Număr dublat. ","")&amp;IF(OR(C156="",D156="",H156="",J156="",K156=""),"Date incomplete. ","")&amp;IF(COUNTIF('Linii comandă'!$B$5:$B$1004,B156)=0,"Nicio linie de comandă. ","")&amp;IF(AND(L156&lt;&gt;"Da",C156&lt;&gt;"",TODAY()-C156&gt;ZileConf),"Neconfirmată de "&amp;(TODAY()-C156)&amp;" zile. ","")&amp;IF(S156="Întârziată","Termenul de livrare a trecut: "&amp;RIGHT("0"&amp;DAY(J156),2)&amp;"."&amp;RIGHT("0"&amp;MONTH(J156),2)&amp;"."&amp;YEAR(J156)&amp;". ","")&amp;IF(S156="Livrată – de facturat","Emite factura. ",""))))</f>
        <v/>
      </c>
    </row>
    <row r="157" spans="2:20" x14ac:dyDescent="0.2">
      <c r="B157" s="10" t="str">
        <f>IF(D157="","",MAX($B$5:B156)+1)</f>
        <v/>
      </c>
      <c r="C157" s="11"/>
      <c r="D157" s="12"/>
      <c r="E157" s="12"/>
      <c r="F157" s="12"/>
      <c r="G157" s="12"/>
      <c r="H157" s="12"/>
      <c r="I157" s="10"/>
      <c r="J157" s="11"/>
      <c r="K157" s="13"/>
      <c r="L157" s="10"/>
      <c r="M157" s="11"/>
      <c r="N157" s="14" t="str">
        <f>IF(B157="","",SUMIF('Linii comandă'!$B$5:$B$1004,B157,'Linii comandă'!$K$5:$K$1004))</f>
        <v/>
      </c>
      <c r="O157" s="14" t="str">
        <f>IF(B157="","",SUMIF('Linii comandă'!$B$5:$B$1004,B157,'Linii comandă'!$L$5:$L$1004))</f>
        <v/>
      </c>
      <c r="P157" s="14" t="str">
        <f t="shared" si="4"/>
        <v/>
      </c>
      <c r="Q157" s="15" t="str">
        <f>IF(OR(B157="",COUNTIF('Linii comandă'!$B$5:$B$1004,B157)=0),"",IF(SUMIF('Linii comandă'!$B$5:$B$1004,B157,'Linii comandă'!$N$5:$N$1004)&lt;=0,"Completă",IF(SUMIF('Linii comandă'!$B$5:$B$1004,B157,'Linii comandă'!$M$5:$M$1004)&gt;0,"Parțială","Nelivrată")))</f>
        <v/>
      </c>
      <c r="R157" s="10"/>
      <c r="S157" s="15" t="str">
        <f t="shared" ca="1" si="5"/>
        <v/>
      </c>
      <c r="T157" s="16" t="str">
        <f ca="1">IF(AND(B157="",D157=""),"",IF(S157="Anulată","",TRIM(IF(COUNTIF($B$5:$B$304,B157)&gt;1,"Număr dublat. ","")&amp;IF(OR(C157="",D157="",H157="",J157="",K157=""),"Date incomplete. ","")&amp;IF(COUNTIF('Linii comandă'!$B$5:$B$1004,B157)=0,"Nicio linie de comandă. ","")&amp;IF(AND(L157&lt;&gt;"Da",C157&lt;&gt;"",TODAY()-C157&gt;ZileConf),"Neconfirmată de "&amp;(TODAY()-C157)&amp;" zile. ","")&amp;IF(S157="Întârziată","Termenul de livrare a trecut: "&amp;RIGHT("0"&amp;DAY(J157),2)&amp;"."&amp;RIGHT("0"&amp;MONTH(J157),2)&amp;"."&amp;YEAR(J157)&amp;". ","")&amp;IF(S157="Livrată – de facturat","Emite factura. ",""))))</f>
        <v/>
      </c>
    </row>
    <row r="158" spans="2:20" x14ac:dyDescent="0.2">
      <c r="B158" s="10" t="str">
        <f>IF(D158="","",MAX($B$5:B157)+1)</f>
        <v/>
      </c>
      <c r="C158" s="11"/>
      <c r="D158" s="12"/>
      <c r="E158" s="12"/>
      <c r="F158" s="12"/>
      <c r="G158" s="12"/>
      <c r="H158" s="12"/>
      <c r="I158" s="10"/>
      <c r="J158" s="11"/>
      <c r="K158" s="13"/>
      <c r="L158" s="10"/>
      <c r="M158" s="11"/>
      <c r="N158" s="14" t="str">
        <f>IF(B158="","",SUMIF('Linii comandă'!$B$5:$B$1004,B158,'Linii comandă'!$K$5:$K$1004))</f>
        <v/>
      </c>
      <c r="O158" s="14" t="str">
        <f>IF(B158="","",SUMIF('Linii comandă'!$B$5:$B$1004,B158,'Linii comandă'!$L$5:$L$1004))</f>
        <v/>
      </c>
      <c r="P158" s="14" t="str">
        <f t="shared" si="4"/>
        <v/>
      </c>
      <c r="Q158" s="15" t="str">
        <f>IF(OR(B158="",COUNTIF('Linii comandă'!$B$5:$B$1004,B158)=0),"",IF(SUMIF('Linii comandă'!$B$5:$B$1004,B158,'Linii comandă'!$N$5:$N$1004)&lt;=0,"Completă",IF(SUMIF('Linii comandă'!$B$5:$B$1004,B158,'Linii comandă'!$M$5:$M$1004)&gt;0,"Parțială","Nelivrată")))</f>
        <v/>
      </c>
      <c r="R158" s="10"/>
      <c r="S158" s="15" t="str">
        <f t="shared" ca="1" si="5"/>
        <v/>
      </c>
      <c r="T158" s="16" t="str">
        <f ca="1">IF(AND(B158="",D158=""),"",IF(S158="Anulată","",TRIM(IF(COUNTIF($B$5:$B$304,B158)&gt;1,"Număr dublat. ","")&amp;IF(OR(C158="",D158="",H158="",J158="",K158=""),"Date incomplete. ","")&amp;IF(COUNTIF('Linii comandă'!$B$5:$B$1004,B158)=0,"Nicio linie de comandă. ","")&amp;IF(AND(L158&lt;&gt;"Da",C158&lt;&gt;"",TODAY()-C158&gt;ZileConf),"Neconfirmată de "&amp;(TODAY()-C158)&amp;" zile. ","")&amp;IF(S158="Întârziată","Termenul de livrare a trecut: "&amp;RIGHT("0"&amp;DAY(J158),2)&amp;"."&amp;RIGHT("0"&amp;MONTH(J158),2)&amp;"."&amp;YEAR(J158)&amp;". ","")&amp;IF(S158="Livrată – de facturat","Emite factura. ",""))))</f>
        <v/>
      </c>
    </row>
    <row r="159" spans="2:20" x14ac:dyDescent="0.2">
      <c r="B159" s="10" t="str">
        <f>IF(D159="","",MAX($B$5:B158)+1)</f>
        <v/>
      </c>
      <c r="C159" s="11"/>
      <c r="D159" s="12"/>
      <c r="E159" s="12"/>
      <c r="F159" s="12"/>
      <c r="G159" s="12"/>
      <c r="H159" s="12"/>
      <c r="I159" s="10"/>
      <c r="J159" s="11"/>
      <c r="K159" s="13"/>
      <c r="L159" s="10"/>
      <c r="M159" s="11"/>
      <c r="N159" s="14" t="str">
        <f>IF(B159="","",SUMIF('Linii comandă'!$B$5:$B$1004,B159,'Linii comandă'!$K$5:$K$1004))</f>
        <v/>
      </c>
      <c r="O159" s="14" t="str">
        <f>IF(B159="","",SUMIF('Linii comandă'!$B$5:$B$1004,B159,'Linii comandă'!$L$5:$L$1004))</f>
        <v/>
      </c>
      <c r="P159" s="14" t="str">
        <f t="shared" si="4"/>
        <v/>
      </c>
      <c r="Q159" s="15" t="str">
        <f>IF(OR(B159="",COUNTIF('Linii comandă'!$B$5:$B$1004,B159)=0),"",IF(SUMIF('Linii comandă'!$B$5:$B$1004,B159,'Linii comandă'!$N$5:$N$1004)&lt;=0,"Completă",IF(SUMIF('Linii comandă'!$B$5:$B$1004,B159,'Linii comandă'!$M$5:$M$1004)&gt;0,"Parțială","Nelivrată")))</f>
        <v/>
      </c>
      <c r="R159" s="10"/>
      <c r="S159" s="15" t="str">
        <f t="shared" ca="1" si="5"/>
        <v/>
      </c>
      <c r="T159" s="16" t="str">
        <f ca="1">IF(AND(B159="",D159=""),"",IF(S159="Anulată","",TRIM(IF(COUNTIF($B$5:$B$304,B159)&gt;1,"Număr dublat. ","")&amp;IF(OR(C159="",D159="",H159="",J159="",K159=""),"Date incomplete. ","")&amp;IF(COUNTIF('Linii comandă'!$B$5:$B$1004,B159)=0,"Nicio linie de comandă. ","")&amp;IF(AND(L159&lt;&gt;"Da",C159&lt;&gt;"",TODAY()-C159&gt;ZileConf),"Neconfirmată de "&amp;(TODAY()-C159)&amp;" zile. ","")&amp;IF(S159="Întârziată","Termenul de livrare a trecut: "&amp;RIGHT("0"&amp;DAY(J159),2)&amp;"."&amp;RIGHT("0"&amp;MONTH(J159),2)&amp;"."&amp;YEAR(J159)&amp;". ","")&amp;IF(S159="Livrată – de facturat","Emite factura. ",""))))</f>
        <v/>
      </c>
    </row>
    <row r="160" spans="2:20" x14ac:dyDescent="0.2">
      <c r="B160" s="10" t="str">
        <f>IF(D160="","",MAX($B$5:B159)+1)</f>
        <v/>
      </c>
      <c r="C160" s="11"/>
      <c r="D160" s="12"/>
      <c r="E160" s="12"/>
      <c r="F160" s="12"/>
      <c r="G160" s="12"/>
      <c r="H160" s="12"/>
      <c r="I160" s="10"/>
      <c r="J160" s="11"/>
      <c r="K160" s="13"/>
      <c r="L160" s="10"/>
      <c r="M160" s="11"/>
      <c r="N160" s="14" t="str">
        <f>IF(B160="","",SUMIF('Linii comandă'!$B$5:$B$1004,B160,'Linii comandă'!$K$5:$K$1004))</f>
        <v/>
      </c>
      <c r="O160" s="14" t="str">
        <f>IF(B160="","",SUMIF('Linii comandă'!$B$5:$B$1004,B160,'Linii comandă'!$L$5:$L$1004))</f>
        <v/>
      </c>
      <c r="P160" s="14" t="str">
        <f t="shared" si="4"/>
        <v/>
      </c>
      <c r="Q160" s="15" t="str">
        <f>IF(OR(B160="",COUNTIF('Linii comandă'!$B$5:$B$1004,B160)=0),"",IF(SUMIF('Linii comandă'!$B$5:$B$1004,B160,'Linii comandă'!$N$5:$N$1004)&lt;=0,"Completă",IF(SUMIF('Linii comandă'!$B$5:$B$1004,B160,'Linii comandă'!$M$5:$M$1004)&gt;0,"Parțială","Nelivrată")))</f>
        <v/>
      </c>
      <c r="R160" s="10"/>
      <c r="S160" s="15" t="str">
        <f t="shared" ca="1" si="5"/>
        <v/>
      </c>
      <c r="T160" s="16" t="str">
        <f ca="1">IF(AND(B160="",D160=""),"",IF(S160="Anulată","",TRIM(IF(COUNTIF($B$5:$B$304,B160)&gt;1,"Număr dublat. ","")&amp;IF(OR(C160="",D160="",H160="",J160="",K160=""),"Date incomplete. ","")&amp;IF(COUNTIF('Linii comandă'!$B$5:$B$1004,B160)=0,"Nicio linie de comandă. ","")&amp;IF(AND(L160&lt;&gt;"Da",C160&lt;&gt;"",TODAY()-C160&gt;ZileConf),"Neconfirmată de "&amp;(TODAY()-C160)&amp;" zile. ","")&amp;IF(S160="Întârziată","Termenul de livrare a trecut: "&amp;RIGHT("0"&amp;DAY(J160),2)&amp;"."&amp;RIGHT("0"&amp;MONTH(J160),2)&amp;"."&amp;YEAR(J160)&amp;". ","")&amp;IF(S160="Livrată – de facturat","Emite factura. ",""))))</f>
        <v/>
      </c>
    </row>
    <row r="161" spans="2:20" x14ac:dyDescent="0.2">
      <c r="B161" s="10" t="str">
        <f>IF(D161="","",MAX($B$5:B160)+1)</f>
        <v/>
      </c>
      <c r="C161" s="11"/>
      <c r="D161" s="12"/>
      <c r="E161" s="12"/>
      <c r="F161" s="12"/>
      <c r="G161" s="12"/>
      <c r="H161" s="12"/>
      <c r="I161" s="10"/>
      <c r="J161" s="11"/>
      <c r="K161" s="13"/>
      <c r="L161" s="10"/>
      <c r="M161" s="11"/>
      <c r="N161" s="14" t="str">
        <f>IF(B161="","",SUMIF('Linii comandă'!$B$5:$B$1004,B161,'Linii comandă'!$K$5:$K$1004))</f>
        <v/>
      </c>
      <c r="O161" s="14" t="str">
        <f>IF(B161="","",SUMIF('Linii comandă'!$B$5:$B$1004,B161,'Linii comandă'!$L$5:$L$1004))</f>
        <v/>
      </c>
      <c r="P161" s="14" t="str">
        <f t="shared" si="4"/>
        <v/>
      </c>
      <c r="Q161" s="15" t="str">
        <f>IF(OR(B161="",COUNTIF('Linii comandă'!$B$5:$B$1004,B161)=0),"",IF(SUMIF('Linii comandă'!$B$5:$B$1004,B161,'Linii comandă'!$N$5:$N$1004)&lt;=0,"Completă",IF(SUMIF('Linii comandă'!$B$5:$B$1004,B161,'Linii comandă'!$M$5:$M$1004)&gt;0,"Parțială","Nelivrată")))</f>
        <v/>
      </c>
      <c r="R161" s="10"/>
      <c r="S161" s="15" t="str">
        <f t="shared" ca="1" si="5"/>
        <v/>
      </c>
      <c r="T161" s="16" t="str">
        <f ca="1">IF(AND(B161="",D161=""),"",IF(S161="Anulată","",TRIM(IF(COUNTIF($B$5:$B$304,B161)&gt;1,"Număr dublat. ","")&amp;IF(OR(C161="",D161="",H161="",J161="",K161=""),"Date incomplete. ","")&amp;IF(COUNTIF('Linii comandă'!$B$5:$B$1004,B161)=0,"Nicio linie de comandă. ","")&amp;IF(AND(L161&lt;&gt;"Da",C161&lt;&gt;"",TODAY()-C161&gt;ZileConf),"Neconfirmată de "&amp;(TODAY()-C161)&amp;" zile. ","")&amp;IF(S161="Întârziată","Termenul de livrare a trecut: "&amp;RIGHT("0"&amp;DAY(J161),2)&amp;"."&amp;RIGHT("0"&amp;MONTH(J161),2)&amp;"."&amp;YEAR(J161)&amp;". ","")&amp;IF(S161="Livrată – de facturat","Emite factura. ",""))))</f>
        <v/>
      </c>
    </row>
    <row r="162" spans="2:20" x14ac:dyDescent="0.2">
      <c r="B162" s="10" t="str">
        <f>IF(D162="","",MAX($B$5:B161)+1)</f>
        <v/>
      </c>
      <c r="C162" s="11"/>
      <c r="D162" s="12"/>
      <c r="E162" s="12"/>
      <c r="F162" s="12"/>
      <c r="G162" s="12"/>
      <c r="H162" s="12"/>
      <c r="I162" s="10"/>
      <c r="J162" s="11"/>
      <c r="K162" s="13"/>
      <c r="L162" s="10"/>
      <c r="M162" s="11"/>
      <c r="N162" s="14" t="str">
        <f>IF(B162="","",SUMIF('Linii comandă'!$B$5:$B$1004,B162,'Linii comandă'!$K$5:$K$1004))</f>
        <v/>
      </c>
      <c r="O162" s="14" t="str">
        <f>IF(B162="","",SUMIF('Linii comandă'!$B$5:$B$1004,B162,'Linii comandă'!$L$5:$L$1004))</f>
        <v/>
      </c>
      <c r="P162" s="14" t="str">
        <f t="shared" si="4"/>
        <v/>
      </c>
      <c r="Q162" s="15" t="str">
        <f>IF(OR(B162="",COUNTIF('Linii comandă'!$B$5:$B$1004,B162)=0),"",IF(SUMIF('Linii comandă'!$B$5:$B$1004,B162,'Linii comandă'!$N$5:$N$1004)&lt;=0,"Completă",IF(SUMIF('Linii comandă'!$B$5:$B$1004,B162,'Linii comandă'!$M$5:$M$1004)&gt;0,"Parțială","Nelivrată")))</f>
        <v/>
      </c>
      <c r="R162" s="10"/>
      <c r="S162" s="15" t="str">
        <f t="shared" ca="1" si="5"/>
        <v/>
      </c>
      <c r="T162" s="16" t="str">
        <f ca="1">IF(AND(B162="",D162=""),"",IF(S162="Anulată","",TRIM(IF(COUNTIF($B$5:$B$304,B162)&gt;1,"Număr dublat. ","")&amp;IF(OR(C162="",D162="",H162="",J162="",K162=""),"Date incomplete. ","")&amp;IF(COUNTIF('Linii comandă'!$B$5:$B$1004,B162)=0,"Nicio linie de comandă. ","")&amp;IF(AND(L162&lt;&gt;"Da",C162&lt;&gt;"",TODAY()-C162&gt;ZileConf),"Neconfirmată de "&amp;(TODAY()-C162)&amp;" zile. ","")&amp;IF(S162="Întârziată","Termenul de livrare a trecut: "&amp;RIGHT("0"&amp;DAY(J162),2)&amp;"."&amp;RIGHT("0"&amp;MONTH(J162),2)&amp;"."&amp;YEAR(J162)&amp;". ","")&amp;IF(S162="Livrată – de facturat","Emite factura. ",""))))</f>
        <v/>
      </c>
    </row>
    <row r="163" spans="2:20" x14ac:dyDescent="0.2">
      <c r="B163" s="10" t="str">
        <f>IF(D163="","",MAX($B$5:B162)+1)</f>
        <v/>
      </c>
      <c r="C163" s="11"/>
      <c r="D163" s="12"/>
      <c r="E163" s="12"/>
      <c r="F163" s="12"/>
      <c r="G163" s="12"/>
      <c r="H163" s="12"/>
      <c r="I163" s="10"/>
      <c r="J163" s="11"/>
      <c r="K163" s="13"/>
      <c r="L163" s="10"/>
      <c r="M163" s="11"/>
      <c r="N163" s="14" t="str">
        <f>IF(B163="","",SUMIF('Linii comandă'!$B$5:$B$1004,B163,'Linii comandă'!$K$5:$K$1004))</f>
        <v/>
      </c>
      <c r="O163" s="14" t="str">
        <f>IF(B163="","",SUMIF('Linii comandă'!$B$5:$B$1004,B163,'Linii comandă'!$L$5:$L$1004))</f>
        <v/>
      </c>
      <c r="P163" s="14" t="str">
        <f t="shared" si="4"/>
        <v/>
      </c>
      <c r="Q163" s="15" t="str">
        <f>IF(OR(B163="",COUNTIF('Linii comandă'!$B$5:$B$1004,B163)=0),"",IF(SUMIF('Linii comandă'!$B$5:$B$1004,B163,'Linii comandă'!$N$5:$N$1004)&lt;=0,"Completă",IF(SUMIF('Linii comandă'!$B$5:$B$1004,B163,'Linii comandă'!$M$5:$M$1004)&gt;0,"Parțială","Nelivrată")))</f>
        <v/>
      </c>
      <c r="R163" s="10"/>
      <c r="S163" s="15" t="str">
        <f t="shared" ca="1" si="5"/>
        <v/>
      </c>
      <c r="T163" s="16" t="str">
        <f ca="1">IF(AND(B163="",D163=""),"",IF(S163="Anulată","",TRIM(IF(COUNTIF($B$5:$B$304,B163)&gt;1,"Număr dublat. ","")&amp;IF(OR(C163="",D163="",H163="",J163="",K163=""),"Date incomplete. ","")&amp;IF(COUNTIF('Linii comandă'!$B$5:$B$1004,B163)=0,"Nicio linie de comandă. ","")&amp;IF(AND(L163&lt;&gt;"Da",C163&lt;&gt;"",TODAY()-C163&gt;ZileConf),"Neconfirmată de "&amp;(TODAY()-C163)&amp;" zile. ","")&amp;IF(S163="Întârziată","Termenul de livrare a trecut: "&amp;RIGHT("0"&amp;DAY(J163),2)&amp;"."&amp;RIGHT("0"&amp;MONTH(J163),2)&amp;"."&amp;YEAR(J163)&amp;". ","")&amp;IF(S163="Livrată – de facturat","Emite factura. ",""))))</f>
        <v/>
      </c>
    </row>
    <row r="164" spans="2:20" x14ac:dyDescent="0.2">
      <c r="B164" s="10" t="str">
        <f>IF(D164="","",MAX($B$5:B163)+1)</f>
        <v/>
      </c>
      <c r="C164" s="11"/>
      <c r="D164" s="12"/>
      <c r="E164" s="12"/>
      <c r="F164" s="12"/>
      <c r="G164" s="12"/>
      <c r="H164" s="12"/>
      <c r="I164" s="10"/>
      <c r="J164" s="11"/>
      <c r="K164" s="13"/>
      <c r="L164" s="10"/>
      <c r="M164" s="11"/>
      <c r="N164" s="14" t="str">
        <f>IF(B164="","",SUMIF('Linii comandă'!$B$5:$B$1004,B164,'Linii comandă'!$K$5:$K$1004))</f>
        <v/>
      </c>
      <c r="O164" s="14" t="str">
        <f>IF(B164="","",SUMIF('Linii comandă'!$B$5:$B$1004,B164,'Linii comandă'!$L$5:$L$1004))</f>
        <v/>
      </c>
      <c r="P164" s="14" t="str">
        <f t="shared" si="4"/>
        <v/>
      </c>
      <c r="Q164" s="15" t="str">
        <f>IF(OR(B164="",COUNTIF('Linii comandă'!$B$5:$B$1004,B164)=0),"",IF(SUMIF('Linii comandă'!$B$5:$B$1004,B164,'Linii comandă'!$N$5:$N$1004)&lt;=0,"Completă",IF(SUMIF('Linii comandă'!$B$5:$B$1004,B164,'Linii comandă'!$M$5:$M$1004)&gt;0,"Parțială","Nelivrată")))</f>
        <v/>
      </c>
      <c r="R164" s="10"/>
      <c r="S164" s="15" t="str">
        <f t="shared" ca="1" si="5"/>
        <v/>
      </c>
      <c r="T164" s="16" t="str">
        <f ca="1">IF(AND(B164="",D164=""),"",IF(S164="Anulată","",TRIM(IF(COUNTIF($B$5:$B$304,B164)&gt;1,"Număr dublat. ","")&amp;IF(OR(C164="",D164="",H164="",J164="",K164=""),"Date incomplete. ","")&amp;IF(COUNTIF('Linii comandă'!$B$5:$B$1004,B164)=0,"Nicio linie de comandă. ","")&amp;IF(AND(L164&lt;&gt;"Da",C164&lt;&gt;"",TODAY()-C164&gt;ZileConf),"Neconfirmată de "&amp;(TODAY()-C164)&amp;" zile. ","")&amp;IF(S164="Întârziată","Termenul de livrare a trecut: "&amp;RIGHT("0"&amp;DAY(J164),2)&amp;"."&amp;RIGHT("0"&amp;MONTH(J164),2)&amp;"."&amp;YEAR(J164)&amp;". ","")&amp;IF(S164="Livrată – de facturat","Emite factura. ",""))))</f>
        <v/>
      </c>
    </row>
    <row r="165" spans="2:20" x14ac:dyDescent="0.2">
      <c r="B165" s="10" t="str">
        <f>IF(D165="","",MAX($B$5:B164)+1)</f>
        <v/>
      </c>
      <c r="C165" s="11"/>
      <c r="D165" s="12"/>
      <c r="E165" s="12"/>
      <c r="F165" s="12"/>
      <c r="G165" s="12"/>
      <c r="H165" s="12"/>
      <c r="I165" s="10"/>
      <c r="J165" s="11"/>
      <c r="K165" s="13"/>
      <c r="L165" s="10"/>
      <c r="M165" s="11"/>
      <c r="N165" s="14" t="str">
        <f>IF(B165="","",SUMIF('Linii comandă'!$B$5:$B$1004,B165,'Linii comandă'!$K$5:$K$1004))</f>
        <v/>
      </c>
      <c r="O165" s="14" t="str">
        <f>IF(B165="","",SUMIF('Linii comandă'!$B$5:$B$1004,B165,'Linii comandă'!$L$5:$L$1004))</f>
        <v/>
      </c>
      <c r="P165" s="14" t="str">
        <f t="shared" si="4"/>
        <v/>
      </c>
      <c r="Q165" s="15" t="str">
        <f>IF(OR(B165="",COUNTIF('Linii comandă'!$B$5:$B$1004,B165)=0),"",IF(SUMIF('Linii comandă'!$B$5:$B$1004,B165,'Linii comandă'!$N$5:$N$1004)&lt;=0,"Completă",IF(SUMIF('Linii comandă'!$B$5:$B$1004,B165,'Linii comandă'!$M$5:$M$1004)&gt;0,"Parțială","Nelivrată")))</f>
        <v/>
      </c>
      <c r="R165" s="10"/>
      <c r="S165" s="15" t="str">
        <f t="shared" ca="1" si="5"/>
        <v/>
      </c>
      <c r="T165" s="16" t="str">
        <f ca="1">IF(AND(B165="",D165=""),"",IF(S165="Anulată","",TRIM(IF(COUNTIF($B$5:$B$304,B165)&gt;1,"Număr dublat. ","")&amp;IF(OR(C165="",D165="",H165="",J165="",K165=""),"Date incomplete. ","")&amp;IF(COUNTIF('Linii comandă'!$B$5:$B$1004,B165)=0,"Nicio linie de comandă. ","")&amp;IF(AND(L165&lt;&gt;"Da",C165&lt;&gt;"",TODAY()-C165&gt;ZileConf),"Neconfirmată de "&amp;(TODAY()-C165)&amp;" zile. ","")&amp;IF(S165="Întârziată","Termenul de livrare a trecut: "&amp;RIGHT("0"&amp;DAY(J165),2)&amp;"."&amp;RIGHT("0"&amp;MONTH(J165),2)&amp;"."&amp;YEAR(J165)&amp;". ","")&amp;IF(S165="Livrată – de facturat","Emite factura. ",""))))</f>
        <v/>
      </c>
    </row>
    <row r="166" spans="2:20" x14ac:dyDescent="0.2">
      <c r="B166" s="10" t="str">
        <f>IF(D166="","",MAX($B$5:B165)+1)</f>
        <v/>
      </c>
      <c r="C166" s="11"/>
      <c r="D166" s="12"/>
      <c r="E166" s="12"/>
      <c r="F166" s="12"/>
      <c r="G166" s="12"/>
      <c r="H166" s="12"/>
      <c r="I166" s="10"/>
      <c r="J166" s="11"/>
      <c r="K166" s="13"/>
      <c r="L166" s="10"/>
      <c r="M166" s="11"/>
      <c r="N166" s="14" t="str">
        <f>IF(B166="","",SUMIF('Linii comandă'!$B$5:$B$1004,B166,'Linii comandă'!$K$5:$K$1004))</f>
        <v/>
      </c>
      <c r="O166" s="14" t="str">
        <f>IF(B166="","",SUMIF('Linii comandă'!$B$5:$B$1004,B166,'Linii comandă'!$L$5:$L$1004))</f>
        <v/>
      </c>
      <c r="P166" s="14" t="str">
        <f t="shared" si="4"/>
        <v/>
      </c>
      <c r="Q166" s="15" t="str">
        <f>IF(OR(B166="",COUNTIF('Linii comandă'!$B$5:$B$1004,B166)=0),"",IF(SUMIF('Linii comandă'!$B$5:$B$1004,B166,'Linii comandă'!$N$5:$N$1004)&lt;=0,"Completă",IF(SUMIF('Linii comandă'!$B$5:$B$1004,B166,'Linii comandă'!$M$5:$M$1004)&gt;0,"Parțială","Nelivrată")))</f>
        <v/>
      </c>
      <c r="R166" s="10"/>
      <c r="S166" s="15" t="str">
        <f t="shared" ca="1" si="5"/>
        <v/>
      </c>
      <c r="T166" s="16" t="str">
        <f ca="1">IF(AND(B166="",D166=""),"",IF(S166="Anulată","",TRIM(IF(COUNTIF($B$5:$B$304,B166)&gt;1,"Număr dublat. ","")&amp;IF(OR(C166="",D166="",H166="",J166="",K166=""),"Date incomplete. ","")&amp;IF(COUNTIF('Linii comandă'!$B$5:$B$1004,B166)=0,"Nicio linie de comandă. ","")&amp;IF(AND(L166&lt;&gt;"Da",C166&lt;&gt;"",TODAY()-C166&gt;ZileConf),"Neconfirmată de "&amp;(TODAY()-C166)&amp;" zile. ","")&amp;IF(S166="Întârziată","Termenul de livrare a trecut: "&amp;RIGHT("0"&amp;DAY(J166),2)&amp;"."&amp;RIGHT("0"&amp;MONTH(J166),2)&amp;"."&amp;YEAR(J166)&amp;". ","")&amp;IF(S166="Livrată – de facturat","Emite factura. ",""))))</f>
        <v/>
      </c>
    </row>
    <row r="167" spans="2:20" x14ac:dyDescent="0.2">
      <c r="B167" s="10" t="str">
        <f>IF(D167="","",MAX($B$5:B166)+1)</f>
        <v/>
      </c>
      <c r="C167" s="11"/>
      <c r="D167" s="12"/>
      <c r="E167" s="12"/>
      <c r="F167" s="12"/>
      <c r="G167" s="12"/>
      <c r="H167" s="12"/>
      <c r="I167" s="10"/>
      <c r="J167" s="11"/>
      <c r="K167" s="13"/>
      <c r="L167" s="10"/>
      <c r="M167" s="11"/>
      <c r="N167" s="14" t="str">
        <f>IF(B167="","",SUMIF('Linii comandă'!$B$5:$B$1004,B167,'Linii comandă'!$K$5:$K$1004))</f>
        <v/>
      </c>
      <c r="O167" s="14" t="str">
        <f>IF(B167="","",SUMIF('Linii comandă'!$B$5:$B$1004,B167,'Linii comandă'!$L$5:$L$1004))</f>
        <v/>
      </c>
      <c r="P167" s="14" t="str">
        <f t="shared" si="4"/>
        <v/>
      </c>
      <c r="Q167" s="15" t="str">
        <f>IF(OR(B167="",COUNTIF('Linii comandă'!$B$5:$B$1004,B167)=0),"",IF(SUMIF('Linii comandă'!$B$5:$B$1004,B167,'Linii comandă'!$N$5:$N$1004)&lt;=0,"Completă",IF(SUMIF('Linii comandă'!$B$5:$B$1004,B167,'Linii comandă'!$M$5:$M$1004)&gt;0,"Parțială","Nelivrată")))</f>
        <v/>
      </c>
      <c r="R167" s="10"/>
      <c r="S167" s="15" t="str">
        <f t="shared" ca="1" si="5"/>
        <v/>
      </c>
      <c r="T167" s="16" t="str">
        <f ca="1">IF(AND(B167="",D167=""),"",IF(S167="Anulată","",TRIM(IF(COUNTIF($B$5:$B$304,B167)&gt;1,"Număr dublat. ","")&amp;IF(OR(C167="",D167="",H167="",J167="",K167=""),"Date incomplete. ","")&amp;IF(COUNTIF('Linii comandă'!$B$5:$B$1004,B167)=0,"Nicio linie de comandă. ","")&amp;IF(AND(L167&lt;&gt;"Da",C167&lt;&gt;"",TODAY()-C167&gt;ZileConf),"Neconfirmată de "&amp;(TODAY()-C167)&amp;" zile. ","")&amp;IF(S167="Întârziată","Termenul de livrare a trecut: "&amp;RIGHT("0"&amp;DAY(J167),2)&amp;"."&amp;RIGHT("0"&amp;MONTH(J167),2)&amp;"."&amp;YEAR(J167)&amp;". ","")&amp;IF(S167="Livrată – de facturat","Emite factura. ",""))))</f>
        <v/>
      </c>
    </row>
    <row r="168" spans="2:20" x14ac:dyDescent="0.2">
      <c r="B168" s="10" t="str">
        <f>IF(D168="","",MAX($B$5:B167)+1)</f>
        <v/>
      </c>
      <c r="C168" s="11"/>
      <c r="D168" s="12"/>
      <c r="E168" s="12"/>
      <c r="F168" s="12"/>
      <c r="G168" s="12"/>
      <c r="H168" s="12"/>
      <c r="I168" s="10"/>
      <c r="J168" s="11"/>
      <c r="K168" s="13"/>
      <c r="L168" s="10"/>
      <c r="M168" s="11"/>
      <c r="N168" s="14" t="str">
        <f>IF(B168="","",SUMIF('Linii comandă'!$B$5:$B$1004,B168,'Linii comandă'!$K$5:$K$1004))</f>
        <v/>
      </c>
      <c r="O168" s="14" t="str">
        <f>IF(B168="","",SUMIF('Linii comandă'!$B$5:$B$1004,B168,'Linii comandă'!$L$5:$L$1004))</f>
        <v/>
      </c>
      <c r="P168" s="14" t="str">
        <f t="shared" si="4"/>
        <v/>
      </c>
      <c r="Q168" s="15" t="str">
        <f>IF(OR(B168="",COUNTIF('Linii comandă'!$B$5:$B$1004,B168)=0),"",IF(SUMIF('Linii comandă'!$B$5:$B$1004,B168,'Linii comandă'!$N$5:$N$1004)&lt;=0,"Completă",IF(SUMIF('Linii comandă'!$B$5:$B$1004,B168,'Linii comandă'!$M$5:$M$1004)&gt;0,"Parțială","Nelivrată")))</f>
        <v/>
      </c>
      <c r="R168" s="10"/>
      <c r="S168" s="15" t="str">
        <f t="shared" ca="1" si="5"/>
        <v/>
      </c>
      <c r="T168" s="16" t="str">
        <f ca="1">IF(AND(B168="",D168=""),"",IF(S168="Anulată","",TRIM(IF(COUNTIF($B$5:$B$304,B168)&gt;1,"Număr dublat. ","")&amp;IF(OR(C168="",D168="",H168="",J168="",K168=""),"Date incomplete. ","")&amp;IF(COUNTIF('Linii comandă'!$B$5:$B$1004,B168)=0,"Nicio linie de comandă. ","")&amp;IF(AND(L168&lt;&gt;"Da",C168&lt;&gt;"",TODAY()-C168&gt;ZileConf),"Neconfirmată de "&amp;(TODAY()-C168)&amp;" zile. ","")&amp;IF(S168="Întârziată","Termenul de livrare a trecut: "&amp;RIGHT("0"&amp;DAY(J168),2)&amp;"."&amp;RIGHT("0"&amp;MONTH(J168),2)&amp;"."&amp;YEAR(J168)&amp;". ","")&amp;IF(S168="Livrată – de facturat","Emite factura. ",""))))</f>
        <v/>
      </c>
    </row>
    <row r="169" spans="2:20" x14ac:dyDescent="0.2">
      <c r="B169" s="10" t="str">
        <f>IF(D169="","",MAX($B$5:B168)+1)</f>
        <v/>
      </c>
      <c r="C169" s="11"/>
      <c r="D169" s="12"/>
      <c r="E169" s="12"/>
      <c r="F169" s="12"/>
      <c r="G169" s="12"/>
      <c r="H169" s="12"/>
      <c r="I169" s="10"/>
      <c r="J169" s="11"/>
      <c r="K169" s="13"/>
      <c r="L169" s="10"/>
      <c r="M169" s="11"/>
      <c r="N169" s="14" t="str">
        <f>IF(B169="","",SUMIF('Linii comandă'!$B$5:$B$1004,B169,'Linii comandă'!$K$5:$K$1004))</f>
        <v/>
      </c>
      <c r="O169" s="14" t="str">
        <f>IF(B169="","",SUMIF('Linii comandă'!$B$5:$B$1004,B169,'Linii comandă'!$L$5:$L$1004))</f>
        <v/>
      </c>
      <c r="P169" s="14" t="str">
        <f t="shared" si="4"/>
        <v/>
      </c>
      <c r="Q169" s="15" t="str">
        <f>IF(OR(B169="",COUNTIF('Linii comandă'!$B$5:$B$1004,B169)=0),"",IF(SUMIF('Linii comandă'!$B$5:$B$1004,B169,'Linii comandă'!$N$5:$N$1004)&lt;=0,"Completă",IF(SUMIF('Linii comandă'!$B$5:$B$1004,B169,'Linii comandă'!$M$5:$M$1004)&gt;0,"Parțială","Nelivrată")))</f>
        <v/>
      </c>
      <c r="R169" s="10"/>
      <c r="S169" s="15" t="str">
        <f t="shared" ca="1" si="5"/>
        <v/>
      </c>
      <c r="T169" s="16" t="str">
        <f ca="1">IF(AND(B169="",D169=""),"",IF(S169="Anulată","",TRIM(IF(COUNTIF($B$5:$B$304,B169)&gt;1,"Număr dublat. ","")&amp;IF(OR(C169="",D169="",H169="",J169="",K169=""),"Date incomplete. ","")&amp;IF(COUNTIF('Linii comandă'!$B$5:$B$1004,B169)=0,"Nicio linie de comandă. ","")&amp;IF(AND(L169&lt;&gt;"Da",C169&lt;&gt;"",TODAY()-C169&gt;ZileConf),"Neconfirmată de "&amp;(TODAY()-C169)&amp;" zile. ","")&amp;IF(S169="Întârziată","Termenul de livrare a trecut: "&amp;RIGHT("0"&amp;DAY(J169),2)&amp;"."&amp;RIGHT("0"&amp;MONTH(J169),2)&amp;"."&amp;YEAR(J169)&amp;". ","")&amp;IF(S169="Livrată – de facturat","Emite factura. ",""))))</f>
        <v/>
      </c>
    </row>
    <row r="170" spans="2:20" x14ac:dyDescent="0.2">
      <c r="B170" s="10" t="str">
        <f>IF(D170="","",MAX($B$5:B169)+1)</f>
        <v/>
      </c>
      <c r="C170" s="11"/>
      <c r="D170" s="12"/>
      <c r="E170" s="12"/>
      <c r="F170" s="12"/>
      <c r="G170" s="12"/>
      <c r="H170" s="12"/>
      <c r="I170" s="10"/>
      <c r="J170" s="11"/>
      <c r="K170" s="13"/>
      <c r="L170" s="10"/>
      <c r="M170" s="11"/>
      <c r="N170" s="14" t="str">
        <f>IF(B170="","",SUMIF('Linii comandă'!$B$5:$B$1004,B170,'Linii comandă'!$K$5:$K$1004))</f>
        <v/>
      </c>
      <c r="O170" s="14" t="str">
        <f>IF(B170="","",SUMIF('Linii comandă'!$B$5:$B$1004,B170,'Linii comandă'!$L$5:$L$1004))</f>
        <v/>
      </c>
      <c r="P170" s="14" t="str">
        <f t="shared" si="4"/>
        <v/>
      </c>
      <c r="Q170" s="15" t="str">
        <f>IF(OR(B170="",COUNTIF('Linii comandă'!$B$5:$B$1004,B170)=0),"",IF(SUMIF('Linii comandă'!$B$5:$B$1004,B170,'Linii comandă'!$N$5:$N$1004)&lt;=0,"Completă",IF(SUMIF('Linii comandă'!$B$5:$B$1004,B170,'Linii comandă'!$M$5:$M$1004)&gt;0,"Parțială","Nelivrată")))</f>
        <v/>
      </c>
      <c r="R170" s="10"/>
      <c r="S170" s="15" t="str">
        <f t="shared" ca="1" si="5"/>
        <v/>
      </c>
      <c r="T170" s="16" t="str">
        <f ca="1">IF(AND(B170="",D170=""),"",IF(S170="Anulată","",TRIM(IF(COUNTIF($B$5:$B$304,B170)&gt;1,"Număr dublat. ","")&amp;IF(OR(C170="",D170="",H170="",J170="",K170=""),"Date incomplete. ","")&amp;IF(COUNTIF('Linii comandă'!$B$5:$B$1004,B170)=0,"Nicio linie de comandă. ","")&amp;IF(AND(L170&lt;&gt;"Da",C170&lt;&gt;"",TODAY()-C170&gt;ZileConf),"Neconfirmată de "&amp;(TODAY()-C170)&amp;" zile. ","")&amp;IF(S170="Întârziată","Termenul de livrare a trecut: "&amp;RIGHT("0"&amp;DAY(J170),2)&amp;"."&amp;RIGHT("0"&amp;MONTH(J170),2)&amp;"."&amp;YEAR(J170)&amp;". ","")&amp;IF(S170="Livrată – de facturat","Emite factura. ",""))))</f>
        <v/>
      </c>
    </row>
    <row r="171" spans="2:20" x14ac:dyDescent="0.2">
      <c r="B171" s="10" t="str">
        <f>IF(D171="","",MAX($B$5:B170)+1)</f>
        <v/>
      </c>
      <c r="C171" s="11"/>
      <c r="D171" s="12"/>
      <c r="E171" s="12"/>
      <c r="F171" s="12"/>
      <c r="G171" s="12"/>
      <c r="H171" s="12"/>
      <c r="I171" s="10"/>
      <c r="J171" s="11"/>
      <c r="K171" s="13"/>
      <c r="L171" s="10"/>
      <c r="M171" s="11"/>
      <c r="N171" s="14" t="str">
        <f>IF(B171="","",SUMIF('Linii comandă'!$B$5:$B$1004,B171,'Linii comandă'!$K$5:$K$1004))</f>
        <v/>
      </c>
      <c r="O171" s="14" t="str">
        <f>IF(B171="","",SUMIF('Linii comandă'!$B$5:$B$1004,B171,'Linii comandă'!$L$5:$L$1004))</f>
        <v/>
      </c>
      <c r="P171" s="14" t="str">
        <f t="shared" si="4"/>
        <v/>
      </c>
      <c r="Q171" s="15" t="str">
        <f>IF(OR(B171="",COUNTIF('Linii comandă'!$B$5:$B$1004,B171)=0),"",IF(SUMIF('Linii comandă'!$B$5:$B$1004,B171,'Linii comandă'!$N$5:$N$1004)&lt;=0,"Completă",IF(SUMIF('Linii comandă'!$B$5:$B$1004,B171,'Linii comandă'!$M$5:$M$1004)&gt;0,"Parțială","Nelivrată")))</f>
        <v/>
      </c>
      <c r="R171" s="10"/>
      <c r="S171" s="15" t="str">
        <f t="shared" ca="1" si="5"/>
        <v/>
      </c>
      <c r="T171" s="16" t="str">
        <f ca="1">IF(AND(B171="",D171=""),"",IF(S171="Anulată","",TRIM(IF(COUNTIF($B$5:$B$304,B171)&gt;1,"Număr dublat. ","")&amp;IF(OR(C171="",D171="",H171="",J171="",K171=""),"Date incomplete. ","")&amp;IF(COUNTIF('Linii comandă'!$B$5:$B$1004,B171)=0,"Nicio linie de comandă. ","")&amp;IF(AND(L171&lt;&gt;"Da",C171&lt;&gt;"",TODAY()-C171&gt;ZileConf),"Neconfirmată de "&amp;(TODAY()-C171)&amp;" zile. ","")&amp;IF(S171="Întârziată","Termenul de livrare a trecut: "&amp;RIGHT("0"&amp;DAY(J171),2)&amp;"."&amp;RIGHT("0"&amp;MONTH(J171),2)&amp;"."&amp;YEAR(J171)&amp;". ","")&amp;IF(S171="Livrată – de facturat","Emite factura. ",""))))</f>
        <v/>
      </c>
    </row>
    <row r="172" spans="2:20" x14ac:dyDescent="0.2">
      <c r="B172" s="10" t="str">
        <f>IF(D172="","",MAX($B$5:B171)+1)</f>
        <v/>
      </c>
      <c r="C172" s="11"/>
      <c r="D172" s="12"/>
      <c r="E172" s="12"/>
      <c r="F172" s="12"/>
      <c r="G172" s="12"/>
      <c r="H172" s="12"/>
      <c r="I172" s="10"/>
      <c r="J172" s="11"/>
      <c r="K172" s="13"/>
      <c r="L172" s="10"/>
      <c r="M172" s="11"/>
      <c r="N172" s="14" t="str">
        <f>IF(B172="","",SUMIF('Linii comandă'!$B$5:$B$1004,B172,'Linii comandă'!$K$5:$K$1004))</f>
        <v/>
      </c>
      <c r="O172" s="14" t="str">
        <f>IF(B172="","",SUMIF('Linii comandă'!$B$5:$B$1004,B172,'Linii comandă'!$L$5:$L$1004))</f>
        <v/>
      </c>
      <c r="P172" s="14" t="str">
        <f t="shared" si="4"/>
        <v/>
      </c>
      <c r="Q172" s="15" t="str">
        <f>IF(OR(B172="",COUNTIF('Linii comandă'!$B$5:$B$1004,B172)=0),"",IF(SUMIF('Linii comandă'!$B$5:$B$1004,B172,'Linii comandă'!$N$5:$N$1004)&lt;=0,"Completă",IF(SUMIF('Linii comandă'!$B$5:$B$1004,B172,'Linii comandă'!$M$5:$M$1004)&gt;0,"Parțială","Nelivrată")))</f>
        <v/>
      </c>
      <c r="R172" s="10"/>
      <c r="S172" s="15" t="str">
        <f t="shared" ca="1" si="5"/>
        <v/>
      </c>
      <c r="T172" s="16" t="str">
        <f ca="1">IF(AND(B172="",D172=""),"",IF(S172="Anulată","",TRIM(IF(COUNTIF($B$5:$B$304,B172)&gt;1,"Număr dublat. ","")&amp;IF(OR(C172="",D172="",H172="",J172="",K172=""),"Date incomplete. ","")&amp;IF(COUNTIF('Linii comandă'!$B$5:$B$1004,B172)=0,"Nicio linie de comandă. ","")&amp;IF(AND(L172&lt;&gt;"Da",C172&lt;&gt;"",TODAY()-C172&gt;ZileConf),"Neconfirmată de "&amp;(TODAY()-C172)&amp;" zile. ","")&amp;IF(S172="Întârziată","Termenul de livrare a trecut: "&amp;RIGHT("0"&amp;DAY(J172),2)&amp;"."&amp;RIGHT("0"&amp;MONTH(J172),2)&amp;"."&amp;YEAR(J172)&amp;". ","")&amp;IF(S172="Livrată – de facturat","Emite factura. ",""))))</f>
        <v/>
      </c>
    </row>
    <row r="173" spans="2:20" x14ac:dyDescent="0.2">
      <c r="B173" s="10" t="str">
        <f>IF(D173="","",MAX($B$5:B172)+1)</f>
        <v/>
      </c>
      <c r="C173" s="11"/>
      <c r="D173" s="12"/>
      <c r="E173" s="12"/>
      <c r="F173" s="12"/>
      <c r="G173" s="12"/>
      <c r="H173" s="12"/>
      <c r="I173" s="10"/>
      <c r="J173" s="11"/>
      <c r="K173" s="13"/>
      <c r="L173" s="10"/>
      <c r="M173" s="11"/>
      <c r="N173" s="14" t="str">
        <f>IF(B173="","",SUMIF('Linii comandă'!$B$5:$B$1004,B173,'Linii comandă'!$K$5:$K$1004))</f>
        <v/>
      </c>
      <c r="O173" s="14" t="str">
        <f>IF(B173="","",SUMIF('Linii comandă'!$B$5:$B$1004,B173,'Linii comandă'!$L$5:$L$1004))</f>
        <v/>
      </c>
      <c r="P173" s="14" t="str">
        <f t="shared" si="4"/>
        <v/>
      </c>
      <c r="Q173" s="15" t="str">
        <f>IF(OR(B173="",COUNTIF('Linii comandă'!$B$5:$B$1004,B173)=0),"",IF(SUMIF('Linii comandă'!$B$5:$B$1004,B173,'Linii comandă'!$N$5:$N$1004)&lt;=0,"Completă",IF(SUMIF('Linii comandă'!$B$5:$B$1004,B173,'Linii comandă'!$M$5:$M$1004)&gt;0,"Parțială","Nelivrată")))</f>
        <v/>
      </c>
      <c r="R173" s="10"/>
      <c r="S173" s="15" t="str">
        <f t="shared" ca="1" si="5"/>
        <v/>
      </c>
      <c r="T173" s="16" t="str">
        <f ca="1">IF(AND(B173="",D173=""),"",IF(S173="Anulată","",TRIM(IF(COUNTIF($B$5:$B$304,B173)&gt;1,"Număr dublat. ","")&amp;IF(OR(C173="",D173="",H173="",J173="",K173=""),"Date incomplete. ","")&amp;IF(COUNTIF('Linii comandă'!$B$5:$B$1004,B173)=0,"Nicio linie de comandă. ","")&amp;IF(AND(L173&lt;&gt;"Da",C173&lt;&gt;"",TODAY()-C173&gt;ZileConf),"Neconfirmată de "&amp;(TODAY()-C173)&amp;" zile. ","")&amp;IF(S173="Întârziată","Termenul de livrare a trecut: "&amp;RIGHT("0"&amp;DAY(J173),2)&amp;"."&amp;RIGHT("0"&amp;MONTH(J173),2)&amp;"."&amp;YEAR(J173)&amp;". ","")&amp;IF(S173="Livrată – de facturat","Emite factura. ",""))))</f>
        <v/>
      </c>
    </row>
    <row r="174" spans="2:20" x14ac:dyDescent="0.2">
      <c r="B174" s="10" t="str">
        <f>IF(D174="","",MAX($B$5:B173)+1)</f>
        <v/>
      </c>
      <c r="C174" s="11"/>
      <c r="D174" s="12"/>
      <c r="E174" s="12"/>
      <c r="F174" s="12"/>
      <c r="G174" s="12"/>
      <c r="H174" s="12"/>
      <c r="I174" s="10"/>
      <c r="J174" s="11"/>
      <c r="K174" s="13"/>
      <c r="L174" s="10"/>
      <c r="M174" s="11"/>
      <c r="N174" s="14" t="str">
        <f>IF(B174="","",SUMIF('Linii comandă'!$B$5:$B$1004,B174,'Linii comandă'!$K$5:$K$1004))</f>
        <v/>
      </c>
      <c r="O174" s="14" t="str">
        <f>IF(B174="","",SUMIF('Linii comandă'!$B$5:$B$1004,B174,'Linii comandă'!$L$5:$L$1004))</f>
        <v/>
      </c>
      <c r="P174" s="14" t="str">
        <f t="shared" si="4"/>
        <v/>
      </c>
      <c r="Q174" s="15" t="str">
        <f>IF(OR(B174="",COUNTIF('Linii comandă'!$B$5:$B$1004,B174)=0),"",IF(SUMIF('Linii comandă'!$B$5:$B$1004,B174,'Linii comandă'!$N$5:$N$1004)&lt;=0,"Completă",IF(SUMIF('Linii comandă'!$B$5:$B$1004,B174,'Linii comandă'!$M$5:$M$1004)&gt;0,"Parțială","Nelivrată")))</f>
        <v/>
      </c>
      <c r="R174" s="10"/>
      <c r="S174" s="15" t="str">
        <f t="shared" ca="1" si="5"/>
        <v/>
      </c>
      <c r="T174" s="16" t="str">
        <f ca="1">IF(AND(B174="",D174=""),"",IF(S174="Anulată","",TRIM(IF(COUNTIF($B$5:$B$304,B174)&gt;1,"Număr dublat. ","")&amp;IF(OR(C174="",D174="",H174="",J174="",K174=""),"Date incomplete. ","")&amp;IF(COUNTIF('Linii comandă'!$B$5:$B$1004,B174)=0,"Nicio linie de comandă. ","")&amp;IF(AND(L174&lt;&gt;"Da",C174&lt;&gt;"",TODAY()-C174&gt;ZileConf),"Neconfirmată de "&amp;(TODAY()-C174)&amp;" zile. ","")&amp;IF(S174="Întârziată","Termenul de livrare a trecut: "&amp;RIGHT("0"&amp;DAY(J174),2)&amp;"."&amp;RIGHT("0"&amp;MONTH(J174),2)&amp;"."&amp;YEAR(J174)&amp;". ","")&amp;IF(S174="Livrată – de facturat","Emite factura. ",""))))</f>
        <v/>
      </c>
    </row>
    <row r="175" spans="2:20" x14ac:dyDescent="0.2">
      <c r="B175" s="10" t="str">
        <f>IF(D175="","",MAX($B$5:B174)+1)</f>
        <v/>
      </c>
      <c r="C175" s="11"/>
      <c r="D175" s="12"/>
      <c r="E175" s="12"/>
      <c r="F175" s="12"/>
      <c r="G175" s="12"/>
      <c r="H175" s="12"/>
      <c r="I175" s="10"/>
      <c r="J175" s="11"/>
      <c r="K175" s="13"/>
      <c r="L175" s="10"/>
      <c r="M175" s="11"/>
      <c r="N175" s="14" t="str">
        <f>IF(B175="","",SUMIF('Linii comandă'!$B$5:$B$1004,B175,'Linii comandă'!$K$5:$K$1004))</f>
        <v/>
      </c>
      <c r="O175" s="14" t="str">
        <f>IF(B175="","",SUMIF('Linii comandă'!$B$5:$B$1004,B175,'Linii comandă'!$L$5:$L$1004))</f>
        <v/>
      </c>
      <c r="P175" s="14" t="str">
        <f t="shared" si="4"/>
        <v/>
      </c>
      <c r="Q175" s="15" t="str">
        <f>IF(OR(B175="",COUNTIF('Linii comandă'!$B$5:$B$1004,B175)=0),"",IF(SUMIF('Linii comandă'!$B$5:$B$1004,B175,'Linii comandă'!$N$5:$N$1004)&lt;=0,"Completă",IF(SUMIF('Linii comandă'!$B$5:$B$1004,B175,'Linii comandă'!$M$5:$M$1004)&gt;0,"Parțială","Nelivrată")))</f>
        <v/>
      </c>
      <c r="R175" s="10"/>
      <c r="S175" s="15" t="str">
        <f t="shared" ca="1" si="5"/>
        <v/>
      </c>
      <c r="T175" s="16" t="str">
        <f ca="1">IF(AND(B175="",D175=""),"",IF(S175="Anulată","",TRIM(IF(COUNTIF($B$5:$B$304,B175)&gt;1,"Număr dublat. ","")&amp;IF(OR(C175="",D175="",H175="",J175="",K175=""),"Date incomplete. ","")&amp;IF(COUNTIF('Linii comandă'!$B$5:$B$1004,B175)=0,"Nicio linie de comandă. ","")&amp;IF(AND(L175&lt;&gt;"Da",C175&lt;&gt;"",TODAY()-C175&gt;ZileConf),"Neconfirmată de "&amp;(TODAY()-C175)&amp;" zile. ","")&amp;IF(S175="Întârziată","Termenul de livrare a trecut: "&amp;RIGHT("0"&amp;DAY(J175),2)&amp;"."&amp;RIGHT("0"&amp;MONTH(J175),2)&amp;"."&amp;YEAR(J175)&amp;". ","")&amp;IF(S175="Livrată – de facturat","Emite factura. ",""))))</f>
        <v/>
      </c>
    </row>
    <row r="176" spans="2:20" x14ac:dyDescent="0.2">
      <c r="B176" s="10" t="str">
        <f>IF(D176="","",MAX($B$5:B175)+1)</f>
        <v/>
      </c>
      <c r="C176" s="11"/>
      <c r="D176" s="12"/>
      <c r="E176" s="12"/>
      <c r="F176" s="12"/>
      <c r="G176" s="12"/>
      <c r="H176" s="12"/>
      <c r="I176" s="10"/>
      <c r="J176" s="11"/>
      <c r="K176" s="13"/>
      <c r="L176" s="10"/>
      <c r="M176" s="11"/>
      <c r="N176" s="14" t="str">
        <f>IF(B176="","",SUMIF('Linii comandă'!$B$5:$B$1004,B176,'Linii comandă'!$K$5:$K$1004))</f>
        <v/>
      </c>
      <c r="O176" s="14" t="str">
        <f>IF(B176="","",SUMIF('Linii comandă'!$B$5:$B$1004,B176,'Linii comandă'!$L$5:$L$1004))</f>
        <v/>
      </c>
      <c r="P176" s="14" t="str">
        <f t="shared" si="4"/>
        <v/>
      </c>
      <c r="Q176" s="15" t="str">
        <f>IF(OR(B176="",COUNTIF('Linii comandă'!$B$5:$B$1004,B176)=0),"",IF(SUMIF('Linii comandă'!$B$5:$B$1004,B176,'Linii comandă'!$N$5:$N$1004)&lt;=0,"Completă",IF(SUMIF('Linii comandă'!$B$5:$B$1004,B176,'Linii comandă'!$M$5:$M$1004)&gt;0,"Parțială","Nelivrată")))</f>
        <v/>
      </c>
      <c r="R176" s="10"/>
      <c r="S176" s="15" t="str">
        <f t="shared" ca="1" si="5"/>
        <v/>
      </c>
      <c r="T176" s="16" t="str">
        <f ca="1">IF(AND(B176="",D176=""),"",IF(S176="Anulată","",TRIM(IF(COUNTIF($B$5:$B$304,B176)&gt;1,"Număr dublat. ","")&amp;IF(OR(C176="",D176="",H176="",J176="",K176=""),"Date incomplete. ","")&amp;IF(COUNTIF('Linii comandă'!$B$5:$B$1004,B176)=0,"Nicio linie de comandă. ","")&amp;IF(AND(L176&lt;&gt;"Da",C176&lt;&gt;"",TODAY()-C176&gt;ZileConf),"Neconfirmată de "&amp;(TODAY()-C176)&amp;" zile. ","")&amp;IF(S176="Întârziată","Termenul de livrare a trecut: "&amp;RIGHT("0"&amp;DAY(J176),2)&amp;"."&amp;RIGHT("0"&amp;MONTH(J176),2)&amp;"."&amp;YEAR(J176)&amp;". ","")&amp;IF(S176="Livrată – de facturat","Emite factura. ",""))))</f>
        <v/>
      </c>
    </row>
    <row r="177" spans="2:20" x14ac:dyDescent="0.2">
      <c r="B177" s="10" t="str">
        <f>IF(D177="","",MAX($B$5:B176)+1)</f>
        <v/>
      </c>
      <c r="C177" s="11"/>
      <c r="D177" s="12"/>
      <c r="E177" s="12"/>
      <c r="F177" s="12"/>
      <c r="G177" s="12"/>
      <c r="H177" s="12"/>
      <c r="I177" s="10"/>
      <c r="J177" s="11"/>
      <c r="K177" s="13"/>
      <c r="L177" s="10"/>
      <c r="M177" s="11"/>
      <c r="N177" s="14" t="str">
        <f>IF(B177="","",SUMIF('Linii comandă'!$B$5:$B$1004,B177,'Linii comandă'!$K$5:$K$1004))</f>
        <v/>
      </c>
      <c r="O177" s="14" t="str">
        <f>IF(B177="","",SUMIF('Linii comandă'!$B$5:$B$1004,B177,'Linii comandă'!$L$5:$L$1004))</f>
        <v/>
      </c>
      <c r="P177" s="14" t="str">
        <f t="shared" si="4"/>
        <v/>
      </c>
      <c r="Q177" s="15" t="str">
        <f>IF(OR(B177="",COUNTIF('Linii comandă'!$B$5:$B$1004,B177)=0),"",IF(SUMIF('Linii comandă'!$B$5:$B$1004,B177,'Linii comandă'!$N$5:$N$1004)&lt;=0,"Completă",IF(SUMIF('Linii comandă'!$B$5:$B$1004,B177,'Linii comandă'!$M$5:$M$1004)&gt;0,"Parțială","Nelivrată")))</f>
        <v/>
      </c>
      <c r="R177" s="10"/>
      <c r="S177" s="15" t="str">
        <f t="shared" ca="1" si="5"/>
        <v/>
      </c>
      <c r="T177" s="16" t="str">
        <f ca="1">IF(AND(B177="",D177=""),"",IF(S177="Anulată","",TRIM(IF(COUNTIF($B$5:$B$304,B177)&gt;1,"Număr dublat. ","")&amp;IF(OR(C177="",D177="",H177="",J177="",K177=""),"Date incomplete. ","")&amp;IF(COUNTIF('Linii comandă'!$B$5:$B$1004,B177)=0,"Nicio linie de comandă. ","")&amp;IF(AND(L177&lt;&gt;"Da",C177&lt;&gt;"",TODAY()-C177&gt;ZileConf),"Neconfirmată de "&amp;(TODAY()-C177)&amp;" zile. ","")&amp;IF(S177="Întârziată","Termenul de livrare a trecut: "&amp;RIGHT("0"&amp;DAY(J177),2)&amp;"."&amp;RIGHT("0"&amp;MONTH(J177),2)&amp;"."&amp;YEAR(J177)&amp;". ","")&amp;IF(S177="Livrată – de facturat","Emite factura. ",""))))</f>
        <v/>
      </c>
    </row>
    <row r="178" spans="2:20" x14ac:dyDescent="0.2">
      <c r="B178" s="10" t="str">
        <f>IF(D178="","",MAX($B$5:B177)+1)</f>
        <v/>
      </c>
      <c r="C178" s="11"/>
      <c r="D178" s="12"/>
      <c r="E178" s="12"/>
      <c r="F178" s="12"/>
      <c r="G178" s="12"/>
      <c r="H178" s="12"/>
      <c r="I178" s="10"/>
      <c r="J178" s="11"/>
      <c r="K178" s="13"/>
      <c r="L178" s="10"/>
      <c r="M178" s="11"/>
      <c r="N178" s="14" t="str">
        <f>IF(B178="","",SUMIF('Linii comandă'!$B$5:$B$1004,B178,'Linii comandă'!$K$5:$K$1004))</f>
        <v/>
      </c>
      <c r="O178" s="14" t="str">
        <f>IF(B178="","",SUMIF('Linii comandă'!$B$5:$B$1004,B178,'Linii comandă'!$L$5:$L$1004))</f>
        <v/>
      </c>
      <c r="P178" s="14" t="str">
        <f t="shared" si="4"/>
        <v/>
      </c>
      <c r="Q178" s="15" t="str">
        <f>IF(OR(B178="",COUNTIF('Linii comandă'!$B$5:$B$1004,B178)=0),"",IF(SUMIF('Linii comandă'!$B$5:$B$1004,B178,'Linii comandă'!$N$5:$N$1004)&lt;=0,"Completă",IF(SUMIF('Linii comandă'!$B$5:$B$1004,B178,'Linii comandă'!$M$5:$M$1004)&gt;0,"Parțială","Nelivrată")))</f>
        <v/>
      </c>
      <c r="R178" s="10"/>
      <c r="S178" s="15" t="str">
        <f t="shared" ca="1" si="5"/>
        <v/>
      </c>
      <c r="T178" s="16" t="str">
        <f ca="1">IF(AND(B178="",D178=""),"",IF(S178="Anulată","",TRIM(IF(COUNTIF($B$5:$B$304,B178)&gt;1,"Număr dublat. ","")&amp;IF(OR(C178="",D178="",H178="",J178="",K178=""),"Date incomplete. ","")&amp;IF(COUNTIF('Linii comandă'!$B$5:$B$1004,B178)=0,"Nicio linie de comandă. ","")&amp;IF(AND(L178&lt;&gt;"Da",C178&lt;&gt;"",TODAY()-C178&gt;ZileConf),"Neconfirmată de "&amp;(TODAY()-C178)&amp;" zile. ","")&amp;IF(S178="Întârziată","Termenul de livrare a trecut: "&amp;RIGHT("0"&amp;DAY(J178),2)&amp;"."&amp;RIGHT("0"&amp;MONTH(J178),2)&amp;"."&amp;YEAR(J178)&amp;". ","")&amp;IF(S178="Livrată – de facturat","Emite factura. ",""))))</f>
        <v/>
      </c>
    </row>
    <row r="179" spans="2:20" x14ac:dyDescent="0.2">
      <c r="B179" s="10" t="str">
        <f>IF(D179="","",MAX($B$5:B178)+1)</f>
        <v/>
      </c>
      <c r="C179" s="11"/>
      <c r="D179" s="12"/>
      <c r="E179" s="12"/>
      <c r="F179" s="12"/>
      <c r="G179" s="12"/>
      <c r="H179" s="12"/>
      <c r="I179" s="10"/>
      <c r="J179" s="11"/>
      <c r="K179" s="13"/>
      <c r="L179" s="10"/>
      <c r="M179" s="11"/>
      <c r="N179" s="14" t="str">
        <f>IF(B179="","",SUMIF('Linii comandă'!$B$5:$B$1004,B179,'Linii comandă'!$K$5:$K$1004))</f>
        <v/>
      </c>
      <c r="O179" s="14" t="str">
        <f>IF(B179="","",SUMIF('Linii comandă'!$B$5:$B$1004,B179,'Linii comandă'!$L$5:$L$1004))</f>
        <v/>
      </c>
      <c r="P179" s="14" t="str">
        <f t="shared" si="4"/>
        <v/>
      </c>
      <c r="Q179" s="15" t="str">
        <f>IF(OR(B179="",COUNTIF('Linii comandă'!$B$5:$B$1004,B179)=0),"",IF(SUMIF('Linii comandă'!$B$5:$B$1004,B179,'Linii comandă'!$N$5:$N$1004)&lt;=0,"Completă",IF(SUMIF('Linii comandă'!$B$5:$B$1004,B179,'Linii comandă'!$M$5:$M$1004)&gt;0,"Parțială","Nelivrată")))</f>
        <v/>
      </c>
      <c r="R179" s="10"/>
      <c r="S179" s="15" t="str">
        <f t="shared" ca="1" si="5"/>
        <v/>
      </c>
      <c r="T179" s="16" t="str">
        <f ca="1">IF(AND(B179="",D179=""),"",IF(S179="Anulată","",TRIM(IF(COUNTIF($B$5:$B$304,B179)&gt;1,"Număr dublat. ","")&amp;IF(OR(C179="",D179="",H179="",J179="",K179=""),"Date incomplete. ","")&amp;IF(COUNTIF('Linii comandă'!$B$5:$B$1004,B179)=0,"Nicio linie de comandă. ","")&amp;IF(AND(L179&lt;&gt;"Da",C179&lt;&gt;"",TODAY()-C179&gt;ZileConf),"Neconfirmată de "&amp;(TODAY()-C179)&amp;" zile. ","")&amp;IF(S179="Întârziată","Termenul de livrare a trecut: "&amp;RIGHT("0"&amp;DAY(J179),2)&amp;"."&amp;RIGHT("0"&amp;MONTH(J179),2)&amp;"."&amp;YEAR(J179)&amp;". ","")&amp;IF(S179="Livrată – de facturat","Emite factura. ",""))))</f>
        <v/>
      </c>
    </row>
    <row r="180" spans="2:20" x14ac:dyDescent="0.2">
      <c r="B180" s="10" t="str">
        <f>IF(D180="","",MAX($B$5:B179)+1)</f>
        <v/>
      </c>
      <c r="C180" s="11"/>
      <c r="D180" s="12"/>
      <c r="E180" s="12"/>
      <c r="F180" s="12"/>
      <c r="G180" s="12"/>
      <c r="H180" s="12"/>
      <c r="I180" s="10"/>
      <c r="J180" s="11"/>
      <c r="K180" s="13"/>
      <c r="L180" s="10"/>
      <c r="M180" s="11"/>
      <c r="N180" s="14" t="str">
        <f>IF(B180="","",SUMIF('Linii comandă'!$B$5:$B$1004,B180,'Linii comandă'!$K$5:$K$1004))</f>
        <v/>
      </c>
      <c r="O180" s="14" t="str">
        <f>IF(B180="","",SUMIF('Linii comandă'!$B$5:$B$1004,B180,'Linii comandă'!$L$5:$L$1004))</f>
        <v/>
      </c>
      <c r="P180" s="14" t="str">
        <f t="shared" si="4"/>
        <v/>
      </c>
      <c r="Q180" s="15" t="str">
        <f>IF(OR(B180="",COUNTIF('Linii comandă'!$B$5:$B$1004,B180)=0),"",IF(SUMIF('Linii comandă'!$B$5:$B$1004,B180,'Linii comandă'!$N$5:$N$1004)&lt;=0,"Completă",IF(SUMIF('Linii comandă'!$B$5:$B$1004,B180,'Linii comandă'!$M$5:$M$1004)&gt;0,"Parțială","Nelivrată")))</f>
        <v/>
      </c>
      <c r="R180" s="10"/>
      <c r="S180" s="15" t="str">
        <f t="shared" ca="1" si="5"/>
        <v/>
      </c>
      <c r="T180" s="16" t="str">
        <f ca="1">IF(AND(B180="",D180=""),"",IF(S180="Anulată","",TRIM(IF(COUNTIF($B$5:$B$304,B180)&gt;1,"Număr dublat. ","")&amp;IF(OR(C180="",D180="",H180="",J180="",K180=""),"Date incomplete. ","")&amp;IF(COUNTIF('Linii comandă'!$B$5:$B$1004,B180)=0,"Nicio linie de comandă. ","")&amp;IF(AND(L180&lt;&gt;"Da",C180&lt;&gt;"",TODAY()-C180&gt;ZileConf),"Neconfirmată de "&amp;(TODAY()-C180)&amp;" zile. ","")&amp;IF(S180="Întârziată","Termenul de livrare a trecut: "&amp;RIGHT("0"&amp;DAY(J180),2)&amp;"."&amp;RIGHT("0"&amp;MONTH(J180),2)&amp;"."&amp;YEAR(J180)&amp;". ","")&amp;IF(S180="Livrată – de facturat","Emite factura. ",""))))</f>
        <v/>
      </c>
    </row>
    <row r="181" spans="2:20" x14ac:dyDescent="0.2">
      <c r="B181" s="10" t="str">
        <f>IF(D181="","",MAX($B$5:B180)+1)</f>
        <v/>
      </c>
      <c r="C181" s="11"/>
      <c r="D181" s="12"/>
      <c r="E181" s="12"/>
      <c r="F181" s="12"/>
      <c r="G181" s="12"/>
      <c r="H181" s="12"/>
      <c r="I181" s="10"/>
      <c r="J181" s="11"/>
      <c r="K181" s="13"/>
      <c r="L181" s="10"/>
      <c r="M181" s="11"/>
      <c r="N181" s="14" t="str">
        <f>IF(B181="","",SUMIF('Linii comandă'!$B$5:$B$1004,B181,'Linii comandă'!$K$5:$K$1004))</f>
        <v/>
      </c>
      <c r="O181" s="14" t="str">
        <f>IF(B181="","",SUMIF('Linii comandă'!$B$5:$B$1004,B181,'Linii comandă'!$L$5:$L$1004))</f>
        <v/>
      </c>
      <c r="P181" s="14" t="str">
        <f t="shared" si="4"/>
        <v/>
      </c>
      <c r="Q181" s="15" t="str">
        <f>IF(OR(B181="",COUNTIF('Linii comandă'!$B$5:$B$1004,B181)=0),"",IF(SUMIF('Linii comandă'!$B$5:$B$1004,B181,'Linii comandă'!$N$5:$N$1004)&lt;=0,"Completă",IF(SUMIF('Linii comandă'!$B$5:$B$1004,B181,'Linii comandă'!$M$5:$M$1004)&gt;0,"Parțială","Nelivrată")))</f>
        <v/>
      </c>
      <c r="R181" s="10"/>
      <c r="S181" s="15" t="str">
        <f t="shared" ca="1" si="5"/>
        <v/>
      </c>
      <c r="T181" s="16" t="str">
        <f ca="1">IF(AND(B181="",D181=""),"",IF(S181="Anulată","",TRIM(IF(COUNTIF($B$5:$B$304,B181)&gt;1,"Număr dublat. ","")&amp;IF(OR(C181="",D181="",H181="",J181="",K181=""),"Date incomplete. ","")&amp;IF(COUNTIF('Linii comandă'!$B$5:$B$1004,B181)=0,"Nicio linie de comandă. ","")&amp;IF(AND(L181&lt;&gt;"Da",C181&lt;&gt;"",TODAY()-C181&gt;ZileConf),"Neconfirmată de "&amp;(TODAY()-C181)&amp;" zile. ","")&amp;IF(S181="Întârziată","Termenul de livrare a trecut: "&amp;RIGHT("0"&amp;DAY(J181),2)&amp;"."&amp;RIGHT("0"&amp;MONTH(J181),2)&amp;"."&amp;YEAR(J181)&amp;". ","")&amp;IF(S181="Livrată – de facturat","Emite factura. ",""))))</f>
        <v/>
      </c>
    </row>
    <row r="182" spans="2:20" x14ac:dyDescent="0.2">
      <c r="B182" s="10" t="str">
        <f>IF(D182="","",MAX($B$5:B181)+1)</f>
        <v/>
      </c>
      <c r="C182" s="11"/>
      <c r="D182" s="12"/>
      <c r="E182" s="12"/>
      <c r="F182" s="12"/>
      <c r="G182" s="12"/>
      <c r="H182" s="12"/>
      <c r="I182" s="10"/>
      <c r="J182" s="11"/>
      <c r="K182" s="13"/>
      <c r="L182" s="10"/>
      <c r="M182" s="11"/>
      <c r="N182" s="14" t="str">
        <f>IF(B182="","",SUMIF('Linii comandă'!$B$5:$B$1004,B182,'Linii comandă'!$K$5:$K$1004))</f>
        <v/>
      </c>
      <c r="O182" s="14" t="str">
        <f>IF(B182="","",SUMIF('Linii comandă'!$B$5:$B$1004,B182,'Linii comandă'!$L$5:$L$1004))</f>
        <v/>
      </c>
      <c r="P182" s="14" t="str">
        <f t="shared" si="4"/>
        <v/>
      </c>
      <c r="Q182" s="15" t="str">
        <f>IF(OR(B182="",COUNTIF('Linii comandă'!$B$5:$B$1004,B182)=0),"",IF(SUMIF('Linii comandă'!$B$5:$B$1004,B182,'Linii comandă'!$N$5:$N$1004)&lt;=0,"Completă",IF(SUMIF('Linii comandă'!$B$5:$B$1004,B182,'Linii comandă'!$M$5:$M$1004)&gt;0,"Parțială","Nelivrată")))</f>
        <v/>
      </c>
      <c r="R182" s="10"/>
      <c r="S182" s="15" t="str">
        <f t="shared" ca="1" si="5"/>
        <v/>
      </c>
      <c r="T182" s="16" t="str">
        <f ca="1">IF(AND(B182="",D182=""),"",IF(S182="Anulată","",TRIM(IF(COUNTIF($B$5:$B$304,B182)&gt;1,"Număr dublat. ","")&amp;IF(OR(C182="",D182="",H182="",J182="",K182=""),"Date incomplete. ","")&amp;IF(COUNTIF('Linii comandă'!$B$5:$B$1004,B182)=0,"Nicio linie de comandă. ","")&amp;IF(AND(L182&lt;&gt;"Da",C182&lt;&gt;"",TODAY()-C182&gt;ZileConf),"Neconfirmată de "&amp;(TODAY()-C182)&amp;" zile. ","")&amp;IF(S182="Întârziată","Termenul de livrare a trecut: "&amp;RIGHT("0"&amp;DAY(J182),2)&amp;"."&amp;RIGHT("0"&amp;MONTH(J182),2)&amp;"."&amp;YEAR(J182)&amp;". ","")&amp;IF(S182="Livrată – de facturat","Emite factura. ",""))))</f>
        <v/>
      </c>
    </row>
    <row r="183" spans="2:20" x14ac:dyDescent="0.2">
      <c r="B183" s="10" t="str">
        <f>IF(D183="","",MAX($B$5:B182)+1)</f>
        <v/>
      </c>
      <c r="C183" s="11"/>
      <c r="D183" s="12"/>
      <c r="E183" s="12"/>
      <c r="F183" s="12"/>
      <c r="G183" s="12"/>
      <c r="H183" s="12"/>
      <c r="I183" s="10"/>
      <c r="J183" s="11"/>
      <c r="K183" s="13"/>
      <c r="L183" s="10"/>
      <c r="M183" s="11"/>
      <c r="N183" s="14" t="str">
        <f>IF(B183="","",SUMIF('Linii comandă'!$B$5:$B$1004,B183,'Linii comandă'!$K$5:$K$1004))</f>
        <v/>
      </c>
      <c r="O183" s="14" t="str">
        <f>IF(B183="","",SUMIF('Linii comandă'!$B$5:$B$1004,B183,'Linii comandă'!$L$5:$L$1004))</f>
        <v/>
      </c>
      <c r="P183" s="14" t="str">
        <f t="shared" si="4"/>
        <v/>
      </c>
      <c r="Q183" s="15" t="str">
        <f>IF(OR(B183="",COUNTIF('Linii comandă'!$B$5:$B$1004,B183)=0),"",IF(SUMIF('Linii comandă'!$B$5:$B$1004,B183,'Linii comandă'!$N$5:$N$1004)&lt;=0,"Completă",IF(SUMIF('Linii comandă'!$B$5:$B$1004,B183,'Linii comandă'!$M$5:$M$1004)&gt;0,"Parțială","Nelivrată")))</f>
        <v/>
      </c>
      <c r="R183" s="10"/>
      <c r="S183" s="15" t="str">
        <f t="shared" ca="1" si="5"/>
        <v/>
      </c>
      <c r="T183" s="16" t="str">
        <f ca="1">IF(AND(B183="",D183=""),"",IF(S183="Anulată","",TRIM(IF(COUNTIF($B$5:$B$304,B183)&gt;1,"Număr dublat. ","")&amp;IF(OR(C183="",D183="",H183="",J183="",K183=""),"Date incomplete. ","")&amp;IF(COUNTIF('Linii comandă'!$B$5:$B$1004,B183)=0,"Nicio linie de comandă. ","")&amp;IF(AND(L183&lt;&gt;"Da",C183&lt;&gt;"",TODAY()-C183&gt;ZileConf),"Neconfirmată de "&amp;(TODAY()-C183)&amp;" zile. ","")&amp;IF(S183="Întârziată","Termenul de livrare a trecut: "&amp;RIGHT("0"&amp;DAY(J183),2)&amp;"."&amp;RIGHT("0"&amp;MONTH(J183),2)&amp;"."&amp;YEAR(J183)&amp;". ","")&amp;IF(S183="Livrată – de facturat","Emite factura. ",""))))</f>
        <v/>
      </c>
    </row>
    <row r="184" spans="2:20" x14ac:dyDescent="0.2">
      <c r="B184" s="10" t="str">
        <f>IF(D184="","",MAX($B$5:B183)+1)</f>
        <v/>
      </c>
      <c r="C184" s="11"/>
      <c r="D184" s="12"/>
      <c r="E184" s="12"/>
      <c r="F184" s="12"/>
      <c r="G184" s="12"/>
      <c r="H184" s="12"/>
      <c r="I184" s="10"/>
      <c r="J184" s="11"/>
      <c r="K184" s="13"/>
      <c r="L184" s="10"/>
      <c r="M184" s="11"/>
      <c r="N184" s="14" t="str">
        <f>IF(B184="","",SUMIF('Linii comandă'!$B$5:$B$1004,B184,'Linii comandă'!$K$5:$K$1004))</f>
        <v/>
      </c>
      <c r="O184" s="14" t="str">
        <f>IF(B184="","",SUMIF('Linii comandă'!$B$5:$B$1004,B184,'Linii comandă'!$L$5:$L$1004))</f>
        <v/>
      </c>
      <c r="P184" s="14" t="str">
        <f t="shared" si="4"/>
        <v/>
      </c>
      <c r="Q184" s="15" t="str">
        <f>IF(OR(B184="",COUNTIF('Linii comandă'!$B$5:$B$1004,B184)=0),"",IF(SUMIF('Linii comandă'!$B$5:$B$1004,B184,'Linii comandă'!$N$5:$N$1004)&lt;=0,"Completă",IF(SUMIF('Linii comandă'!$B$5:$B$1004,B184,'Linii comandă'!$M$5:$M$1004)&gt;0,"Parțială","Nelivrată")))</f>
        <v/>
      </c>
      <c r="R184" s="10"/>
      <c r="S184" s="15" t="str">
        <f t="shared" ca="1" si="5"/>
        <v/>
      </c>
      <c r="T184" s="16" t="str">
        <f ca="1">IF(AND(B184="",D184=""),"",IF(S184="Anulată","",TRIM(IF(COUNTIF($B$5:$B$304,B184)&gt;1,"Număr dublat. ","")&amp;IF(OR(C184="",D184="",H184="",J184="",K184=""),"Date incomplete. ","")&amp;IF(COUNTIF('Linii comandă'!$B$5:$B$1004,B184)=0,"Nicio linie de comandă. ","")&amp;IF(AND(L184&lt;&gt;"Da",C184&lt;&gt;"",TODAY()-C184&gt;ZileConf),"Neconfirmată de "&amp;(TODAY()-C184)&amp;" zile. ","")&amp;IF(S184="Întârziată","Termenul de livrare a trecut: "&amp;RIGHT("0"&amp;DAY(J184),2)&amp;"."&amp;RIGHT("0"&amp;MONTH(J184),2)&amp;"."&amp;YEAR(J184)&amp;". ","")&amp;IF(S184="Livrată – de facturat","Emite factura. ",""))))</f>
        <v/>
      </c>
    </row>
    <row r="185" spans="2:20" x14ac:dyDescent="0.2">
      <c r="B185" s="10" t="str">
        <f>IF(D185="","",MAX($B$5:B184)+1)</f>
        <v/>
      </c>
      <c r="C185" s="11"/>
      <c r="D185" s="12"/>
      <c r="E185" s="12"/>
      <c r="F185" s="12"/>
      <c r="G185" s="12"/>
      <c r="H185" s="12"/>
      <c r="I185" s="10"/>
      <c r="J185" s="11"/>
      <c r="K185" s="13"/>
      <c r="L185" s="10"/>
      <c r="M185" s="11"/>
      <c r="N185" s="14" t="str">
        <f>IF(B185="","",SUMIF('Linii comandă'!$B$5:$B$1004,B185,'Linii comandă'!$K$5:$K$1004))</f>
        <v/>
      </c>
      <c r="O185" s="14" t="str">
        <f>IF(B185="","",SUMIF('Linii comandă'!$B$5:$B$1004,B185,'Linii comandă'!$L$5:$L$1004))</f>
        <v/>
      </c>
      <c r="P185" s="14" t="str">
        <f t="shared" si="4"/>
        <v/>
      </c>
      <c r="Q185" s="15" t="str">
        <f>IF(OR(B185="",COUNTIF('Linii comandă'!$B$5:$B$1004,B185)=0),"",IF(SUMIF('Linii comandă'!$B$5:$B$1004,B185,'Linii comandă'!$N$5:$N$1004)&lt;=0,"Completă",IF(SUMIF('Linii comandă'!$B$5:$B$1004,B185,'Linii comandă'!$M$5:$M$1004)&gt;0,"Parțială","Nelivrată")))</f>
        <v/>
      </c>
      <c r="R185" s="10"/>
      <c r="S185" s="15" t="str">
        <f t="shared" ca="1" si="5"/>
        <v/>
      </c>
      <c r="T185" s="16" t="str">
        <f ca="1">IF(AND(B185="",D185=""),"",IF(S185="Anulată","",TRIM(IF(COUNTIF($B$5:$B$304,B185)&gt;1,"Număr dublat. ","")&amp;IF(OR(C185="",D185="",H185="",J185="",K185=""),"Date incomplete. ","")&amp;IF(COUNTIF('Linii comandă'!$B$5:$B$1004,B185)=0,"Nicio linie de comandă. ","")&amp;IF(AND(L185&lt;&gt;"Da",C185&lt;&gt;"",TODAY()-C185&gt;ZileConf),"Neconfirmată de "&amp;(TODAY()-C185)&amp;" zile. ","")&amp;IF(S185="Întârziată","Termenul de livrare a trecut: "&amp;RIGHT("0"&amp;DAY(J185),2)&amp;"."&amp;RIGHT("0"&amp;MONTH(J185),2)&amp;"."&amp;YEAR(J185)&amp;". ","")&amp;IF(S185="Livrată – de facturat","Emite factura. ",""))))</f>
        <v/>
      </c>
    </row>
    <row r="186" spans="2:20" x14ac:dyDescent="0.2">
      <c r="B186" s="10" t="str">
        <f>IF(D186="","",MAX($B$5:B185)+1)</f>
        <v/>
      </c>
      <c r="C186" s="11"/>
      <c r="D186" s="12"/>
      <c r="E186" s="12"/>
      <c r="F186" s="12"/>
      <c r="G186" s="12"/>
      <c r="H186" s="12"/>
      <c r="I186" s="10"/>
      <c r="J186" s="11"/>
      <c r="K186" s="13"/>
      <c r="L186" s="10"/>
      <c r="M186" s="11"/>
      <c r="N186" s="14" t="str">
        <f>IF(B186="","",SUMIF('Linii comandă'!$B$5:$B$1004,B186,'Linii comandă'!$K$5:$K$1004))</f>
        <v/>
      </c>
      <c r="O186" s="14" t="str">
        <f>IF(B186="","",SUMIF('Linii comandă'!$B$5:$B$1004,B186,'Linii comandă'!$L$5:$L$1004))</f>
        <v/>
      </c>
      <c r="P186" s="14" t="str">
        <f t="shared" si="4"/>
        <v/>
      </c>
      <c r="Q186" s="15" t="str">
        <f>IF(OR(B186="",COUNTIF('Linii comandă'!$B$5:$B$1004,B186)=0),"",IF(SUMIF('Linii comandă'!$B$5:$B$1004,B186,'Linii comandă'!$N$5:$N$1004)&lt;=0,"Completă",IF(SUMIF('Linii comandă'!$B$5:$B$1004,B186,'Linii comandă'!$M$5:$M$1004)&gt;0,"Parțială","Nelivrată")))</f>
        <v/>
      </c>
      <c r="R186" s="10"/>
      <c r="S186" s="15" t="str">
        <f t="shared" ca="1" si="5"/>
        <v/>
      </c>
      <c r="T186" s="16" t="str">
        <f ca="1">IF(AND(B186="",D186=""),"",IF(S186="Anulată","",TRIM(IF(COUNTIF($B$5:$B$304,B186)&gt;1,"Număr dublat. ","")&amp;IF(OR(C186="",D186="",H186="",J186="",K186=""),"Date incomplete. ","")&amp;IF(COUNTIF('Linii comandă'!$B$5:$B$1004,B186)=0,"Nicio linie de comandă. ","")&amp;IF(AND(L186&lt;&gt;"Da",C186&lt;&gt;"",TODAY()-C186&gt;ZileConf),"Neconfirmată de "&amp;(TODAY()-C186)&amp;" zile. ","")&amp;IF(S186="Întârziată","Termenul de livrare a trecut: "&amp;RIGHT("0"&amp;DAY(J186),2)&amp;"."&amp;RIGHT("0"&amp;MONTH(J186),2)&amp;"."&amp;YEAR(J186)&amp;". ","")&amp;IF(S186="Livrată – de facturat","Emite factura. ",""))))</f>
        <v/>
      </c>
    </row>
    <row r="187" spans="2:20" x14ac:dyDescent="0.2">
      <c r="B187" s="10" t="str">
        <f>IF(D187="","",MAX($B$5:B186)+1)</f>
        <v/>
      </c>
      <c r="C187" s="11"/>
      <c r="D187" s="12"/>
      <c r="E187" s="12"/>
      <c r="F187" s="12"/>
      <c r="G187" s="12"/>
      <c r="H187" s="12"/>
      <c r="I187" s="10"/>
      <c r="J187" s="11"/>
      <c r="K187" s="13"/>
      <c r="L187" s="10"/>
      <c r="M187" s="11"/>
      <c r="N187" s="14" t="str">
        <f>IF(B187="","",SUMIF('Linii comandă'!$B$5:$B$1004,B187,'Linii comandă'!$K$5:$K$1004))</f>
        <v/>
      </c>
      <c r="O187" s="14" t="str">
        <f>IF(B187="","",SUMIF('Linii comandă'!$B$5:$B$1004,B187,'Linii comandă'!$L$5:$L$1004))</f>
        <v/>
      </c>
      <c r="P187" s="14" t="str">
        <f t="shared" si="4"/>
        <v/>
      </c>
      <c r="Q187" s="15" t="str">
        <f>IF(OR(B187="",COUNTIF('Linii comandă'!$B$5:$B$1004,B187)=0),"",IF(SUMIF('Linii comandă'!$B$5:$B$1004,B187,'Linii comandă'!$N$5:$N$1004)&lt;=0,"Completă",IF(SUMIF('Linii comandă'!$B$5:$B$1004,B187,'Linii comandă'!$M$5:$M$1004)&gt;0,"Parțială","Nelivrată")))</f>
        <v/>
      </c>
      <c r="R187" s="10"/>
      <c r="S187" s="15" t="str">
        <f t="shared" ca="1" si="5"/>
        <v/>
      </c>
      <c r="T187" s="16" t="str">
        <f ca="1">IF(AND(B187="",D187=""),"",IF(S187="Anulată","",TRIM(IF(COUNTIF($B$5:$B$304,B187)&gt;1,"Număr dublat. ","")&amp;IF(OR(C187="",D187="",H187="",J187="",K187=""),"Date incomplete. ","")&amp;IF(COUNTIF('Linii comandă'!$B$5:$B$1004,B187)=0,"Nicio linie de comandă. ","")&amp;IF(AND(L187&lt;&gt;"Da",C187&lt;&gt;"",TODAY()-C187&gt;ZileConf),"Neconfirmată de "&amp;(TODAY()-C187)&amp;" zile. ","")&amp;IF(S187="Întârziată","Termenul de livrare a trecut: "&amp;RIGHT("0"&amp;DAY(J187),2)&amp;"."&amp;RIGHT("0"&amp;MONTH(J187),2)&amp;"."&amp;YEAR(J187)&amp;". ","")&amp;IF(S187="Livrată – de facturat","Emite factura. ",""))))</f>
        <v/>
      </c>
    </row>
    <row r="188" spans="2:20" x14ac:dyDescent="0.2">
      <c r="B188" s="10" t="str">
        <f>IF(D188="","",MAX($B$5:B187)+1)</f>
        <v/>
      </c>
      <c r="C188" s="11"/>
      <c r="D188" s="12"/>
      <c r="E188" s="12"/>
      <c r="F188" s="12"/>
      <c r="G188" s="12"/>
      <c r="H188" s="12"/>
      <c r="I188" s="10"/>
      <c r="J188" s="11"/>
      <c r="K188" s="13"/>
      <c r="L188" s="10"/>
      <c r="M188" s="11"/>
      <c r="N188" s="14" t="str">
        <f>IF(B188="","",SUMIF('Linii comandă'!$B$5:$B$1004,B188,'Linii comandă'!$K$5:$K$1004))</f>
        <v/>
      </c>
      <c r="O188" s="14" t="str">
        <f>IF(B188="","",SUMIF('Linii comandă'!$B$5:$B$1004,B188,'Linii comandă'!$L$5:$L$1004))</f>
        <v/>
      </c>
      <c r="P188" s="14" t="str">
        <f t="shared" si="4"/>
        <v/>
      </c>
      <c r="Q188" s="15" t="str">
        <f>IF(OR(B188="",COUNTIF('Linii comandă'!$B$5:$B$1004,B188)=0),"",IF(SUMIF('Linii comandă'!$B$5:$B$1004,B188,'Linii comandă'!$N$5:$N$1004)&lt;=0,"Completă",IF(SUMIF('Linii comandă'!$B$5:$B$1004,B188,'Linii comandă'!$M$5:$M$1004)&gt;0,"Parțială","Nelivrată")))</f>
        <v/>
      </c>
      <c r="R188" s="10"/>
      <c r="S188" s="15" t="str">
        <f t="shared" ca="1" si="5"/>
        <v/>
      </c>
      <c r="T188" s="16" t="str">
        <f ca="1">IF(AND(B188="",D188=""),"",IF(S188="Anulată","",TRIM(IF(COUNTIF($B$5:$B$304,B188)&gt;1,"Număr dublat. ","")&amp;IF(OR(C188="",D188="",H188="",J188="",K188=""),"Date incomplete. ","")&amp;IF(COUNTIF('Linii comandă'!$B$5:$B$1004,B188)=0,"Nicio linie de comandă. ","")&amp;IF(AND(L188&lt;&gt;"Da",C188&lt;&gt;"",TODAY()-C188&gt;ZileConf),"Neconfirmată de "&amp;(TODAY()-C188)&amp;" zile. ","")&amp;IF(S188="Întârziată","Termenul de livrare a trecut: "&amp;RIGHT("0"&amp;DAY(J188),2)&amp;"."&amp;RIGHT("0"&amp;MONTH(J188),2)&amp;"."&amp;YEAR(J188)&amp;". ","")&amp;IF(S188="Livrată – de facturat","Emite factura. ",""))))</f>
        <v/>
      </c>
    </row>
    <row r="189" spans="2:20" x14ac:dyDescent="0.2">
      <c r="B189" s="10" t="str">
        <f>IF(D189="","",MAX($B$5:B188)+1)</f>
        <v/>
      </c>
      <c r="C189" s="11"/>
      <c r="D189" s="12"/>
      <c r="E189" s="12"/>
      <c r="F189" s="12"/>
      <c r="G189" s="12"/>
      <c r="H189" s="12"/>
      <c r="I189" s="10"/>
      <c r="J189" s="11"/>
      <c r="K189" s="13"/>
      <c r="L189" s="10"/>
      <c r="M189" s="11"/>
      <c r="N189" s="14" t="str">
        <f>IF(B189="","",SUMIF('Linii comandă'!$B$5:$B$1004,B189,'Linii comandă'!$K$5:$K$1004))</f>
        <v/>
      </c>
      <c r="O189" s="14" t="str">
        <f>IF(B189="","",SUMIF('Linii comandă'!$B$5:$B$1004,B189,'Linii comandă'!$L$5:$L$1004))</f>
        <v/>
      </c>
      <c r="P189" s="14" t="str">
        <f t="shared" si="4"/>
        <v/>
      </c>
      <c r="Q189" s="15" t="str">
        <f>IF(OR(B189="",COUNTIF('Linii comandă'!$B$5:$B$1004,B189)=0),"",IF(SUMIF('Linii comandă'!$B$5:$B$1004,B189,'Linii comandă'!$N$5:$N$1004)&lt;=0,"Completă",IF(SUMIF('Linii comandă'!$B$5:$B$1004,B189,'Linii comandă'!$M$5:$M$1004)&gt;0,"Parțială","Nelivrată")))</f>
        <v/>
      </c>
      <c r="R189" s="10"/>
      <c r="S189" s="15" t="str">
        <f t="shared" ca="1" si="5"/>
        <v/>
      </c>
      <c r="T189" s="16" t="str">
        <f ca="1">IF(AND(B189="",D189=""),"",IF(S189="Anulată","",TRIM(IF(COUNTIF($B$5:$B$304,B189)&gt;1,"Număr dublat. ","")&amp;IF(OR(C189="",D189="",H189="",J189="",K189=""),"Date incomplete. ","")&amp;IF(COUNTIF('Linii comandă'!$B$5:$B$1004,B189)=0,"Nicio linie de comandă. ","")&amp;IF(AND(L189&lt;&gt;"Da",C189&lt;&gt;"",TODAY()-C189&gt;ZileConf),"Neconfirmată de "&amp;(TODAY()-C189)&amp;" zile. ","")&amp;IF(S189="Întârziată","Termenul de livrare a trecut: "&amp;RIGHT("0"&amp;DAY(J189),2)&amp;"."&amp;RIGHT("0"&amp;MONTH(J189),2)&amp;"."&amp;YEAR(J189)&amp;". ","")&amp;IF(S189="Livrată – de facturat","Emite factura. ",""))))</f>
        <v/>
      </c>
    </row>
    <row r="190" spans="2:20" x14ac:dyDescent="0.2">
      <c r="B190" s="10" t="str">
        <f>IF(D190="","",MAX($B$5:B189)+1)</f>
        <v/>
      </c>
      <c r="C190" s="11"/>
      <c r="D190" s="12"/>
      <c r="E190" s="12"/>
      <c r="F190" s="12"/>
      <c r="G190" s="12"/>
      <c r="H190" s="12"/>
      <c r="I190" s="10"/>
      <c r="J190" s="11"/>
      <c r="K190" s="13"/>
      <c r="L190" s="10"/>
      <c r="M190" s="11"/>
      <c r="N190" s="14" t="str">
        <f>IF(B190="","",SUMIF('Linii comandă'!$B$5:$B$1004,B190,'Linii comandă'!$K$5:$K$1004))</f>
        <v/>
      </c>
      <c r="O190" s="14" t="str">
        <f>IF(B190="","",SUMIF('Linii comandă'!$B$5:$B$1004,B190,'Linii comandă'!$L$5:$L$1004))</f>
        <v/>
      </c>
      <c r="P190" s="14" t="str">
        <f t="shared" si="4"/>
        <v/>
      </c>
      <c r="Q190" s="15" t="str">
        <f>IF(OR(B190="",COUNTIF('Linii comandă'!$B$5:$B$1004,B190)=0),"",IF(SUMIF('Linii comandă'!$B$5:$B$1004,B190,'Linii comandă'!$N$5:$N$1004)&lt;=0,"Completă",IF(SUMIF('Linii comandă'!$B$5:$B$1004,B190,'Linii comandă'!$M$5:$M$1004)&gt;0,"Parțială","Nelivrată")))</f>
        <v/>
      </c>
      <c r="R190" s="10"/>
      <c r="S190" s="15" t="str">
        <f t="shared" ca="1" si="5"/>
        <v/>
      </c>
      <c r="T190" s="16" t="str">
        <f ca="1">IF(AND(B190="",D190=""),"",IF(S190="Anulată","",TRIM(IF(COUNTIF($B$5:$B$304,B190)&gt;1,"Număr dublat. ","")&amp;IF(OR(C190="",D190="",H190="",J190="",K190=""),"Date incomplete. ","")&amp;IF(COUNTIF('Linii comandă'!$B$5:$B$1004,B190)=0,"Nicio linie de comandă. ","")&amp;IF(AND(L190&lt;&gt;"Da",C190&lt;&gt;"",TODAY()-C190&gt;ZileConf),"Neconfirmată de "&amp;(TODAY()-C190)&amp;" zile. ","")&amp;IF(S190="Întârziată","Termenul de livrare a trecut: "&amp;RIGHT("0"&amp;DAY(J190),2)&amp;"."&amp;RIGHT("0"&amp;MONTH(J190),2)&amp;"."&amp;YEAR(J190)&amp;". ","")&amp;IF(S190="Livrată – de facturat","Emite factura. ",""))))</f>
        <v/>
      </c>
    </row>
    <row r="191" spans="2:20" x14ac:dyDescent="0.2">
      <c r="B191" s="10" t="str">
        <f>IF(D191="","",MAX($B$5:B190)+1)</f>
        <v/>
      </c>
      <c r="C191" s="11"/>
      <c r="D191" s="12"/>
      <c r="E191" s="12"/>
      <c r="F191" s="12"/>
      <c r="G191" s="12"/>
      <c r="H191" s="12"/>
      <c r="I191" s="10"/>
      <c r="J191" s="11"/>
      <c r="K191" s="13"/>
      <c r="L191" s="10"/>
      <c r="M191" s="11"/>
      <c r="N191" s="14" t="str">
        <f>IF(B191="","",SUMIF('Linii comandă'!$B$5:$B$1004,B191,'Linii comandă'!$K$5:$K$1004))</f>
        <v/>
      </c>
      <c r="O191" s="14" t="str">
        <f>IF(B191="","",SUMIF('Linii comandă'!$B$5:$B$1004,B191,'Linii comandă'!$L$5:$L$1004))</f>
        <v/>
      </c>
      <c r="P191" s="14" t="str">
        <f t="shared" si="4"/>
        <v/>
      </c>
      <c r="Q191" s="15" t="str">
        <f>IF(OR(B191="",COUNTIF('Linii comandă'!$B$5:$B$1004,B191)=0),"",IF(SUMIF('Linii comandă'!$B$5:$B$1004,B191,'Linii comandă'!$N$5:$N$1004)&lt;=0,"Completă",IF(SUMIF('Linii comandă'!$B$5:$B$1004,B191,'Linii comandă'!$M$5:$M$1004)&gt;0,"Parțială","Nelivrată")))</f>
        <v/>
      </c>
      <c r="R191" s="10"/>
      <c r="S191" s="15" t="str">
        <f t="shared" ca="1" si="5"/>
        <v/>
      </c>
      <c r="T191" s="16" t="str">
        <f ca="1">IF(AND(B191="",D191=""),"",IF(S191="Anulată","",TRIM(IF(COUNTIF($B$5:$B$304,B191)&gt;1,"Număr dublat. ","")&amp;IF(OR(C191="",D191="",H191="",J191="",K191=""),"Date incomplete. ","")&amp;IF(COUNTIF('Linii comandă'!$B$5:$B$1004,B191)=0,"Nicio linie de comandă. ","")&amp;IF(AND(L191&lt;&gt;"Da",C191&lt;&gt;"",TODAY()-C191&gt;ZileConf),"Neconfirmată de "&amp;(TODAY()-C191)&amp;" zile. ","")&amp;IF(S191="Întârziată","Termenul de livrare a trecut: "&amp;RIGHT("0"&amp;DAY(J191),2)&amp;"."&amp;RIGHT("0"&amp;MONTH(J191),2)&amp;"."&amp;YEAR(J191)&amp;". ","")&amp;IF(S191="Livrată – de facturat","Emite factura. ",""))))</f>
        <v/>
      </c>
    </row>
    <row r="192" spans="2:20" x14ac:dyDescent="0.2">
      <c r="B192" s="10" t="str">
        <f>IF(D192="","",MAX($B$5:B191)+1)</f>
        <v/>
      </c>
      <c r="C192" s="11"/>
      <c r="D192" s="12"/>
      <c r="E192" s="12"/>
      <c r="F192" s="12"/>
      <c r="G192" s="12"/>
      <c r="H192" s="12"/>
      <c r="I192" s="10"/>
      <c r="J192" s="11"/>
      <c r="K192" s="13"/>
      <c r="L192" s="10"/>
      <c r="M192" s="11"/>
      <c r="N192" s="14" t="str">
        <f>IF(B192="","",SUMIF('Linii comandă'!$B$5:$B$1004,B192,'Linii comandă'!$K$5:$K$1004))</f>
        <v/>
      </c>
      <c r="O192" s="14" t="str">
        <f>IF(B192="","",SUMIF('Linii comandă'!$B$5:$B$1004,B192,'Linii comandă'!$L$5:$L$1004))</f>
        <v/>
      </c>
      <c r="P192" s="14" t="str">
        <f t="shared" si="4"/>
        <v/>
      </c>
      <c r="Q192" s="15" t="str">
        <f>IF(OR(B192="",COUNTIF('Linii comandă'!$B$5:$B$1004,B192)=0),"",IF(SUMIF('Linii comandă'!$B$5:$B$1004,B192,'Linii comandă'!$N$5:$N$1004)&lt;=0,"Completă",IF(SUMIF('Linii comandă'!$B$5:$B$1004,B192,'Linii comandă'!$M$5:$M$1004)&gt;0,"Parțială","Nelivrată")))</f>
        <v/>
      </c>
      <c r="R192" s="10"/>
      <c r="S192" s="15" t="str">
        <f t="shared" ca="1" si="5"/>
        <v/>
      </c>
      <c r="T192" s="16" t="str">
        <f ca="1">IF(AND(B192="",D192=""),"",IF(S192="Anulată","",TRIM(IF(COUNTIF($B$5:$B$304,B192)&gt;1,"Număr dublat. ","")&amp;IF(OR(C192="",D192="",H192="",J192="",K192=""),"Date incomplete. ","")&amp;IF(COUNTIF('Linii comandă'!$B$5:$B$1004,B192)=0,"Nicio linie de comandă. ","")&amp;IF(AND(L192&lt;&gt;"Da",C192&lt;&gt;"",TODAY()-C192&gt;ZileConf),"Neconfirmată de "&amp;(TODAY()-C192)&amp;" zile. ","")&amp;IF(S192="Întârziată","Termenul de livrare a trecut: "&amp;RIGHT("0"&amp;DAY(J192),2)&amp;"."&amp;RIGHT("0"&amp;MONTH(J192),2)&amp;"."&amp;YEAR(J192)&amp;". ","")&amp;IF(S192="Livrată – de facturat","Emite factura. ",""))))</f>
        <v/>
      </c>
    </row>
    <row r="193" spans="2:20" x14ac:dyDescent="0.2">
      <c r="B193" s="10" t="str">
        <f>IF(D193="","",MAX($B$5:B192)+1)</f>
        <v/>
      </c>
      <c r="C193" s="11"/>
      <c r="D193" s="12"/>
      <c r="E193" s="12"/>
      <c r="F193" s="12"/>
      <c r="G193" s="12"/>
      <c r="H193" s="12"/>
      <c r="I193" s="10"/>
      <c r="J193" s="11"/>
      <c r="K193" s="13"/>
      <c r="L193" s="10"/>
      <c r="M193" s="11"/>
      <c r="N193" s="14" t="str">
        <f>IF(B193="","",SUMIF('Linii comandă'!$B$5:$B$1004,B193,'Linii comandă'!$K$5:$K$1004))</f>
        <v/>
      </c>
      <c r="O193" s="14" t="str">
        <f>IF(B193="","",SUMIF('Linii comandă'!$B$5:$B$1004,B193,'Linii comandă'!$L$5:$L$1004))</f>
        <v/>
      </c>
      <c r="P193" s="14" t="str">
        <f t="shared" si="4"/>
        <v/>
      </c>
      <c r="Q193" s="15" t="str">
        <f>IF(OR(B193="",COUNTIF('Linii comandă'!$B$5:$B$1004,B193)=0),"",IF(SUMIF('Linii comandă'!$B$5:$B$1004,B193,'Linii comandă'!$N$5:$N$1004)&lt;=0,"Completă",IF(SUMIF('Linii comandă'!$B$5:$B$1004,B193,'Linii comandă'!$M$5:$M$1004)&gt;0,"Parțială","Nelivrată")))</f>
        <v/>
      </c>
      <c r="R193" s="10"/>
      <c r="S193" s="15" t="str">
        <f t="shared" ca="1" si="5"/>
        <v/>
      </c>
      <c r="T193" s="16" t="str">
        <f ca="1">IF(AND(B193="",D193=""),"",IF(S193="Anulată","",TRIM(IF(COUNTIF($B$5:$B$304,B193)&gt;1,"Număr dublat. ","")&amp;IF(OR(C193="",D193="",H193="",J193="",K193=""),"Date incomplete. ","")&amp;IF(COUNTIF('Linii comandă'!$B$5:$B$1004,B193)=0,"Nicio linie de comandă. ","")&amp;IF(AND(L193&lt;&gt;"Da",C193&lt;&gt;"",TODAY()-C193&gt;ZileConf),"Neconfirmată de "&amp;(TODAY()-C193)&amp;" zile. ","")&amp;IF(S193="Întârziată","Termenul de livrare a trecut: "&amp;RIGHT("0"&amp;DAY(J193),2)&amp;"."&amp;RIGHT("0"&amp;MONTH(J193),2)&amp;"."&amp;YEAR(J193)&amp;". ","")&amp;IF(S193="Livrată – de facturat","Emite factura. ",""))))</f>
        <v/>
      </c>
    </row>
    <row r="194" spans="2:20" x14ac:dyDescent="0.2">
      <c r="B194" s="10" t="str">
        <f>IF(D194="","",MAX($B$5:B193)+1)</f>
        <v/>
      </c>
      <c r="C194" s="11"/>
      <c r="D194" s="12"/>
      <c r="E194" s="12"/>
      <c r="F194" s="12"/>
      <c r="G194" s="12"/>
      <c r="H194" s="12"/>
      <c r="I194" s="10"/>
      <c r="J194" s="11"/>
      <c r="K194" s="13"/>
      <c r="L194" s="10"/>
      <c r="M194" s="11"/>
      <c r="N194" s="14" t="str">
        <f>IF(B194="","",SUMIF('Linii comandă'!$B$5:$B$1004,B194,'Linii comandă'!$K$5:$K$1004))</f>
        <v/>
      </c>
      <c r="O194" s="14" t="str">
        <f>IF(B194="","",SUMIF('Linii comandă'!$B$5:$B$1004,B194,'Linii comandă'!$L$5:$L$1004))</f>
        <v/>
      </c>
      <c r="P194" s="14" t="str">
        <f t="shared" si="4"/>
        <v/>
      </c>
      <c r="Q194" s="15" t="str">
        <f>IF(OR(B194="",COUNTIF('Linii comandă'!$B$5:$B$1004,B194)=0),"",IF(SUMIF('Linii comandă'!$B$5:$B$1004,B194,'Linii comandă'!$N$5:$N$1004)&lt;=0,"Completă",IF(SUMIF('Linii comandă'!$B$5:$B$1004,B194,'Linii comandă'!$M$5:$M$1004)&gt;0,"Parțială","Nelivrată")))</f>
        <v/>
      </c>
      <c r="R194" s="10"/>
      <c r="S194" s="15" t="str">
        <f t="shared" ca="1" si="5"/>
        <v/>
      </c>
      <c r="T194" s="16" t="str">
        <f ca="1">IF(AND(B194="",D194=""),"",IF(S194="Anulată","",TRIM(IF(COUNTIF($B$5:$B$304,B194)&gt;1,"Număr dublat. ","")&amp;IF(OR(C194="",D194="",H194="",J194="",K194=""),"Date incomplete. ","")&amp;IF(COUNTIF('Linii comandă'!$B$5:$B$1004,B194)=0,"Nicio linie de comandă. ","")&amp;IF(AND(L194&lt;&gt;"Da",C194&lt;&gt;"",TODAY()-C194&gt;ZileConf),"Neconfirmată de "&amp;(TODAY()-C194)&amp;" zile. ","")&amp;IF(S194="Întârziată","Termenul de livrare a trecut: "&amp;RIGHT("0"&amp;DAY(J194),2)&amp;"."&amp;RIGHT("0"&amp;MONTH(J194),2)&amp;"."&amp;YEAR(J194)&amp;". ","")&amp;IF(S194="Livrată – de facturat","Emite factura. ",""))))</f>
        <v/>
      </c>
    </row>
    <row r="195" spans="2:20" x14ac:dyDescent="0.2">
      <c r="B195" s="10" t="str">
        <f>IF(D195="","",MAX($B$5:B194)+1)</f>
        <v/>
      </c>
      <c r="C195" s="11"/>
      <c r="D195" s="12"/>
      <c r="E195" s="12"/>
      <c r="F195" s="12"/>
      <c r="G195" s="12"/>
      <c r="H195" s="12"/>
      <c r="I195" s="10"/>
      <c r="J195" s="11"/>
      <c r="K195" s="13"/>
      <c r="L195" s="10"/>
      <c r="M195" s="11"/>
      <c r="N195" s="14" t="str">
        <f>IF(B195="","",SUMIF('Linii comandă'!$B$5:$B$1004,B195,'Linii comandă'!$K$5:$K$1004))</f>
        <v/>
      </c>
      <c r="O195" s="14" t="str">
        <f>IF(B195="","",SUMIF('Linii comandă'!$B$5:$B$1004,B195,'Linii comandă'!$L$5:$L$1004))</f>
        <v/>
      </c>
      <c r="P195" s="14" t="str">
        <f t="shared" si="4"/>
        <v/>
      </c>
      <c r="Q195" s="15" t="str">
        <f>IF(OR(B195="",COUNTIF('Linii comandă'!$B$5:$B$1004,B195)=0),"",IF(SUMIF('Linii comandă'!$B$5:$B$1004,B195,'Linii comandă'!$N$5:$N$1004)&lt;=0,"Completă",IF(SUMIF('Linii comandă'!$B$5:$B$1004,B195,'Linii comandă'!$M$5:$M$1004)&gt;0,"Parțială","Nelivrată")))</f>
        <v/>
      </c>
      <c r="R195" s="10"/>
      <c r="S195" s="15" t="str">
        <f t="shared" ca="1" si="5"/>
        <v/>
      </c>
      <c r="T195" s="16" t="str">
        <f ca="1">IF(AND(B195="",D195=""),"",IF(S195="Anulată","",TRIM(IF(COUNTIF($B$5:$B$304,B195)&gt;1,"Număr dublat. ","")&amp;IF(OR(C195="",D195="",H195="",J195="",K195=""),"Date incomplete. ","")&amp;IF(COUNTIF('Linii comandă'!$B$5:$B$1004,B195)=0,"Nicio linie de comandă. ","")&amp;IF(AND(L195&lt;&gt;"Da",C195&lt;&gt;"",TODAY()-C195&gt;ZileConf),"Neconfirmată de "&amp;(TODAY()-C195)&amp;" zile. ","")&amp;IF(S195="Întârziată","Termenul de livrare a trecut: "&amp;RIGHT("0"&amp;DAY(J195),2)&amp;"."&amp;RIGHT("0"&amp;MONTH(J195),2)&amp;"."&amp;YEAR(J195)&amp;". ","")&amp;IF(S195="Livrată – de facturat","Emite factura. ",""))))</f>
        <v/>
      </c>
    </row>
    <row r="196" spans="2:20" x14ac:dyDescent="0.2">
      <c r="B196" s="10" t="str">
        <f>IF(D196="","",MAX($B$5:B195)+1)</f>
        <v/>
      </c>
      <c r="C196" s="11"/>
      <c r="D196" s="12"/>
      <c r="E196" s="12"/>
      <c r="F196" s="12"/>
      <c r="G196" s="12"/>
      <c r="H196" s="12"/>
      <c r="I196" s="10"/>
      <c r="J196" s="11"/>
      <c r="K196" s="13"/>
      <c r="L196" s="10"/>
      <c r="M196" s="11"/>
      <c r="N196" s="14" t="str">
        <f>IF(B196="","",SUMIF('Linii comandă'!$B$5:$B$1004,B196,'Linii comandă'!$K$5:$K$1004))</f>
        <v/>
      </c>
      <c r="O196" s="14" t="str">
        <f>IF(B196="","",SUMIF('Linii comandă'!$B$5:$B$1004,B196,'Linii comandă'!$L$5:$L$1004))</f>
        <v/>
      </c>
      <c r="P196" s="14" t="str">
        <f t="shared" si="4"/>
        <v/>
      </c>
      <c r="Q196" s="15" t="str">
        <f>IF(OR(B196="",COUNTIF('Linii comandă'!$B$5:$B$1004,B196)=0),"",IF(SUMIF('Linii comandă'!$B$5:$B$1004,B196,'Linii comandă'!$N$5:$N$1004)&lt;=0,"Completă",IF(SUMIF('Linii comandă'!$B$5:$B$1004,B196,'Linii comandă'!$M$5:$M$1004)&gt;0,"Parțială","Nelivrată")))</f>
        <v/>
      </c>
      <c r="R196" s="10"/>
      <c r="S196" s="15" t="str">
        <f t="shared" ca="1" si="5"/>
        <v/>
      </c>
      <c r="T196" s="16" t="str">
        <f ca="1">IF(AND(B196="",D196=""),"",IF(S196="Anulată","",TRIM(IF(COUNTIF($B$5:$B$304,B196)&gt;1,"Număr dublat. ","")&amp;IF(OR(C196="",D196="",H196="",J196="",K196=""),"Date incomplete. ","")&amp;IF(COUNTIF('Linii comandă'!$B$5:$B$1004,B196)=0,"Nicio linie de comandă. ","")&amp;IF(AND(L196&lt;&gt;"Da",C196&lt;&gt;"",TODAY()-C196&gt;ZileConf),"Neconfirmată de "&amp;(TODAY()-C196)&amp;" zile. ","")&amp;IF(S196="Întârziată","Termenul de livrare a trecut: "&amp;RIGHT("0"&amp;DAY(J196),2)&amp;"."&amp;RIGHT("0"&amp;MONTH(J196),2)&amp;"."&amp;YEAR(J196)&amp;". ","")&amp;IF(S196="Livrată – de facturat","Emite factura. ",""))))</f>
        <v/>
      </c>
    </row>
    <row r="197" spans="2:20" x14ac:dyDescent="0.2">
      <c r="B197" s="10" t="str">
        <f>IF(D197="","",MAX($B$5:B196)+1)</f>
        <v/>
      </c>
      <c r="C197" s="11"/>
      <c r="D197" s="12"/>
      <c r="E197" s="12"/>
      <c r="F197" s="12"/>
      <c r="G197" s="12"/>
      <c r="H197" s="12"/>
      <c r="I197" s="10"/>
      <c r="J197" s="11"/>
      <c r="K197" s="13"/>
      <c r="L197" s="10"/>
      <c r="M197" s="11"/>
      <c r="N197" s="14" t="str">
        <f>IF(B197="","",SUMIF('Linii comandă'!$B$5:$B$1004,B197,'Linii comandă'!$K$5:$K$1004))</f>
        <v/>
      </c>
      <c r="O197" s="14" t="str">
        <f>IF(B197="","",SUMIF('Linii comandă'!$B$5:$B$1004,B197,'Linii comandă'!$L$5:$L$1004))</f>
        <v/>
      </c>
      <c r="P197" s="14" t="str">
        <f t="shared" ref="P197:P260" si="6">IF(B197="","",N197+O197)</f>
        <v/>
      </c>
      <c r="Q197" s="15" t="str">
        <f>IF(OR(B197="",COUNTIF('Linii comandă'!$B$5:$B$1004,B197)=0),"",IF(SUMIF('Linii comandă'!$B$5:$B$1004,B197,'Linii comandă'!$N$5:$N$1004)&lt;=0,"Completă",IF(SUMIF('Linii comandă'!$B$5:$B$1004,B197,'Linii comandă'!$M$5:$M$1004)&gt;0,"Parțială","Nelivrată")))</f>
        <v/>
      </c>
      <c r="R197" s="10"/>
      <c r="S197" s="15" t="str">
        <f t="shared" ref="S197:S260" ca="1" si="7">IF(B197="","",IF(L197="Anulată","Anulată",IF(AND(L197="Da",Q197&lt;&gt;"Completă",J197&lt;&gt;"",J197&lt;TODAY()),"Întârziată",IF(AND(Q197="Completă",R197&lt;&gt;""),"Facturată",IF(Q197="Completă","Livrată – de facturat",IF(L197&lt;&gt;"Da","Neconfirmată",IF(Q197="Parțială","Livrată parțial","Confirmată – în pregătire")))))))</f>
        <v/>
      </c>
      <c r="T197" s="16" t="str">
        <f ca="1">IF(AND(B197="",D197=""),"",IF(S197="Anulată","",TRIM(IF(COUNTIF($B$5:$B$304,B197)&gt;1,"Număr dublat. ","")&amp;IF(OR(C197="",D197="",H197="",J197="",K197=""),"Date incomplete. ","")&amp;IF(COUNTIF('Linii comandă'!$B$5:$B$1004,B197)=0,"Nicio linie de comandă. ","")&amp;IF(AND(L197&lt;&gt;"Da",C197&lt;&gt;"",TODAY()-C197&gt;ZileConf),"Neconfirmată de "&amp;(TODAY()-C197)&amp;" zile. ","")&amp;IF(S197="Întârziată","Termenul de livrare a trecut: "&amp;RIGHT("0"&amp;DAY(J197),2)&amp;"."&amp;RIGHT("0"&amp;MONTH(J197),2)&amp;"."&amp;YEAR(J197)&amp;". ","")&amp;IF(S197="Livrată – de facturat","Emite factura. ",""))))</f>
        <v/>
      </c>
    </row>
    <row r="198" spans="2:20" x14ac:dyDescent="0.2">
      <c r="B198" s="10" t="str">
        <f>IF(D198="","",MAX($B$5:B197)+1)</f>
        <v/>
      </c>
      <c r="C198" s="11"/>
      <c r="D198" s="12"/>
      <c r="E198" s="12"/>
      <c r="F198" s="12"/>
      <c r="G198" s="12"/>
      <c r="H198" s="12"/>
      <c r="I198" s="10"/>
      <c r="J198" s="11"/>
      <c r="K198" s="13"/>
      <c r="L198" s="10"/>
      <c r="M198" s="11"/>
      <c r="N198" s="14" t="str">
        <f>IF(B198="","",SUMIF('Linii comandă'!$B$5:$B$1004,B198,'Linii comandă'!$K$5:$K$1004))</f>
        <v/>
      </c>
      <c r="O198" s="14" t="str">
        <f>IF(B198="","",SUMIF('Linii comandă'!$B$5:$B$1004,B198,'Linii comandă'!$L$5:$L$1004))</f>
        <v/>
      </c>
      <c r="P198" s="14" t="str">
        <f t="shared" si="6"/>
        <v/>
      </c>
      <c r="Q198" s="15" t="str">
        <f>IF(OR(B198="",COUNTIF('Linii comandă'!$B$5:$B$1004,B198)=0),"",IF(SUMIF('Linii comandă'!$B$5:$B$1004,B198,'Linii comandă'!$N$5:$N$1004)&lt;=0,"Completă",IF(SUMIF('Linii comandă'!$B$5:$B$1004,B198,'Linii comandă'!$M$5:$M$1004)&gt;0,"Parțială","Nelivrată")))</f>
        <v/>
      </c>
      <c r="R198" s="10"/>
      <c r="S198" s="15" t="str">
        <f t="shared" ca="1" si="7"/>
        <v/>
      </c>
      <c r="T198" s="16" t="str">
        <f ca="1">IF(AND(B198="",D198=""),"",IF(S198="Anulată","",TRIM(IF(COUNTIF($B$5:$B$304,B198)&gt;1,"Număr dublat. ","")&amp;IF(OR(C198="",D198="",H198="",J198="",K198=""),"Date incomplete. ","")&amp;IF(COUNTIF('Linii comandă'!$B$5:$B$1004,B198)=0,"Nicio linie de comandă. ","")&amp;IF(AND(L198&lt;&gt;"Da",C198&lt;&gt;"",TODAY()-C198&gt;ZileConf),"Neconfirmată de "&amp;(TODAY()-C198)&amp;" zile. ","")&amp;IF(S198="Întârziată","Termenul de livrare a trecut: "&amp;RIGHT("0"&amp;DAY(J198),2)&amp;"."&amp;RIGHT("0"&amp;MONTH(J198),2)&amp;"."&amp;YEAR(J198)&amp;". ","")&amp;IF(S198="Livrată – de facturat","Emite factura. ",""))))</f>
        <v/>
      </c>
    </row>
    <row r="199" spans="2:20" x14ac:dyDescent="0.2">
      <c r="B199" s="10" t="str">
        <f>IF(D199="","",MAX($B$5:B198)+1)</f>
        <v/>
      </c>
      <c r="C199" s="11"/>
      <c r="D199" s="12"/>
      <c r="E199" s="12"/>
      <c r="F199" s="12"/>
      <c r="G199" s="12"/>
      <c r="H199" s="12"/>
      <c r="I199" s="10"/>
      <c r="J199" s="11"/>
      <c r="K199" s="13"/>
      <c r="L199" s="10"/>
      <c r="M199" s="11"/>
      <c r="N199" s="14" t="str">
        <f>IF(B199="","",SUMIF('Linii comandă'!$B$5:$B$1004,B199,'Linii comandă'!$K$5:$K$1004))</f>
        <v/>
      </c>
      <c r="O199" s="14" t="str">
        <f>IF(B199="","",SUMIF('Linii comandă'!$B$5:$B$1004,B199,'Linii comandă'!$L$5:$L$1004))</f>
        <v/>
      </c>
      <c r="P199" s="14" t="str">
        <f t="shared" si="6"/>
        <v/>
      </c>
      <c r="Q199" s="15" t="str">
        <f>IF(OR(B199="",COUNTIF('Linii comandă'!$B$5:$B$1004,B199)=0),"",IF(SUMIF('Linii comandă'!$B$5:$B$1004,B199,'Linii comandă'!$N$5:$N$1004)&lt;=0,"Completă",IF(SUMIF('Linii comandă'!$B$5:$B$1004,B199,'Linii comandă'!$M$5:$M$1004)&gt;0,"Parțială","Nelivrată")))</f>
        <v/>
      </c>
      <c r="R199" s="10"/>
      <c r="S199" s="15" t="str">
        <f t="shared" ca="1" si="7"/>
        <v/>
      </c>
      <c r="T199" s="16" t="str">
        <f ca="1">IF(AND(B199="",D199=""),"",IF(S199="Anulată","",TRIM(IF(COUNTIF($B$5:$B$304,B199)&gt;1,"Număr dublat. ","")&amp;IF(OR(C199="",D199="",H199="",J199="",K199=""),"Date incomplete. ","")&amp;IF(COUNTIF('Linii comandă'!$B$5:$B$1004,B199)=0,"Nicio linie de comandă. ","")&amp;IF(AND(L199&lt;&gt;"Da",C199&lt;&gt;"",TODAY()-C199&gt;ZileConf),"Neconfirmată de "&amp;(TODAY()-C199)&amp;" zile. ","")&amp;IF(S199="Întârziată","Termenul de livrare a trecut: "&amp;RIGHT("0"&amp;DAY(J199),2)&amp;"."&amp;RIGHT("0"&amp;MONTH(J199),2)&amp;"."&amp;YEAR(J199)&amp;". ","")&amp;IF(S199="Livrată – de facturat","Emite factura. ",""))))</f>
        <v/>
      </c>
    </row>
    <row r="200" spans="2:20" x14ac:dyDescent="0.2">
      <c r="B200" s="10" t="str">
        <f>IF(D200="","",MAX($B$5:B199)+1)</f>
        <v/>
      </c>
      <c r="C200" s="11"/>
      <c r="D200" s="12"/>
      <c r="E200" s="12"/>
      <c r="F200" s="12"/>
      <c r="G200" s="12"/>
      <c r="H200" s="12"/>
      <c r="I200" s="10"/>
      <c r="J200" s="11"/>
      <c r="K200" s="13"/>
      <c r="L200" s="10"/>
      <c r="M200" s="11"/>
      <c r="N200" s="14" t="str">
        <f>IF(B200="","",SUMIF('Linii comandă'!$B$5:$B$1004,B200,'Linii comandă'!$K$5:$K$1004))</f>
        <v/>
      </c>
      <c r="O200" s="14" t="str">
        <f>IF(B200="","",SUMIF('Linii comandă'!$B$5:$B$1004,B200,'Linii comandă'!$L$5:$L$1004))</f>
        <v/>
      </c>
      <c r="P200" s="14" t="str">
        <f t="shared" si="6"/>
        <v/>
      </c>
      <c r="Q200" s="15" t="str">
        <f>IF(OR(B200="",COUNTIF('Linii comandă'!$B$5:$B$1004,B200)=0),"",IF(SUMIF('Linii comandă'!$B$5:$B$1004,B200,'Linii comandă'!$N$5:$N$1004)&lt;=0,"Completă",IF(SUMIF('Linii comandă'!$B$5:$B$1004,B200,'Linii comandă'!$M$5:$M$1004)&gt;0,"Parțială","Nelivrată")))</f>
        <v/>
      </c>
      <c r="R200" s="10"/>
      <c r="S200" s="15" t="str">
        <f t="shared" ca="1" si="7"/>
        <v/>
      </c>
      <c r="T200" s="16" t="str">
        <f ca="1">IF(AND(B200="",D200=""),"",IF(S200="Anulată","",TRIM(IF(COUNTIF($B$5:$B$304,B200)&gt;1,"Număr dublat. ","")&amp;IF(OR(C200="",D200="",H200="",J200="",K200=""),"Date incomplete. ","")&amp;IF(COUNTIF('Linii comandă'!$B$5:$B$1004,B200)=0,"Nicio linie de comandă. ","")&amp;IF(AND(L200&lt;&gt;"Da",C200&lt;&gt;"",TODAY()-C200&gt;ZileConf),"Neconfirmată de "&amp;(TODAY()-C200)&amp;" zile. ","")&amp;IF(S200="Întârziată","Termenul de livrare a trecut: "&amp;RIGHT("0"&amp;DAY(J200),2)&amp;"."&amp;RIGHT("0"&amp;MONTH(J200),2)&amp;"."&amp;YEAR(J200)&amp;". ","")&amp;IF(S200="Livrată – de facturat","Emite factura. ",""))))</f>
        <v/>
      </c>
    </row>
    <row r="201" spans="2:20" x14ac:dyDescent="0.2">
      <c r="B201" s="10" t="str">
        <f>IF(D201="","",MAX($B$5:B200)+1)</f>
        <v/>
      </c>
      <c r="C201" s="11"/>
      <c r="D201" s="12"/>
      <c r="E201" s="12"/>
      <c r="F201" s="12"/>
      <c r="G201" s="12"/>
      <c r="H201" s="12"/>
      <c r="I201" s="10"/>
      <c r="J201" s="11"/>
      <c r="K201" s="13"/>
      <c r="L201" s="10"/>
      <c r="M201" s="11"/>
      <c r="N201" s="14" t="str">
        <f>IF(B201="","",SUMIF('Linii comandă'!$B$5:$B$1004,B201,'Linii comandă'!$K$5:$K$1004))</f>
        <v/>
      </c>
      <c r="O201" s="14" t="str">
        <f>IF(B201="","",SUMIF('Linii comandă'!$B$5:$B$1004,B201,'Linii comandă'!$L$5:$L$1004))</f>
        <v/>
      </c>
      <c r="P201" s="14" t="str">
        <f t="shared" si="6"/>
        <v/>
      </c>
      <c r="Q201" s="15" t="str">
        <f>IF(OR(B201="",COUNTIF('Linii comandă'!$B$5:$B$1004,B201)=0),"",IF(SUMIF('Linii comandă'!$B$5:$B$1004,B201,'Linii comandă'!$N$5:$N$1004)&lt;=0,"Completă",IF(SUMIF('Linii comandă'!$B$5:$B$1004,B201,'Linii comandă'!$M$5:$M$1004)&gt;0,"Parțială","Nelivrată")))</f>
        <v/>
      </c>
      <c r="R201" s="10"/>
      <c r="S201" s="15" t="str">
        <f t="shared" ca="1" si="7"/>
        <v/>
      </c>
      <c r="T201" s="16" t="str">
        <f ca="1">IF(AND(B201="",D201=""),"",IF(S201="Anulată","",TRIM(IF(COUNTIF($B$5:$B$304,B201)&gt;1,"Număr dublat. ","")&amp;IF(OR(C201="",D201="",H201="",J201="",K201=""),"Date incomplete. ","")&amp;IF(COUNTIF('Linii comandă'!$B$5:$B$1004,B201)=0,"Nicio linie de comandă. ","")&amp;IF(AND(L201&lt;&gt;"Da",C201&lt;&gt;"",TODAY()-C201&gt;ZileConf),"Neconfirmată de "&amp;(TODAY()-C201)&amp;" zile. ","")&amp;IF(S201="Întârziată","Termenul de livrare a trecut: "&amp;RIGHT("0"&amp;DAY(J201),2)&amp;"."&amp;RIGHT("0"&amp;MONTH(J201),2)&amp;"."&amp;YEAR(J201)&amp;". ","")&amp;IF(S201="Livrată – de facturat","Emite factura. ",""))))</f>
        <v/>
      </c>
    </row>
    <row r="202" spans="2:20" x14ac:dyDescent="0.2">
      <c r="B202" s="10" t="str">
        <f>IF(D202="","",MAX($B$5:B201)+1)</f>
        <v/>
      </c>
      <c r="C202" s="11"/>
      <c r="D202" s="12"/>
      <c r="E202" s="12"/>
      <c r="F202" s="12"/>
      <c r="G202" s="12"/>
      <c r="H202" s="12"/>
      <c r="I202" s="10"/>
      <c r="J202" s="11"/>
      <c r="K202" s="13"/>
      <c r="L202" s="10"/>
      <c r="M202" s="11"/>
      <c r="N202" s="14" t="str">
        <f>IF(B202="","",SUMIF('Linii comandă'!$B$5:$B$1004,B202,'Linii comandă'!$K$5:$K$1004))</f>
        <v/>
      </c>
      <c r="O202" s="14" t="str">
        <f>IF(B202="","",SUMIF('Linii comandă'!$B$5:$B$1004,B202,'Linii comandă'!$L$5:$L$1004))</f>
        <v/>
      </c>
      <c r="P202" s="14" t="str">
        <f t="shared" si="6"/>
        <v/>
      </c>
      <c r="Q202" s="15" t="str">
        <f>IF(OR(B202="",COUNTIF('Linii comandă'!$B$5:$B$1004,B202)=0),"",IF(SUMIF('Linii comandă'!$B$5:$B$1004,B202,'Linii comandă'!$N$5:$N$1004)&lt;=0,"Completă",IF(SUMIF('Linii comandă'!$B$5:$B$1004,B202,'Linii comandă'!$M$5:$M$1004)&gt;0,"Parțială","Nelivrată")))</f>
        <v/>
      </c>
      <c r="R202" s="10"/>
      <c r="S202" s="15" t="str">
        <f t="shared" ca="1" si="7"/>
        <v/>
      </c>
      <c r="T202" s="16" t="str">
        <f ca="1">IF(AND(B202="",D202=""),"",IF(S202="Anulată","",TRIM(IF(COUNTIF($B$5:$B$304,B202)&gt;1,"Număr dublat. ","")&amp;IF(OR(C202="",D202="",H202="",J202="",K202=""),"Date incomplete. ","")&amp;IF(COUNTIF('Linii comandă'!$B$5:$B$1004,B202)=0,"Nicio linie de comandă. ","")&amp;IF(AND(L202&lt;&gt;"Da",C202&lt;&gt;"",TODAY()-C202&gt;ZileConf),"Neconfirmată de "&amp;(TODAY()-C202)&amp;" zile. ","")&amp;IF(S202="Întârziată","Termenul de livrare a trecut: "&amp;RIGHT("0"&amp;DAY(J202),2)&amp;"."&amp;RIGHT("0"&amp;MONTH(J202),2)&amp;"."&amp;YEAR(J202)&amp;". ","")&amp;IF(S202="Livrată – de facturat","Emite factura. ",""))))</f>
        <v/>
      </c>
    </row>
    <row r="203" spans="2:20" x14ac:dyDescent="0.2">
      <c r="B203" s="10" t="str">
        <f>IF(D203="","",MAX($B$5:B202)+1)</f>
        <v/>
      </c>
      <c r="C203" s="11"/>
      <c r="D203" s="12"/>
      <c r="E203" s="12"/>
      <c r="F203" s="12"/>
      <c r="G203" s="12"/>
      <c r="H203" s="12"/>
      <c r="I203" s="10"/>
      <c r="J203" s="11"/>
      <c r="K203" s="13"/>
      <c r="L203" s="10"/>
      <c r="M203" s="11"/>
      <c r="N203" s="14" t="str">
        <f>IF(B203="","",SUMIF('Linii comandă'!$B$5:$B$1004,B203,'Linii comandă'!$K$5:$K$1004))</f>
        <v/>
      </c>
      <c r="O203" s="14" t="str">
        <f>IF(B203="","",SUMIF('Linii comandă'!$B$5:$B$1004,B203,'Linii comandă'!$L$5:$L$1004))</f>
        <v/>
      </c>
      <c r="P203" s="14" t="str">
        <f t="shared" si="6"/>
        <v/>
      </c>
      <c r="Q203" s="15" t="str">
        <f>IF(OR(B203="",COUNTIF('Linii comandă'!$B$5:$B$1004,B203)=0),"",IF(SUMIF('Linii comandă'!$B$5:$B$1004,B203,'Linii comandă'!$N$5:$N$1004)&lt;=0,"Completă",IF(SUMIF('Linii comandă'!$B$5:$B$1004,B203,'Linii comandă'!$M$5:$M$1004)&gt;0,"Parțială","Nelivrată")))</f>
        <v/>
      </c>
      <c r="R203" s="10"/>
      <c r="S203" s="15" t="str">
        <f t="shared" ca="1" si="7"/>
        <v/>
      </c>
      <c r="T203" s="16" t="str">
        <f ca="1">IF(AND(B203="",D203=""),"",IF(S203="Anulată","",TRIM(IF(COUNTIF($B$5:$B$304,B203)&gt;1,"Număr dublat. ","")&amp;IF(OR(C203="",D203="",H203="",J203="",K203=""),"Date incomplete. ","")&amp;IF(COUNTIF('Linii comandă'!$B$5:$B$1004,B203)=0,"Nicio linie de comandă. ","")&amp;IF(AND(L203&lt;&gt;"Da",C203&lt;&gt;"",TODAY()-C203&gt;ZileConf),"Neconfirmată de "&amp;(TODAY()-C203)&amp;" zile. ","")&amp;IF(S203="Întârziată","Termenul de livrare a trecut: "&amp;RIGHT("0"&amp;DAY(J203),2)&amp;"."&amp;RIGHT("0"&amp;MONTH(J203),2)&amp;"."&amp;YEAR(J203)&amp;". ","")&amp;IF(S203="Livrată – de facturat","Emite factura. ",""))))</f>
        <v/>
      </c>
    </row>
    <row r="204" spans="2:20" x14ac:dyDescent="0.2">
      <c r="B204" s="10" t="str">
        <f>IF(D204="","",MAX($B$5:B203)+1)</f>
        <v/>
      </c>
      <c r="C204" s="11"/>
      <c r="D204" s="12"/>
      <c r="E204" s="12"/>
      <c r="F204" s="12"/>
      <c r="G204" s="12"/>
      <c r="H204" s="12"/>
      <c r="I204" s="10"/>
      <c r="J204" s="11"/>
      <c r="K204" s="13"/>
      <c r="L204" s="10"/>
      <c r="M204" s="11"/>
      <c r="N204" s="14" t="str">
        <f>IF(B204="","",SUMIF('Linii comandă'!$B$5:$B$1004,B204,'Linii comandă'!$K$5:$K$1004))</f>
        <v/>
      </c>
      <c r="O204" s="14" t="str">
        <f>IF(B204="","",SUMIF('Linii comandă'!$B$5:$B$1004,B204,'Linii comandă'!$L$5:$L$1004))</f>
        <v/>
      </c>
      <c r="P204" s="14" t="str">
        <f t="shared" si="6"/>
        <v/>
      </c>
      <c r="Q204" s="15" t="str">
        <f>IF(OR(B204="",COUNTIF('Linii comandă'!$B$5:$B$1004,B204)=0),"",IF(SUMIF('Linii comandă'!$B$5:$B$1004,B204,'Linii comandă'!$N$5:$N$1004)&lt;=0,"Completă",IF(SUMIF('Linii comandă'!$B$5:$B$1004,B204,'Linii comandă'!$M$5:$M$1004)&gt;0,"Parțială","Nelivrată")))</f>
        <v/>
      </c>
      <c r="R204" s="10"/>
      <c r="S204" s="15" t="str">
        <f t="shared" ca="1" si="7"/>
        <v/>
      </c>
      <c r="T204" s="16" t="str">
        <f ca="1">IF(AND(B204="",D204=""),"",IF(S204="Anulată","",TRIM(IF(COUNTIF($B$5:$B$304,B204)&gt;1,"Număr dublat. ","")&amp;IF(OR(C204="",D204="",H204="",J204="",K204=""),"Date incomplete. ","")&amp;IF(COUNTIF('Linii comandă'!$B$5:$B$1004,B204)=0,"Nicio linie de comandă. ","")&amp;IF(AND(L204&lt;&gt;"Da",C204&lt;&gt;"",TODAY()-C204&gt;ZileConf),"Neconfirmată de "&amp;(TODAY()-C204)&amp;" zile. ","")&amp;IF(S204="Întârziată","Termenul de livrare a trecut: "&amp;RIGHT("0"&amp;DAY(J204),2)&amp;"."&amp;RIGHT("0"&amp;MONTH(J204),2)&amp;"."&amp;YEAR(J204)&amp;". ","")&amp;IF(S204="Livrată – de facturat","Emite factura. ",""))))</f>
        <v/>
      </c>
    </row>
    <row r="205" spans="2:20" x14ac:dyDescent="0.2">
      <c r="B205" s="10" t="str">
        <f>IF(D205="","",MAX($B$5:B204)+1)</f>
        <v/>
      </c>
      <c r="C205" s="11"/>
      <c r="D205" s="12"/>
      <c r="E205" s="12"/>
      <c r="F205" s="12"/>
      <c r="G205" s="12"/>
      <c r="H205" s="12"/>
      <c r="I205" s="10"/>
      <c r="J205" s="11"/>
      <c r="K205" s="13"/>
      <c r="L205" s="10"/>
      <c r="M205" s="11"/>
      <c r="N205" s="14" t="str">
        <f>IF(B205="","",SUMIF('Linii comandă'!$B$5:$B$1004,B205,'Linii comandă'!$K$5:$K$1004))</f>
        <v/>
      </c>
      <c r="O205" s="14" t="str">
        <f>IF(B205="","",SUMIF('Linii comandă'!$B$5:$B$1004,B205,'Linii comandă'!$L$5:$L$1004))</f>
        <v/>
      </c>
      <c r="P205" s="14" t="str">
        <f t="shared" si="6"/>
        <v/>
      </c>
      <c r="Q205" s="15" t="str">
        <f>IF(OR(B205="",COUNTIF('Linii comandă'!$B$5:$B$1004,B205)=0),"",IF(SUMIF('Linii comandă'!$B$5:$B$1004,B205,'Linii comandă'!$N$5:$N$1004)&lt;=0,"Completă",IF(SUMIF('Linii comandă'!$B$5:$B$1004,B205,'Linii comandă'!$M$5:$M$1004)&gt;0,"Parțială","Nelivrată")))</f>
        <v/>
      </c>
      <c r="R205" s="10"/>
      <c r="S205" s="15" t="str">
        <f t="shared" ca="1" si="7"/>
        <v/>
      </c>
      <c r="T205" s="16" t="str">
        <f ca="1">IF(AND(B205="",D205=""),"",IF(S205="Anulată","",TRIM(IF(COUNTIF($B$5:$B$304,B205)&gt;1,"Număr dublat. ","")&amp;IF(OR(C205="",D205="",H205="",J205="",K205=""),"Date incomplete. ","")&amp;IF(COUNTIF('Linii comandă'!$B$5:$B$1004,B205)=0,"Nicio linie de comandă. ","")&amp;IF(AND(L205&lt;&gt;"Da",C205&lt;&gt;"",TODAY()-C205&gt;ZileConf),"Neconfirmată de "&amp;(TODAY()-C205)&amp;" zile. ","")&amp;IF(S205="Întârziată","Termenul de livrare a trecut: "&amp;RIGHT("0"&amp;DAY(J205),2)&amp;"."&amp;RIGHT("0"&amp;MONTH(J205),2)&amp;"."&amp;YEAR(J205)&amp;". ","")&amp;IF(S205="Livrată – de facturat","Emite factura. ",""))))</f>
        <v/>
      </c>
    </row>
    <row r="206" spans="2:20" x14ac:dyDescent="0.2">
      <c r="B206" s="10" t="str">
        <f>IF(D206="","",MAX($B$5:B205)+1)</f>
        <v/>
      </c>
      <c r="C206" s="11"/>
      <c r="D206" s="12"/>
      <c r="E206" s="12"/>
      <c r="F206" s="12"/>
      <c r="G206" s="12"/>
      <c r="H206" s="12"/>
      <c r="I206" s="10"/>
      <c r="J206" s="11"/>
      <c r="K206" s="13"/>
      <c r="L206" s="10"/>
      <c r="M206" s="11"/>
      <c r="N206" s="14" t="str">
        <f>IF(B206="","",SUMIF('Linii comandă'!$B$5:$B$1004,B206,'Linii comandă'!$K$5:$K$1004))</f>
        <v/>
      </c>
      <c r="O206" s="14" t="str">
        <f>IF(B206="","",SUMIF('Linii comandă'!$B$5:$B$1004,B206,'Linii comandă'!$L$5:$L$1004))</f>
        <v/>
      </c>
      <c r="P206" s="14" t="str">
        <f t="shared" si="6"/>
        <v/>
      </c>
      <c r="Q206" s="15" t="str">
        <f>IF(OR(B206="",COUNTIF('Linii comandă'!$B$5:$B$1004,B206)=0),"",IF(SUMIF('Linii comandă'!$B$5:$B$1004,B206,'Linii comandă'!$N$5:$N$1004)&lt;=0,"Completă",IF(SUMIF('Linii comandă'!$B$5:$B$1004,B206,'Linii comandă'!$M$5:$M$1004)&gt;0,"Parțială","Nelivrată")))</f>
        <v/>
      </c>
      <c r="R206" s="10"/>
      <c r="S206" s="15" t="str">
        <f t="shared" ca="1" si="7"/>
        <v/>
      </c>
      <c r="T206" s="16" t="str">
        <f ca="1">IF(AND(B206="",D206=""),"",IF(S206="Anulată","",TRIM(IF(COUNTIF($B$5:$B$304,B206)&gt;1,"Număr dublat. ","")&amp;IF(OR(C206="",D206="",H206="",J206="",K206=""),"Date incomplete. ","")&amp;IF(COUNTIF('Linii comandă'!$B$5:$B$1004,B206)=0,"Nicio linie de comandă. ","")&amp;IF(AND(L206&lt;&gt;"Da",C206&lt;&gt;"",TODAY()-C206&gt;ZileConf),"Neconfirmată de "&amp;(TODAY()-C206)&amp;" zile. ","")&amp;IF(S206="Întârziată","Termenul de livrare a trecut: "&amp;RIGHT("0"&amp;DAY(J206),2)&amp;"."&amp;RIGHT("0"&amp;MONTH(J206),2)&amp;"."&amp;YEAR(J206)&amp;". ","")&amp;IF(S206="Livrată – de facturat","Emite factura. ",""))))</f>
        <v/>
      </c>
    </row>
    <row r="207" spans="2:20" x14ac:dyDescent="0.2">
      <c r="B207" s="10" t="str">
        <f>IF(D207="","",MAX($B$5:B206)+1)</f>
        <v/>
      </c>
      <c r="C207" s="11"/>
      <c r="D207" s="12"/>
      <c r="E207" s="12"/>
      <c r="F207" s="12"/>
      <c r="G207" s="12"/>
      <c r="H207" s="12"/>
      <c r="I207" s="10"/>
      <c r="J207" s="11"/>
      <c r="K207" s="13"/>
      <c r="L207" s="10"/>
      <c r="M207" s="11"/>
      <c r="N207" s="14" t="str">
        <f>IF(B207="","",SUMIF('Linii comandă'!$B$5:$B$1004,B207,'Linii comandă'!$K$5:$K$1004))</f>
        <v/>
      </c>
      <c r="O207" s="14" t="str">
        <f>IF(B207="","",SUMIF('Linii comandă'!$B$5:$B$1004,B207,'Linii comandă'!$L$5:$L$1004))</f>
        <v/>
      </c>
      <c r="P207" s="14" t="str">
        <f t="shared" si="6"/>
        <v/>
      </c>
      <c r="Q207" s="15" t="str">
        <f>IF(OR(B207="",COUNTIF('Linii comandă'!$B$5:$B$1004,B207)=0),"",IF(SUMIF('Linii comandă'!$B$5:$B$1004,B207,'Linii comandă'!$N$5:$N$1004)&lt;=0,"Completă",IF(SUMIF('Linii comandă'!$B$5:$B$1004,B207,'Linii comandă'!$M$5:$M$1004)&gt;0,"Parțială","Nelivrată")))</f>
        <v/>
      </c>
      <c r="R207" s="10"/>
      <c r="S207" s="15" t="str">
        <f t="shared" ca="1" si="7"/>
        <v/>
      </c>
      <c r="T207" s="16" t="str">
        <f ca="1">IF(AND(B207="",D207=""),"",IF(S207="Anulată","",TRIM(IF(COUNTIF($B$5:$B$304,B207)&gt;1,"Număr dublat. ","")&amp;IF(OR(C207="",D207="",H207="",J207="",K207=""),"Date incomplete. ","")&amp;IF(COUNTIF('Linii comandă'!$B$5:$B$1004,B207)=0,"Nicio linie de comandă. ","")&amp;IF(AND(L207&lt;&gt;"Da",C207&lt;&gt;"",TODAY()-C207&gt;ZileConf),"Neconfirmată de "&amp;(TODAY()-C207)&amp;" zile. ","")&amp;IF(S207="Întârziată","Termenul de livrare a trecut: "&amp;RIGHT("0"&amp;DAY(J207),2)&amp;"."&amp;RIGHT("0"&amp;MONTH(J207),2)&amp;"."&amp;YEAR(J207)&amp;". ","")&amp;IF(S207="Livrată – de facturat","Emite factura. ",""))))</f>
        <v/>
      </c>
    </row>
    <row r="208" spans="2:20" x14ac:dyDescent="0.2">
      <c r="B208" s="10" t="str">
        <f>IF(D208="","",MAX($B$5:B207)+1)</f>
        <v/>
      </c>
      <c r="C208" s="11"/>
      <c r="D208" s="12"/>
      <c r="E208" s="12"/>
      <c r="F208" s="12"/>
      <c r="G208" s="12"/>
      <c r="H208" s="12"/>
      <c r="I208" s="10"/>
      <c r="J208" s="11"/>
      <c r="K208" s="13"/>
      <c r="L208" s="10"/>
      <c r="M208" s="11"/>
      <c r="N208" s="14" t="str">
        <f>IF(B208="","",SUMIF('Linii comandă'!$B$5:$B$1004,B208,'Linii comandă'!$K$5:$K$1004))</f>
        <v/>
      </c>
      <c r="O208" s="14" t="str">
        <f>IF(B208="","",SUMIF('Linii comandă'!$B$5:$B$1004,B208,'Linii comandă'!$L$5:$L$1004))</f>
        <v/>
      </c>
      <c r="P208" s="14" t="str">
        <f t="shared" si="6"/>
        <v/>
      </c>
      <c r="Q208" s="15" t="str">
        <f>IF(OR(B208="",COUNTIF('Linii comandă'!$B$5:$B$1004,B208)=0),"",IF(SUMIF('Linii comandă'!$B$5:$B$1004,B208,'Linii comandă'!$N$5:$N$1004)&lt;=0,"Completă",IF(SUMIF('Linii comandă'!$B$5:$B$1004,B208,'Linii comandă'!$M$5:$M$1004)&gt;0,"Parțială","Nelivrată")))</f>
        <v/>
      </c>
      <c r="R208" s="10"/>
      <c r="S208" s="15" t="str">
        <f t="shared" ca="1" si="7"/>
        <v/>
      </c>
      <c r="T208" s="16" t="str">
        <f ca="1">IF(AND(B208="",D208=""),"",IF(S208="Anulată","",TRIM(IF(COUNTIF($B$5:$B$304,B208)&gt;1,"Număr dublat. ","")&amp;IF(OR(C208="",D208="",H208="",J208="",K208=""),"Date incomplete. ","")&amp;IF(COUNTIF('Linii comandă'!$B$5:$B$1004,B208)=0,"Nicio linie de comandă. ","")&amp;IF(AND(L208&lt;&gt;"Da",C208&lt;&gt;"",TODAY()-C208&gt;ZileConf),"Neconfirmată de "&amp;(TODAY()-C208)&amp;" zile. ","")&amp;IF(S208="Întârziată","Termenul de livrare a trecut: "&amp;RIGHT("0"&amp;DAY(J208),2)&amp;"."&amp;RIGHT("0"&amp;MONTH(J208),2)&amp;"."&amp;YEAR(J208)&amp;". ","")&amp;IF(S208="Livrată – de facturat","Emite factura. ",""))))</f>
        <v/>
      </c>
    </row>
    <row r="209" spans="2:20" x14ac:dyDescent="0.2">
      <c r="B209" s="10" t="str">
        <f>IF(D209="","",MAX($B$5:B208)+1)</f>
        <v/>
      </c>
      <c r="C209" s="11"/>
      <c r="D209" s="12"/>
      <c r="E209" s="12"/>
      <c r="F209" s="12"/>
      <c r="G209" s="12"/>
      <c r="H209" s="12"/>
      <c r="I209" s="10"/>
      <c r="J209" s="11"/>
      <c r="K209" s="13"/>
      <c r="L209" s="10"/>
      <c r="M209" s="11"/>
      <c r="N209" s="14" t="str">
        <f>IF(B209="","",SUMIF('Linii comandă'!$B$5:$B$1004,B209,'Linii comandă'!$K$5:$K$1004))</f>
        <v/>
      </c>
      <c r="O209" s="14" t="str">
        <f>IF(B209="","",SUMIF('Linii comandă'!$B$5:$B$1004,B209,'Linii comandă'!$L$5:$L$1004))</f>
        <v/>
      </c>
      <c r="P209" s="14" t="str">
        <f t="shared" si="6"/>
        <v/>
      </c>
      <c r="Q209" s="15" t="str">
        <f>IF(OR(B209="",COUNTIF('Linii comandă'!$B$5:$B$1004,B209)=0),"",IF(SUMIF('Linii comandă'!$B$5:$B$1004,B209,'Linii comandă'!$N$5:$N$1004)&lt;=0,"Completă",IF(SUMIF('Linii comandă'!$B$5:$B$1004,B209,'Linii comandă'!$M$5:$M$1004)&gt;0,"Parțială","Nelivrată")))</f>
        <v/>
      </c>
      <c r="R209" s="10"/>
      <c r="S209" s="15" t="str">
        <f t="shared" ca="1" si="7"/>
        <v/>
      </c>
      <c r="T209" s="16" t="str">
        <f ca="1">IF(AND(B209="",D209=""),"",IF(S209="Anulată","",TRIM(IF(COUNTIF($B$5:$B$304,B209)&gt;1,"Număr dublat. ","")&amp;IF(OR(C209="",D209="",H209="",J209="",K209=""),"Date incomplete. ","")&amp;IF(COUNTIF('Linii comandă'!$B$5:$B$1004,B209)=0,"Nicio linie de comandă. ","")&amp;IF(AND(L209&lt;&gt;"Da",C209&lt;&gt;"",TODAY()-C209&gt;ZileConf),"Neconfirmată de "&amp;(TODAY()-C209)&amp;" zile. ","")&amp;IF(S209="Întârziată","Termenul de livrare a trecut: "&amp;RIGHT("0"&amp;DAY(J209),2)&amp;"."&amp;RIGHT("0"&amp;MONTH(J209),2)&amp;"."&amp;YEAR(J209)&amp;". ","")&amp;IF(S209="Livrată – de facturat","Emite factura. ",""))))</f>
        <v/>
      </c>
    </row>
    <row r="210" spans="2:20" x14ac:dyDescent="0.2">
      <c r="B210" s="10" t="str">
        <f>IF(D210="","",MAX($B$5:B209)+1)</f>
        <v/>
      </c>
      <c r="C210" s="11"/>
      <c r="D210" s="12"/>
      <c r="E210" s="12"/>
      <c r="F210" s="12"/>
      <c r="G210" s="12"/>
      <c r="H210" s="12"/>
      <c r="I210" s="10"/>
      <c r="J210" s="11"/>
      <c r="K210" s="13"/>
      <c r="L210" s="10"/>
      <c r="M210" s="11"/>
      <c r="N210" s="14" t="str">
        <f>IF(B210="","",SUMIF('Linii comandă'!$B$5:$B$1004,B210,'Linii comandă'!$K$5:$K$1004))</f>
        <v/>
      </c>
      <c r="O210" s="14" t="str">
        <f>IF(B210="","",SUMIF('Linii comandă'!$B$5:$B$1004,B210,'Linii comandă'!$L$5:$L$1004))</f>
        <v/>
      </c>
      <c r="P210" s="14" t="str">
        <f t="shared" si="6"/>
        <v/>
      </c>
      <c r="Q210" s="15" t="str">
        <f>IF(OR(B210="",COUNTIF('Linii comandă'!$B$5:$B$1004,B210)=0),"",IF(SUMIF('Linii comandă'!$B$5:$B$1004,B210,'Linii comandă'!$N$5:$N$1004)&lt;=0,"Completă",IF(SUMIF('Linii comandă'!$B$5:$B$1004,B210,'Linii comandă'!$M$5:$M$1004)&gt;0,"Parțială","Nelivrată")))</f>
        <v/>
      </c>
      <c r="R210" s="10"/>
      <c r="S210" s="15" t="str">
        <f t="shared" ca="1" si="7"/>
        <v/>
      </c>
      <c r="T210" s="16" t="str">
        <f ca="1">IF(AND(B210="",D210=""),"",IF(S210="Anulată","",TRIM(IF(COUNTIF($B$5:$B$304,B210)&gt;1,"Număr dublat. ","")&amp;IF(OR(C210="",D210="",H210="",J210="",K210=""),"Date incomplete. ","")&amp;IF(COUNTIF('Linii comandă'!$B$5:$B$1004,B210)=0,"Nicio linie de comandă. ","")&amp;IF(AND(L210&lt;&gt;"Da",C210&lt;&gt;"",TODAY()-C210&gt;ZileConf),"Neconfirmată de "&amp;(TODAY()-C210)&amp;" zile. ","")&amp;IF(S210="Întârziată","Termenul de livrare a trecut: "&amp;RIGHT("0"&amp;DAY(J210),2)&amp;"."&amp;RIGHT("0"&amp;MONTH(J210),2)&amp;"."&amp;YEAR(J210)&amp;". ","")&amp;IF(S210="Livrată – de facturat","Emite factura. ",""))))</f>
        <v/>
      </c>
    </row>
    <row r="211" spans="2:20" x14ac:dyDescent="0.2">
      <c r="B211" s="10" t="str">
        <f>IF(D211="","",MAX($B$5:B210)+1)</f>
        <v/>
      </c>
      <c r="C211" s="11"/>
      <c r="D211" s="12"/>
      <c r="E211" s="12"/>
      <c r="F211" s="12"/>
      <c r="G211" s="12"/>
      <c r="H211" s="12"/>
      <c r="I211" s="10"/>
      <c r="J211" s="11"/>
      <c r="K211" s="13"/>
      <c r="L211" s="10"/>
      <c r="M211" s="11"/>
      <c r="N211" s="14" t="str">
        <f>IF(B211="","",SUMIF('Linii comandă'!$B$5:$B$1004,B211,'Linii comandă'!$K$5:$K$1004))</f>
        <v/>
      </c>
      <c r="O211" s="14" t="str">
        <f>IF(B211="","",SUMIF('Linii comandă'!$B$5:$B$1004,B211,'Linii comandă'!$L$5:$L$1004))</f>
        <v/>
      </c>
      <c r="P211" s="14" t="str">
        <f t="shared" si="6"/>
        <v/>
      </c>
      <c r="Q211" s="15" t="str">
        <f>IF(OR(B211="",COUNTIF('Linii comandă'!$B$5:$B$1004,B211)=0),"",IF(SUMIF('Linii comandă'!$B$5:$B$1004,B211,'Linii comandă'!$N$5:$N$1004)&lt;=0,"Completă",IF(SUMIF('Linii comandă'!$B$5:$B$1004,B211,'Linii comandă'!$M$5:$M$1004)&gt;0,"Parțială","Nelivrată")))</f>
        <v/>
      </c>
      <c r="R211" s="10"/>
      <c r="S211" s="15" t="str">
        <f t="shared" ca="1" si="7"/>
        <v/>
      </c>
      <c r="T211" s="16" t="str">
        <f ca="1">IF(AND(B211="",D211=""),"",IF(S211="Anulată","",TRIM(IF(COUNTIF($B$5:$B$304,B211)&gt;1,"Număr dublat. ","")&amp;IF(OR(C211="",D211="",H211="",J211="",K211=""),"Date incomplete. ","")&amp;IF(COUNTIF('Linii comandă'!$B$5:$B$1004,B211)=0,"Nicio linie de comandă. ","")&amp;IF(AND(L211&lt;&gt;"Da",C211&lt;&gt;"",TODAY()-C211&gt;ZileConf),"Neconfirmată de "&amp;(TODAY()-C211)&amp;" zile. ","")&amp;IF(S211="Întârziată","Termenul de livrare a trecut: "&amp;RIGHT("0"&amp;DAY(J211),2)&amp;"."&amp;RIGHT("0"&amp;MONTH(J211),2)&amp;"."&amp;YEAR(J211)&amp;". ","")&amp;IF(S211="Livrată – de facturat","Emite factura. ",""))))</f>
        <v/>
      </c>
    </row>
    <row r="212" spans="2:20" x14ac:dyDescent="0.2">
      <c r="B212" s="10" t="str">
        <f>IF(D212="","",MAX($B$5:B211)+1)</f>
        <v/>
      </c>
      <c r="C212" s="11"/>
      <c r="D212" s="12"/>
      <c r="E212" s="12"/>
      <c r="F212" s="12"/>
      <c r="G212" s="12"/>
      <c r="H212" s="12"/>
      <c r="I212" s="10"/>
      <c r="J212" s="11"/>
      <c r="K212" s="13"/>
      <c r="L212" s="10"/>
      <c r="M212" s="11"/>
      <c r="N212" s="14" t="str">
        <f>IF(B212="","",SUMIF('Linii comandă'!$B$5:$B$1004,B212,'Linii comandă'!$K$5:$K$1004))</f>
        <v/>
      </c>
      <c r="O212" s="14" t="str">
        <f>IF(B212="","",SUMIF('Linii comandă'!$B$5:$B$1004,B212,'Linii comandă'!$L$5:$L$1004))</f>
        <v/>
      </c>
      <c r="P212" s="14" t="str">
        <f t="shared" si="6"/>
        <v/>
      </c>
      <c r="Q212" s="15" t="str">
        <f>IF(OR(B212="",COUNTIF('Linii comandă'!$B$5:$B$1004,B212)=0),"",IF(SUMIF('Linii comandă'!$B$5:$B$1004,B212,'Linii comandă'!$N$5:$N$1004)&lt;=0,"Completă",IF(SUMIF('Linii comandă'!$B$5:$B$1004,B212,'Linii comandă'!$M$5:$M$1004)&gt;0,"Parțială","Nelivrată")))</f>
        <v/>
      </c>
      <c r="R212" s="10"/>
      <c r="S212" s="15" t="str">
        <f t="shared" ca="1" si="7"/>
        <v/>
      </c>
      <c r="T212" s="16" t="str">
        <f ca="1">IF(AND(B212="",D212=""),"",IF(S212="Anulată","",TRIM(IF(COUNTIF($B$5:$B$304,B212)&gt;1,"Număr dublat. ","")&amp;IF(OR(C212="",D212="",H212="",J212="",K212=""),"Date incomplete. ","")&amp;IF(COUNTIF('Linii comandă'!$B$5:$B$1004,B212)=0,"Nicio linie de comandă. ","")&amp;IF(AND(L212&lt;&gt;"Da",C212&lt;&gt;"",TODAY()-C212&gt;ZileConf),"Neconfirmată de "&amp;(TODAY()-C212)&amp;" zile. ","")&amp;IF(S212="Întârziată","Termenul de livrare a trecut: "&amp;RIGHT("0"&amp;DAY(J212),2)&amp;"."&amp;RIGHT("0"&amp;MONTH(J212),2)&amp;"."&amp;YEAR(J212)&amp;". ","")&amp;IF(S212="Livrată – de facturat","Emite factura. ",""))))</f>
        <v/>
      </c>
    </row>
    <row r="213" spans="2:20" x14ac:dyDescent="0.2">
      <c r="B213" s="10" t="str">
        <f>IF(D213="","",MAX($B$5:B212)+1)</f>
        <v/>
      </c>
      <c r="C213" s="11"/>
      <c r="D213" s="12"/>
      <c r="E213" s="12"/>
      <c r="F213" s="12"/>
      <c r="G213" s="12"/>
      <c r="H213" s="12"/>
      <c r="I213" s="10"/>
      <c r="J213" s="11"/>
      <c r="K213" s="13"/>
      <c r="L213" s="10"/>
      <c r="M213" s="11"/>
      <c r="N213" s="14" t="str">
        <f>IF(B213="","",SUMIF('Linii comandă'!$B$5:$B$1004,B213,'Linii comandă'!$K$5:$K$1004))</f>
        <v/>
      </c>
      <c r="O213" s="14" t="str">
        <f>IF(B213="","",SUMIF('Linii comandă'!$B$5:$B$1004,B213,'Linii comandă'!$L$5:$L$1004))</f>
        <v/>
      </c>
      <c r="P213" s="14" t="str">
        <f t="shared" si="6"/>
        <v/>
      </c>
      <c r="Q213" s="15" t="str">
        <f>IF(OR(B213="",COUNTIF('Linii comandă'!$B$5:$B$1004,B213)=0),"",IF(SUMIF('Linii comandă'!$B$5:$B$1004,B213,'Linii comandă'!$N$5:$N$1004)&lt;=0,"Completă",IF(SUMIF('Linii comandă'!$B$5:$B$1004,B213,'Linii comandă'!$M$5:$M$1004)&gt;0,"Parțială","Nelivrată")))</f>
        <v/>
      </c>
      <c r="R213" s="10"/>
      <c r="S213" s="15" t="str">
        <f t="shared" ca="1" si="7"/>
        <v/>
      </c>
      <c r="T213" s="16" t="str">
        <f ca="1">IF(AND(B213="",D213=""),"",IF(S213="Anulată","",TRIM(IF(COUNTIF($B$5:$B$304,B213)&gt;1,"Număr dublat. ","")&amp;IF(OR(C213="",D213="",H213="",J213="",K213=""),"Date incomplete. ","")&amp;IF(COUNTIF('Linii comandă'!$B$5:$B$1004,B213)=0,"Nicio linie de comandă. ","")&amp;IF(AND(L213&lt;&gt;"Da",C213&lt;&gt;"",TODAY()-C213&gt;ZileConf),"Neconfirmată de "&amp;(TODAY()-C213)&amp;" zile. ","")&amp;IF(S213="Întârziată","Termenul de livrare a trecut: "&amp;RIGHT("0"&amp;DAY(J213),2)&amp;"."&amp;RIGHT("0"&amp;MONTH(J213),2)&amp;"."&amp;YEAR(J213)&amp;". ","")&amp;IF(S213="Livrată – de facturat","Emite factura. ",""))))</f>
        <v/>
      </c>
    </row>
    <row r="214" spans="2:20" x14ac:dyDescent="0.2">
      <c r="B214" s="10" t="str">
        <f>IF(D214="","",MAX($B$5:B213)+1)</f>
        <v/>
      </c>
      <c r="C214" s="11"/>
      <c r="D214" s="12"/>
      <c r="E214" s="12"/>
      <c r="F214" s="12"/>
      <c r="G214" s="12"/>
      <c r="H214" s="12"/>
      <c r="I214" s="10"/>
      <c r="J214" s="11"/>
      <c r="K214" s="13"/>
      <c r="L214" s="10"/>
      <c r="M214" s="11"/>
      <c r="N214" s="14" t="str">
        <f>IF(B214="","",SUMIF('Linii comandă'!$B$5:$B$1004,B214,'Linii comandă'!$K$5:$K$1004))</f>
        <v/>
      </c>
      <c r="O214" s="14" t="str">
        <f>IF(B214="","",SUMIF('Linii comandă'!$B$5:$B$1004,B214,'Linii comandă'!$L$5:$L$1004))</f>
        <v/>
      </c>
      <c r="P214" s="14" t="str">
        <f t="shared" si="6"/>
        <v/>
      </c>
      <c r="Q214" s="15" t="str">
        <f>IF(OR(B214="",COUNTIF('Linii comandă'!$B$5:$B$1004,B214)=0),"",IF(SUMIF('Linii comandă'!$B$5:$B$1004,B214,'Linii comandă'!$N$5:$N$1004)&lt;=0,"Completă",IF(SUMIF('Linii comandă'!$B$5:$B$1004,B214,'Linii comandă'!$M$5:$M$1004)&gt;0,"Parțială","Nelivrată")))</f>
        <v/>
      </c>
      <c r="R214" s="10"/>
      <c r="S214" s="15" t="str">
        <f t="shared" ca="1" si="7"/>
        <v/>
      </c>
      <c r="T214" s="16" t="str">
        <f ca="1">IF(AND(B214="",D214=""),"",IF(S214="Anulată","",TRIM(IF(COUNTIF($B$5:$B$304,B214)&gt;1,"Număr dublat. ","")&amp;IF(OR(C214="",D214="",H214="",J214="",K214=""),"Date incomplete. ","")&amp;IF(COUNTIF('Linii comandă'!$B$5:$B$1004,B214)=0,"Nicio linie de comandă. ","")&amp;IF(AND(L214&lt;&gt;"Da",C214&lt;&gt;"",TODAY()-C214&gt;ZileConf),"Neconfirmată de "&amp;(TODAY()-C214)&amp;" zile. ","")&amp;IF(S214="Întârziată","Termenul de livrare a trecut: "&amp;RIGHT("0"&amp;DAY(J214),2)&amp;"."&amp;RIGHT("0"&amp;MONTH(J214),2)&amp;"."&amp;YEAR(J214)&amp;". ","")&amp;IF(S214="Livrată – de facturat","Emite factura. ",""))))</f>
        <v/>
      </c>
    </row>
    <row r="215" spans="2:20" x14ac:dyDescent="0.2">
      <c r="B215" s="10" t="str">
        <f>IF(D215="","",MAX($B$5:B214)+1)</f>
        <v/>
      </c>
      <c r="C215" s="11"/>
      <c r="D215" s="12"/>
      <c r="E215" s="12"/>
      <c r="F215" s="12"/>
      <c r="G215" s="12"/>
      <c r="H215" s="12"/>
      <c r="I215" s="10"/>
      <c r="J215" s="11"/>
      <c r="K215" s="13"/>
      <c r="L215" s="10"/>
      <c r="M215" s="11"/>
      <c r="N215" s="14" t="str">
        <f>IF(B215="","",SUMIF('Linii comandă'!$B$5:$B$1004,B215,'Linii comandă'!$K$5:$K$1004))</f>
        <v/>
      </c>
      <c r="O215" s="14" t="str">
        <f>IF(B215="","",SUMIF('Linii comandă'!$B$5:$B$1004,B215,'Linii comandă'!$L$5:$L$1004))</f>
        <v/>
      </c>
      <c r="P215" s="14" t="str">
        <f t="shared" si="6"/>
        <v/>
      </c>
      <c r="Q215" s="15" t="str">
        <f>IF(OR(B215="",COUNTIF('Linii comandă'!$B$5:$B$1004,B215)=0),"",IF(SUMIF('Linii comandă'!$B$5:$B$1004,B215,'Linii comandă'!$N$5:$N$1004)&lt;=0,"Completă",IF(SUMIF('Linii comandă'!$B$5:$B$1004,B215,'Linii comandă'!$M$5:$M$1004)&gt;0,"Parțială","Nelivrată")))</f>
        <v/>
      </c>
      <c r="R215" s="10"/>
      <c r="S215" s="15" t="str">
        <f t="shared" ca="1" si="7"/>
        <v/>
      </c>
      <c r="T215" s="16" t="str">
        <f ca="1">IF(AND(B215="",D215=""),"",IF(S215="Anulată","",TRIM(IF(COUNTIF($B$5:$B$304,B215)&gt;1,"Număr dublat. ","")&amp;IF(OR(C215="",D215="",H215="",J215="",K215=""),"Date incomplete. ","")&amp;IF(COUNTIF('Linii comandă'!$B$5:$B$1004,B215)=0,"Nicio linie de comandă. ","")&amp;IF(AND(L215&lt;&gt;"Da",C215&lt;&gt;"",TODAY()-C215&gt;ZileConf),"Neconfirmată de "&amp;(TODAY()-C215)&amp;" zile. ","")&amp;IF(S215="Întârziată","Termenul de livrare a trecut: "&amp;RIGHT("0"&amp;DAY(J215),2)&amp;"."&amp;RIGHT("0"&amp;MONTH(J215),2)&amp;"."&amp;YEAR(J215)&amp;". ","")&amp;IF(S215="Livrată – de facturat","Emite factura. ",""))))</f>
        <v/>
      </c>
    </row>
    <row r="216" spans="2:20" x14ac:dyDescent="0.2">
      <c r="B216" s="10" t="str">
        <f>IF(D216="","",MAX($B$5:B215)+1)</f>
        <v/>
      </c>
      <c r="C216" s="11"/>
      <c r="D216" s="12"/>
      <c r="E216" s="12"/>
      <c r="F216" s="12"/>
      <c r="G216" s="12"/>
      <c r="H216" s="12"/>
      <c r="I216" s="10"/>
      <c r="J216" s="11"/>
      <c r="K216" s="13"/>
      <c r="L216" s="10"/>
      <c r="M216" s="11"/>
      <c r="N216" s="14" t="str">
        <f>IF(B216="","",SUMIF('Linii comandă'!$B$5:$B$1004,B216,'Linii comandă'!$K$5:$K$1004))</f>
        <v/>
      </c>
      <c r="O216" s="14" t="str">
        <f>IF(B216="","",SUMIF('Linii comandă'!$B$5:$B$1004,B216,'Linii comandă'!$L$5:$L$1004))</f>
        <v/>
      </c>
      <c r="P216" s="14" t="str">
        <f t="shared" si="6"/>
        <v/>
      </c>
      <c r="Q216" s="15" t="str">
        <f>IF(OR(B216="",COUNTIF('Linii comandă'!$B$5:$B$1004,B216)=0),"",IF(SUMIF('Linii comandă'!$B$5:$B$1004,B216,'Linii comandă'!$N$5:$N$1004)&lt;=0,"Completă",IF(SUMIF('Linii comandă'!$B$5:$B$1004,B216,'Linii comandă'!$M$5:$M$1004)&gt;0,"Parțială","Nelivrată")))</f>
        <v/>
      </c>
      <c r="R216" s="10"/>
      <c r="S216" s="15" t="str">
        <f t="shared" ca="1" si="7"/>
        <v/>
      </c>
      <c r="T216" s="16" t="str">
        <f ca="1">IF(AND(B216="",D216=""),"",IF(S216="Anulată","",TRIM(IF(COUNTIF($B$5:$B$304,B216)&gt;1,"Număr dublat. ","")&amp;IF(OR(C216="",D216="",H216="",J216="",K216=""),"Date incomplete. ","")&amp;IF(COUNTIF('Linii comandă'!$B$5:$B$1004,B216)=0,"Nicio linie de comandă. ","")&amp;IF(AND(L216&lt;&gt;"Da",C216&lt;&gt;"",TODAY()-C216&gt;ZileConf),"Neconfirmată de "&amp;(TODAY()-C216)&amp;" zile. ","")&amp;IF(S216="Întârziată","Termenul de livrare a trecut: "&amp;RIGHT("0"&amp;DAY(J216),2)&amp;"."&amp;RIGHT("0"&amp;MONTH(J216),2)&amp;"."&amp;YEAR(J216)&amp;". ","")&amp;IF(S216="Livrată – de facturat","Emite factura. ",""))))</f>
        <v/>
      </c>
    </row>
    <row r="217" spans="2:20" x14ac:dyDescent="0.2">
      <c r="B217" s="10" t="str">
        <f>IF(D217="","",MAX($B$5:B216)+1)</f>
        <v/>
      </c>
      <c r="C217" s="11"/>
      <c r="D217" s="12"/>
      <c r="E217" s="12"/>
      <c r="F217" s="12"/>
      <c r="G217" s="12"/>
      <c r="H217" s="12"/>
      <c r="I217" s="10"/>
      <c r="J217" s="11"/>
      <c r="K217" s="13"/>
      <c r="L217" s="10"/>
      <c r="M217" s="11"/>
      <c r="N217" s="14" t="str">
        <f>IF(B217="","",SUMIF('Linii comandă'!$B$5:$B$1004,B217,'Linii comandă'!$K$5:$K$1004))</f>
        <v/>
      </c>
      <c r="O217" s="14" t="str">
        <f>IF(B217="","",SUMIF('Linii comandă'!$B$5:$B$1004,B217,'Linii comandă'!$L$5:$L$1004))</f>
        <v/>
      </c>
      <c r="P217" s="14" t="str">
        <f t="shared" si="6"/>
        <v/>
      </c>
      <c r="Q217" s="15" t="str">
        <f>IF(OR(B217="",COUNTIF('Linii comandă'!$B$5:$B$1004,B217)=0),"",IF(SUMIF('Linii comandă'!$B$5:$B$1004,B217,'Linii comandă'!$N$5:$N$1004)&lt;=0,"Completă",IF(SUMIF('Linii comandă'!$B$5:$B$1004,B217,'Linii comandă'!$M$5:$M$1004)&gt;0,"Parțială","Nelivrată")))</f>
        <v/>
      </c>
      <c r="R217" s="10"/>
      <c r="S217" s="15" t="str">
        <f t="shared" ca="1" si="7"/>
        <v/>
      </c>
      <c r="T217" s="16" t="str">
        <f ca="1">IF(AND(B217="",D217=""),"",IF(S217="Anulată","",TRIM(IF(COUNTIF($B$5:$B$304,B217)&gt;1,"Număr dublat. ","")&amp;IF(OR(C217="",D217="",H217="",J217="",K217=""),"Date incomplete. ","")&amp;IF(COUNTIF('Linii comandă'!$B$5:$B$1004,B217)=0,"Nicio linie de comandă. ","")&amp;IF(AND(L217&lt;&gt;"Da",C217&lt;&gt;"",TODAY()-C217&gt;ZileConf),"Neconfirmată de "&amp;(TODAY()-C217)&amp;" zile. ","")&amp;IF(S217="Întârziată","Termenul de livrare a trecut: "&amp;RIGHT("0"&amp;DAY(J217),2)&amp;"."&amp;RIGHT("0"&amp;MONTH(J217),2)&amp;"."&amp;YEAR(J217)&amp;". ","")&amp;IF(S217="Livrată – de facturat","Emite factura. ",""))))</f>
        <v/>
      </c>
    </row>
    <row r="218" spans="2:20" x14ac:dyDescent="0.2">
      <c r="B218" s="10" t="str">
        <f>IF(D218="","",MAX($B$5:B217)+1)</f>
        <v/>
      </c>
      <c r="C218" s="11"/>
      <c r="D218" s="12"/>
      <c r="E218" s="12"/>
      <c r="F218" s="12"/>
      <c r="G218" s="12"/>
      <c r="H218" s="12"/>
      <c r="I218" s="10"/>
      <c r="J218" s="11"/>
      <c r="K218" s="13"/>
      <c r="L218" s="10"/>
      <c r="M218" s="11"/>
      <c r="N218" s="14" t="str">
        <f>IF(B218="","",SUMIF('Linii comandă'!$B$5:$B$1004,B218,'Linii comandă'!$K$5:$K$1004))</f>
        <v/>
      </c>
      <c r="O218" s="14" t="str">
        <f>IF(B218="","",SUMIF('Linii comandă'!$B$5:$B$1004,B218,'Linii comandă'!$L$5:$L$1004))</f>
        <v/>
      </c>
      <c r="P218" s="14" t="str">
        <f t="shared" si="6"/>
        <v/>
      </c>
      <c r="Q218" s="15" t="str">
        <f>IF(OR(B218="",COUNTIF('Linii comandă'!$B$5:$B$1004,B218)=0),"",IF(SUMIF('Linii comandă'!$B$5:$B$1004,B218,'Linii comandă'!$N$5:$N$1004)&lt;=0,"Completă",IF(SUMIF('Linii comandă'!$B$5:$B$1004,B218,'Linii comandă'!$M$5:$M$1004)&gt;0,"Parțială","Nelivrată")))</f>
        <v/>
      </c>
      <c r="R218" s="10"/>
      <c r="S218" s="15" t="str">
        <f t="shared" ca="1" si="7"/>
        <v/>
      </c>
      <c r="T218" s="16" t="str">
        <f ca="1">IF(AND(B218="",D218=""),"",IF(S218="Anulată","",TRIM(IF(COUNTIF($B$5:$B$304,B218)&gt;1,"Număr dublat. ","")&amp;IF(OR(C218="",D218="",H218="",J218="",K218=""),"Date incomplete. ","")&amp;IF(COUNTIF('Linii comandă'!$B$5:$B$1004,B218)=0,"Nicio linie de comandă. ","")&amp;IF(AND(L218&lt;&gt;"Da",C218&lt;&gt;"",TODAY()-C218&gt;ZileConf),"Neconfirmată de "&amp;(TODAY()-C218)&amp;" zile. ","")&amp;IF(S218="Întârziată","Termenul de livrare a trecut: "&amp;RIGHT("0"&amp;DAY(J218),2)&amp;"."&amp;RIGHT("0"&amp;MONTH(J218),2)&amp;"."&amp;YEAR(J218)&amp;". ","")&amp;IF(S218="Livrată – de facturat","Emite factura. ",""))))</f>
        <v/>
      </c>
    </row>
    <row r="219" spans="2:20" x14ac:dyDescent="0.2">
      <c r="B219" s="10" t="str">
        <f>IF(D219="","",MAX($B$5:B218)+1)</f>
        <v/>
      </c>
      <c r="C219" s="11"/>
      <c r="D219" s="12"/>
      <c r="E219" s="12"/>
      <c r="F219" s="12"/>
      <c r="G219" s="12"/>
      <c r="H219" s="12"/>
      <c r="I219" s="10"/>
      <c r="J219" s="11"/>
      <c r="K219" s="13"/>
      <c r="L219" s="10"/>
      <c r="M219" s="11"/>
      <c r="N219" s="14" t="str">
        <f>IF(B219="","",SUMIF('Linii comandă'!$B$5:$B$1004,B219,'Linii comandă'!$K$5:$K$1004))</f>
        <v/>
      </c>
      <c r="O219" s="14" t="str">
        <f>IF(B219="","",SUMIF('Linii comandă'!$B$5:$B$1004,B219,'Linii comandă'!$L$5:$L$1004))</f>
        <v/>
      </c>
      <c r="P219" s="14" t="str">
        <f t="shared" si="6"/>
        <v/>
      </c>
      <c r="Q219" s="15" t="str">
        <f>IF(OR(B219="",COUNTIF('Linii comandă'!$B$5:$B$1004,B219)=0),"",IF(SUMIF('Linii comandă'!$B$5:$B$1004,B219,'Linii comandă'!$N$5:$N$1004)&lt;=0,"Completă",IF(SUMIF('Linii comandă'!$B$5:$B$1004,B219,'Linii comandă'!$M$5:$M$1004)&gt;0,"Parțială","Nelivrată")))</f>
        <v/>
      </c>
      <c r="R219" s="10"/>
      <c r="S219" s="15" t="str">
        <f t="shared" ca="1" si="7"/>
        <v/>
      </c>
      <c r="T219" s="16" t="str">
        <f ca="1">IF(AND(B219="",D219=""),"",IF(S219="Anulată","",TRIM(IF(COUNTIF($B$5:$B$304,B219)&gt;1,"Număr dublat. ","")&amp;IF(OR(C219="",D219="",H219="",J219="",K219=""),"Date incomplete. ","")&amp;IF(COUNTIF('Linii comandă'!$B$5:$B$1004,B219)=0,"Nicio linie de comandă. ","")&amp;IF(AND(L219&lt;&gt;"Da",C219&lt;&gt;"",TODAY()-C219&gt;ZileConf),"Neconfirmată de "&amp;(TODAY()-C219)&amp;" zile. ","")&amp;IF(S219="Întârziată","Termenul de livrare a trecut: "&amp;RIGHT("0"&amp;DAY(J219),2)&amp;"."&amp;RIGHT("0"&amp;MONTH(J219),2)&amp;"."&amp;YEAR(J219)&amp;". ","")&amp;IF(S219="Livrată – de facturat","Emite factura. ",""))))</f>
        <v/>
      </c>
    </row>
    <row r="220" spans="2:20" x14ac:dyDescent="0.2">
      <c r="B220" s="10" t="str">
        <f>IF(D220="","",MAX($B$5:B219)+1)</f>
        <v/>
      </c>
      <c r="C220" s="11"/>
      <c r="D220" s="12"/>
      <c r="E220" s="12"/>
      <c r="F220" s="12"/>
      <c r="G220" s="12"/>
      <c r="H220" s="12"/>
      <c r="I220" s="10"/>
      <c r="J220" s="11"/>
      <c r="K220" s="13"/>
      <c r="L220" s="10"/>
      <c r="M220" s="11"/>
      <c r="N220" s="14" t="str">
        <f>IF(B220="","",SUMIF('Linii comandă'!$B$5:$B$1004,B220,'Linii comandă'!$K$5:$K$1004))</f>
        <v/>
      </c>
      <c r="O220" s="14" t="str">
        <f>IF(B220="","",SUMIF('Linii comandă'!$B$5:$B$1004,B220,'Linii comandă'!$L$5:$L$1004))</f>
        <v/>
      </c>
      <c r="P220" s="14" t="str">
        <f t="shared" si="6"/>
        <v/>
      </c>
      <c r="Q220" s="15" t="str">
        <f>IF(OR(B220="",COUNTIF('Linii comandă'!$B$5:$B$1004,B220)=0),"",IF(SUMIF('Linii comandă'!$B$5:$B$1004,B220,'Linii comandă'!$N$5:$N$1004)&lt;=0,"Completă",IF(SUMIF('Linii comandă'!$B$5:$B$1004,B220,'Linii comandă'!$M$5:$M$1004)&gt;0,"Parțială","Nelivrată")))</f>
        <v/>
      </c>
      <c r="R220" s="10"/>
      <c r="S220" s="15" t="str">
        <f t="shared" ca="1" si="7"/>
        <v/>
      </c>
      <c r="T220" s="16" t="str">
        <f ca="1">IF(AND(B220="",D220=""),"",IF(S220="Anulată","",TRIM(IF(COUNTIF($B$5:$B$304,B220)&gt;1,"Număr dublat. ","")&amp;IF(OR(C220="",D220="",H220="",J220="",K220=""),"Date incomplete. ","")&amp;IF(COUNTIF('Linii comandă'!$B$5:$B$1004,B220)=0,"Nicio linie de comandă. ","")&amp;IF(AND(L220&lt;&gt;"Da",C220&lt;&gt;"",TODAY()-C220&gt;ZileConf),"Neconfirmată de "&amp;(TODAY()-C220)&amp;" zile. ","")&amp;IF(S220="Întârziată","Termenul de livrare a trecut: "&amp;RIGHT("0"&amp;DAY(J220),2)&amp;"."&amp;RIGHT("0"&amp;MONTH(J220),2)&amp;"."&amp;YEAR(J220)&amp;". ","")&amp;IF(S220="Livrată – de facturat","Emite factura. ",""))))</f>
        <v/>
      </c>
    </row>
    <row r="221" spans="2:20" x14ac:dyDescent="0.2">
      <c r="B221" s="10" t="str">
        <f>IF(D221="","",MAX($B$5:B220)+1)</f>
        <v/>
      </c>
      <c r="C221" s="11"/>
      <c r="D221" s="12"/>
      <c r="E221" s="12"/>
      <c r="F221" s="12"/>
      <c r="G221" s="12"/>
      <c r="H221" s="12"/>
      <c r="I221" s="10"/>
      <c r="J221" s="11"/>
      <c r="K221" s="13"/>
      <c r="L221" s="10"/>
      <c r="M221" s="11"/>
      <c r="N221" s="14" t="str">
        <f>IF(B221="","",SUMIF('Linii comandă'!$B$5:$B$1004,B221,'Linii comandă'!$K$5:$K$1004))</f>
        <v/>
      </c>
      <c r="O221" s="14" t="str">
        <f>IF(B221="","",SUMIF('Linii comandă'!$B$5:$B$1004,B221,'Linii comandă'!$L$5:$L$1004))</f>
        <v/>
      </c>
      <c r="P221" s="14" t="str">
        <f t="shared" si="6"/>
        <v/>
      </c>
      <c r="Q221" s="15" t="str">
        <f>IF(OR(B221="",COUNTIF('Linii comandă'!$B$5:$B$1004,B221)=0),"",IF(SUMIF('Linii comandă'!$B$5:$B$1004,B221,'Linii comandă'!$N$5:$N$1004)&lt;=0,"Completă",IF(SUMIF('Linii comandă'!$B$5:$B$1004,B221,'Linii comandă'!$M$5:$M$1004)&gt;0,"Parțială","Nelivrată")))</f>
        <v/>
      </c>
      <c r="R221" s="10"/>
      <c r="S221" s="15" t="str">
        <f t="shared" ca="1" si="7"/>
        <v/>
      </c>
      <c r="T221" s="16" t="str">
        <f ca="1">IF(AND(B221="",D221=""),"",IF(S221="Anulată","",TRIM(IF(COUNTIF($B$5:$B$304,B221)&gt;1,"Număr dublat. ","")&amp;IF(OR(C221="",D221="",H221="",J221="",K221=""),"Date incomplete. ","")&amp;IF(COUNTIF('Linii comandă'!$B$5:$B$1004,B221)=0,"Nicio linie de comandă. ","")&amp;IF(AND(L221&lt;&gt;"Da",C221&lt;&gt;"",TODAY()-C221&gt;ZileConf),"Neconfirmată de "&amp;(TODAY()-C221)&amp;" zile. ","")&amp;IF(S221="Întârziată","Termenul de livrare a trecut: "&amp;RIGHT("0"&amp;DAY(J221),2)&amp;"."&amp;RIGHT("0"&amp;MONTH(J221),2)&amp;"."&amp;YEAR(J221)&amp;". ","")&amp;IF(S221="Livrată – de facturat","Emite factura. ",""))))</f>
        <v/>
      </c>
    </row>
    <row r="222" spans="2:20" x14ac:dyDescent="0.2">
      <c r="B222" s="10" t="str">
        <f>IF(D222="","",MAX($B$5:B221)+1)</f>
        <v/>
      </c>
      <c r="C222" s="11"/>
      <c r="D222" s="12"/>
      <c r="E222" s="12"/>
      <c r="F222" s="12"/>
      <c r="G222" s="12"/>
      <c r="H222" s="12"/>
      <c r="I222" s="10"/>
      <c r="J222" s="11"/>
      <c r="K222" s="13"/>
      <c r="L222" s="10"/>
      <c r="M222" s="11"/>
      <c r="N222" s="14" t="str">
        <f>IF(B222="","",SUMIF('Linii comandă'!$B$5:$B$1004,B222,'Linii comandă'!$K$5:$K$1004))</f>
        <v/>
      </c>
      <c r="O222" s="14" t="str">
        <f>IF(B222="","",SUMIF('Linii comandă'!$B$5:$B$1004,B222,'Linii comandă'!$L$5:$L$1004))</f>
        <v/>
      </c>
      <c r="P222" s="14" t="str">
        <f t="shared" si="6"/>
        <v/>
      </c>
      <c r="Q222" s="15" t="str">
        <f>IF(OR(B222="",COUNTIF('Linii comandă'!$B$5:$B$1004,B222)=0),"",IF(SUMIF('Linii comandă'!$B$5:$B$1004,B222,'Linii comandă'!$N$5:$N$1004)&lt;=0,"Completă",IF(SUMIF('Linii comandă'!$B$5:$B$1004,B222,'Linii comandă'!$M$5:$M$1004)&gt;0,"Parțială","Nelivrată")))</f>
        <v/>
      </c>
      <c r="R222" s="10"/>
      <c r="S222" s="15" t="str">
        <f t="shared" ca="1" si="7"/>
        <v/>
      </c>
      <c r="T222" s="16" t="str">
        <f ca="1">IF(AND(B222="",D222=""),"",IF(S222="Anulată","",TRIM(IF(COUNTIF($B$5:$B$304,B222)&gt;1,"Număr dublat. ","")&amp;IF(OR(C222="",D222="",H222="",J222="",K222=""),"Date incomplete. ","")&amp;IF(COUNTIF('Linii comandă'!$B$5:$B$1004,B222)=0,"Nicio linie de comandă. ","")&amp;IF(AND(L222&lt;&gt;"Da",C222&lt;&gt;"",TODAY()-C222&gt;ZileConf),"Neconfirmată de "&amp;(TODAY()-C222)&amp;" zile. ","")&amp;IF(S222="Întârziată","Termenul de livrare a trecut: "&amp;RIGHT("0"&amp;DAY(J222),2)&amp;"."&amp;RIGHT("0"&amp;MONTH(J222),2)&amp;"."&amp;YEAR(J222)&amp;". ","")&amp;IF(S222="Livrată – de facturat","Emite factura. ",""))))</f>
        <v/>
      </c>
    </row>
    <row r="223" spans="2:20" x14ac:dyDescent="0.2">
      <c r="B223" s="10" t="str">
        <f>IF(D223="","",MAX($B$5:B222)+1)</f>
        <v/>
      </c>
      <c r="C223" s="11"/>
      <c r="D223" s="12"/>
      <c r="E223" s="12"/>
      <c r="F223" s="12"/>
      <c r="G223" s="12"/>
      <c r="H223" s="12"/>
      <c r="I223" s="10"/>
      <c r="J223" s="11"/>
      <c r="K223" s="13"/>
      <c r="L223" s="10"/>
      <c r="M223" s="11"/>
      <c r="N223" s="14" t="str">
        <f>IF(B223="","",SUMIF('Linii comandă'!$B$5:$B$1004,B223,'Linii comandă'!$K$5:$K$1004))</f>
        <v/>
      </c>
      <c r="O223" s="14" t="str">
        <f>IF(B223="","",SUMIF('Linii comandă'!$B$5:$B$1004,B223,'Linii comandă'!$L$5:$L$1004))</f>
        <v/>
      </c>
      <c r="P223" s="14" t="str">
        <f t="shared" si="6"/>
        <v/>
      </c>
      <c r="Q223" s="15" t="str">
        <f>IF(OR(B223="",COUNTIF('Linii comandă'!$B$5:$B$1004,B223)=0),"",IF(SUMIF('Linii comandă'!$B$5:$B$1004,B223,'Linii comandă'!$N$5:$N$1004)&lt;=0,"Completă",IF(SUMIF('Linii comandă'!$B$5:$B$1004,B223,'Linii comandă'!$M$5:$M$1004)&gt;0,"Parțială","Nelivrată")))</f>
        <v/>
      </c>
      <c r="R223" s="10"/>
      <c r="S223" s="15" t="str">
        <f t="shared" ca="1" si="7"/>
        <v/>
      </c>
      <c r="T223" s="16" t="str">
        <f ca="1">IF(AND(B223="",D223=""),"",IF(S223="Anulată","",TRIM(IF(COUNTIF($B$5:$B$304,B223)&gt;1,"Număr dublat. ","")&amp;IF(OR(C223="",D223="",H223="",J223="",K223=""),"Date incomplete. ","")&amp;IF(COUNTIF('Linii comandă'!$B$5:$B$1004,B223)=0,"Nicio linie de comandă. ","")&amp;IF(AND(L223&lt;&gt;"Da",C223&lt;&gt;"",TODAY()-C223&gt;ZileConf),"Neconfirmată de "&amp;(TODAY()-C223)&amp;" zile. ","")&amp;IF(S223="Întârziată","Termenul de livrare a trecut: "&amp;RIGHT("0"&amp;DAY(J223),2)&amp;"."&amp;RIGHT("0"&amp;MONTH(J223),2)&amp;"."&amp;YEAR(J223)&amp;". ","")&amp;IF(S223="Livrată – de facturat","Emite factura. ",""))))</f>
        <v/>
      </c>
    </row>
    <row r="224" spans="2:20" x14ac:dyDescent="0.2">
      <c r="B224" s="10" t="str">
        <f>IF(D224="","",MAX($B$5:B223)+1)</f>
        <v/>
      </c>
      <c r="C224" s="11"/>
      <c r="D224" s="12"/>
      <c r="E224" s="12"/>
      <c r="F224" s="12"/>
      <c r="G224" s="12"/>
      <c r="H224" s="12"/>
      <c r="I224" s="10"/>
      <c r="J224" s="11"/>
      <c r="K224" s="13"/>
      <c r="L224" s="10"/>
      <c r="M224" s="11"/>
      <c r="N224" s="14" t="str">
        <f>IF(B224="","",SUMIF('Linii comandă'!$B$5:$B$1004,B224,'Linii comandă'!$K$5:$K$1004))</f>
        <v/>
      </c>
      <c r="O224" s="14" t="str">
        <f>IF(B224="","",SUMIF('Linii comandă'!$B$5:$B$1004,B224,'Linii comandă'!$L$5:$L$1004))</f>
        <v/>
      </c>
      <c r="P224" s="14" t="str">
        <f t="shared" si="6"/>
        <v/>
      </c>
      <c r="Q224" s="15" t="str">
        <f>IF(OR(B224="",COUNTIF('Linii comandă'!$B$5:$B$1004,B224)=0),"",IF(SUMIF('Linii comandă'!$B$5:$B$1004,B224,'Linii comandă'!$N$5:$N$1004)&lt;=0,"Completă",IF(SUMIF('Linii comandă'!$B$5:$B$1004,B224,'Linii comandă'!$M$5:$M$1004)&gt;0,"Parțială","Nelivrată")))</f>
        <v/>
      </c>
      <c r="R224" s="10"/>
      <c r="S224" s="15" t="str">
        <f t="shared" ca="1" si="7"/>
        <v/>
      </c>
      <c r="T224" s="16" t="str">
        <f ca="1">IF(AND(B224="",D224=""),"",IF(S224="Anulată","",TRIM(IF(COUNTIF($B$5:$B$304,B224)&gt;1,"Număr dublat. ","")&amp;IF(OR(C224="",D224="",H224="",J224="",K224=""),"Date incomplete. ","")&amp;IF(COUNTIF('Linii comandă'!$B$5:$B$1004,B224)=0,"Nicio linie de comandă. ","")&amp;IF(AND(L224&lt;&gt;"Da",C224&lt;&gt;"",TODAY()-C224&gt;ZileConf),"Neconfirmată de "&amp;(TODAY()-C224)&amp;" zile. ","")&amp;IF(S224="Întârziată","Termenul de livrare a trecut: "&amp;RIGHT("0"&amp;DAY(J224),2)&amp;"."&amp;RIGHT("0"&amp;MONTH(J224),2)&amp;"."&amp;YEAR(J224)&amp;". ","")&amp;IF(S224="Livrată – de facturat","Emite factura. ",""))))</f>
        <v/>
      </c>
    </row>
    <row r="225" spans="2:20" x14ac:dyDescent="0.2">
      <c r="B225" s="10" t="str">
        <f>IF(D225="","",MAX($B$5:B224)+1)</f>
        <v/>
      </c>
      <c r="C225" s="11"/>
      <c r="D225" s="12"/>
      <c r="E225" s="12"/>
      <c r="F225" s="12"/>
      <c r="G225" s="12"/>
      <c r="H225" s="12"/>
      <c r="I225" s="10"/>
      <c r="J225" s="11"/>
      <c r="K225" s="13"/>
      <c r="L225" s="10"/>
      <c r="M225" s="11"/>
      <c r="N225" s="14" t="str">
        <f>IF(B225="","",SUMIF('Linii comandă'!$B$5:$B$1004,B225,'Linii comandă'!$K$5:$K$1004))</f>
        <v/>
      </c>
      <c r="O225" s="14" t="str">
        <f>IF(B225="","",SUMIF('Linii comandă'!$B$5:$B$1004,B225,'Linii comandă'!$L$5:$L$1004))</f>
        <v/>
      </c>
      <c r="P225" s="14" t="str">
        <f t="shared" si="6"/>
        <v/>
      </c>
      <c r="Q225" s="15" t="str">
        <f>IF(OR(B225="",COUNTIF('Linii comandă'!$B$5:$B$1004,B225)=0),"",IF(SUMIF('Linii comandă'!$B$5:$B$1004,B225,'Linii comandă'!$N$5:$N$1004)&lt;=0,"Completă",IF(SUMIF('Linii comandă'!$B$5:$B$1004,B225,'Linii comandă'!$M$5:$M$1004)&gt;0,"Parțială","Nelivrată")))</f>
        <v/>
      </c>
      <c r="R225" s="10"/>
      <c r="S225" s="15" t="str">
        <f t="shared" ca="1" si="7"/>
        <v/>
      </c>
      <c r="T225" s="16" t="str">
        <f ca="1">IF(AND(B225="",D225=""),"",IF(S225="Anulată","",TRIM(IF(COUNTIF($B$5:$B$304,B225)&gt;1,"Număr dublat. ","")&amp;IF(OR(C225="",D225="",H225="",J225="",K225=""),"Date incomplete. ","")&amp;IF(COUNTIF('Linii comandă'!$B$5:$B$1004,B225)=0,"Nicio linie de comandă. ","")&amp;IF(AND(L225&lt;&gt;"Da",C225&lt;&gt;"",TODAY()-C225&gt;ZileConf),"Neconfirmată de "&amp;(TODAY()-C225)&amp;" zile. ","")&amp;IF(S225="Întârziată","Termenul de livrare a trecut: "&amp;RIGHT("0"&amp;DAY(J225),2)&amp;"."&amp;RIGHT("0"&amp;MONTH(J225),2)&amp;"."&amp;YEAR(J225)&amp;". ","")&amp;IF(S225="Livrată – de facturat","Emite factura. ",""))))</f>
        <v/>
      </c>
    </row>
    <row r="226" spans="2:20" x14ac:dyDescent="0.2">
      <c r="B226" s="10" t="str">
        <f>IF(D226="","",MAX($B$5:B225)+1)</f>
        <v/>
      </c>
      <c r="C226" s="11"/>
      <c r="D226" s="12"/>
      <c r="E226" s="12"/>
      <c r="F226" s="12"/>
      <c r="G226" s="12"/>
      <c r="H226" s="12"/>
      <c r="I226" s="10"/>
      <c r="J226" s="11"/>
      <c r="K226" s="13"/>
      <c r="L226" s="10"/>
      <c r="M226" s="11"/>
      <c r="N226" s="14" t="str">
        <f>IF(B226="","",SUMIF('Linii comandă'!$B$5:$B$1004,B226,'Linii comandă'!$K$5:$K$1004))</f>
        <v/>
      </c>
      <c r="O226" s="14" t="str">
        <f>IF(B226="","",SUMIF('Linii comandă'!$B$5:$B$1004,B226,'Linii comandă'!$L$5:$L$1004))</f>
        <v/>
      </c>
      <c r="P226" s="14" t="str">
        <f t="shared" si="6"/>
        <v/>
      </c>
      <c r="Q226" s="15" t="str">
        <f>IF(OR(B226="",COUNTIF('Linii comandă'!$B$5:$B$1004,B226)=0),"",IF(SUMIF('Linii comandă'!$B$5:$B$1004,B226,'Linii comandă'!$N$5:$N$1004)&lt;=0,"Completă",IF(SUMIF('Linii comandă'!$B$5:$B$1004,B226,'Linii comandă'!$M$5:$M$1004)&gt;0,"Parțială","Nelivrată")))</f>
        <v/>
      </c>
      <c r="R226" s="10"/>
      <c r="S226" s="15" t="str">
        <f t="shared" ca="1" si="7"/>
        <v/>
      </c>
      <c r="T226" s="16" t="str">
        <f ca="1">IF(AND(B226="",D226=""),"",IF(S226="Anulată","",TRIM(IF(COUNTIF($B$5:$B$304,B226)&gt;1,"Număr dublat. ","")&amp;IF(OR(C226="",D226="",H226="",J226="",K226=""),"Date incomplete. ","")&amp;IF(COUNTIF('Linii comandă'!$B$5:$B$1004,B226)=0,"Nicio linie de comandă. ","")&amp;IF(AND(L226&lt;&gt;"Da",C226&lt;&gt;"",TODAY()-C226&gt;ZileConf),"Neconfirmată de "&amp;(TODAY()-C226)&amp;" zile. ","")&amp;IF(S226="Întârziată","Termenul de livrare a trecut: "&amp;RIGHT("0"&amp;DAY(J226),2)&amp;"."&amp;RIGHT("0"&amp;MONTH(J226),2)&amp;"."&amp;YEAR(J226)&amp;". ","")&amp;IF(S226="Livrată – de facturat","Emite factura. ",""))))</f>
        <v/>
      </c>
    </row>
    <row r="227" spans="2:20" x14ac:dyDescent="0.2">
      <c r="B227" s="10" t="str">
        <f>IF(D227="","",MAX($B$5:B226)+1)</f>
        <v/>
      </c>
      <c r="C227" s="11"/>
      <c r="D227" s="12"/>
      <c r="E227" s="12"/>
      <c r="F227" s="12"/>
      <c r="G227" s="12"/>
      <c r="H227" s="12"/>
      <c r="I227" s="10"/>
      <c r="J227" s="11"/>
      <c r="K227" s="13"/>
      <c r="L227" s="10"/>
      <c r="M227" s="11"/>
      <c r="N227" s="14" t="str">
        <f>IF(B227="","",SUMIF('Linii comandă'!$B$5:$B$1004,B227,'Linii comandă'!$K$5:$K$1004))</f>
        <v/>
      </c>
      <c r="O227" s="14" t="str">
        <f>IF(B227="","",SUMIF('Linii comandă'!$B$5:$B$1004,B227,'Linii comandă'!$L$5:$L$1004))</f>
        <v/>
      </c>
      <c r="P227" s="14" t="str">
        <f t="shared" si="6"/>
        <v/>
      </c>
      <c r="Q227" s="15" t="str">
        <f>IF(OR(B227="",COUNTIF('Linii comandă'!$B$5:$B$1004,B227)=0),"",IF(SUMIF('Linii comandă'!$B$5:$B$1004,B227,'Linii comandă'!$N$5:$N$1004)&lt;=0,"Completă",IF(SUMIF('Linii comandă'!$B$5:$B$1004,B227,'Linii comandă'!$M$5:$M$1004)&gt;0,"Parțială","Nelivrată")))</f>
        <v/>
      </c>
      <c r="R227" s="10"/>
      <c r="S227" s="15" t="str">
        <f t="shared" ca="1" si="7"/>
        <v/>
      </c>
      <c r="T227" s="16" t="str">
        <f ca="1">IF(AND(B227="",D227=""),"",IF(S227="Anulată","",TRIM(IF(COUNTIF($B$5:$B$304,B227)&gt;1,"Număr dublat. ","")&amp;IF(OR(C227="",D227="",H227="",J227="",K227=""),"Date incomplete. ","")&amp;IF(COUNTIF('Linii comandă'!$B$5:$B$1004,B227)=0,"Nicio linie de comandă. ","")&amp;IF(AND(L227&lt;&gt;"Da",C227&lt;&gt;"",TODAY()-C227&gt;ZileConf),"Neconfirmată de "&amp;(TODAY()-C227)&amp;" zile. ","")&amp;IF(S227="Întârziată","Termenul de livrare a trecut: "&amp;RIGHT("0"&amp;DAY(J227),2)&amp;"."&amp;RIGHT("0"&amp;MONTH(J227),2)&amp;"."&amp;YEAR(J227)&amp;". ","")&amp;IF(S227="Livrată – de facturat","Emite factura. ",""))))</f>
        <v/>
      </c>
    </row>
    <row r="228" spans="2:20" x14ac:dyDescent="0.2">
      <c r="B228" s="10" t="str">
        <f>IF(D228="","",MAX($B$5:B227)+1)</f>
        <v/>
      </c>
      <c r="C228" s="11"/>
      <c r="D228" s="12"/>
      <c r="E228" s="12"/>
      <c r="F228" s="12"/>
      <c r="G228" s="12"/>
      <c r="H228" s="12"/>
      <c r="I228" s="10"/>
      <c r="J228" s="11"/>
      <c r="K228" s="13"/>
      <c r="L228" s="10"/>
      <c r="M228" s="11"/>
      <c r="N228" s="14" t="str">
        <f>IF(B228="","",SUMIF('Linii comandă'!$B$5:$B$1004,B228,'Linii comandă'!$K$5:$K$1004))</f>
        <v/>
      </c>
      <c r="O228" s="14" t="str">
        <f>IF(B228="","",SUMIF('Linii comandă'!$B$5:$B$1004,B228,'Linii comandă'!$L$5:$L$1004))</f>
        <v/>
      </c>
      <c r="P228" s="14" t="str">
        <f t="shared" si="6"/>
        <v/>
      </c>
      <c r="Q228" s="15" t="str">
        <f>IF(OR(B228="",COUNTIF('Linii comandă'!$B$5:$B$1004,B228)=0),"",IF(SUMIF('Linii comandă'!$B$5:$B$1004,B228,'Linii comandă'!$N$5:$N$1004)&lt;=0,"Completă",IF(SUMIF('Linii comandă'!$B$5:$B$1004,B228,'Linii comandă'!$M$5:$M$1004)&gt;0,"Parțială","Nelivrată")))</f>
        <v/>
      </c>
      <c r="R228" s="10"/>
      <c r="S228" s="15" t="str">
        <f t="shared" ca="1" si="7"/>
        <v/>
      </c>
      <c r="T228" s="16" t="str">
        <f ca="1">IF(AND(B228="",D228=""),"",IF(S228="Anulată","",TRIM(IF(COUNTIF($B$5:$B$304,B228)&gt;1,"Număr dublat. ","")&amp;IF(OR(C228="",D228="",H228="",J228="",K228=""),"Date incomplete. ","")&amp;IF(COUNTIF('Linii comandă'!$B$5:$B$1004,B228)=0,"Nicio linie de comandă. ","")&amp;IF(AND(L228&lt;&gt;"Da",C228&lt;&gt;"",TODAY()-C228&gt;ZileConf),"Neconfirmată de "&amp;(TODAY()-C228)&amp;" zile. ","")&amp;IF(S228="Întârziată","Termenul de livrare a trecut: "&amp;RIGHT("0"&amp;DAY(J228),2)&amp;"."&amp;RIGHT("0"&amp;MONTH(J228),2)&amp;"."&amp;YEAR(J228)&amp;". ","")&amp;IF(S228="Livrată – de facturat","Emite factura. ",""))))</f>
        <v/>
      </c>
    </row>
    <row r="229" spans="2:20" x14ac:dyDescent="0.2">
      <c r="B229" s="10" t="str">
        <f>IF(D229="","",MAX($B$5:B228)+1)</f>
        <v/>
      </c>
      <c r="C229" s="11"/>
      <c r="D229" s="12"/>
      <c r="E229" s="12"/>
      <c r="F229" s="12"/>
      <c r="G229" s="12"/>
      <c r="H229" s="12"/>
      <c r="I229" s="10"/>
      <c r="J229" s="11"/>
      <c r="K229" s="13"/>
      <c r="L229" s="10"/>
      <c r="M229" s="11"/>
      <c r="N229" s="14" t="str">
        <f>IF(B229="","",SUMIF('Linii comandă'!$B$5:$B$1004,B229,'Linii comandă'!$K$5:$K$1004))</f>
        <v/>
      </c>
      <c r="O229" s="14" t="str">
        <f>IF(B229="","",SUMIF('Linii comandă'!$B$5:$B$1004,B229,'Linii comandă'!$L$5:$L$1004))</f>
        <v/>
      </c>
      <c r="P229" s="14" t="str">
        <f t="shared" si="6"/>
        <v/>
      </c>
      <c r="Q229" s="15" t="str">
        <f>IF(OR(B229="",COUNTIF('Linii comandă'!$B$5:$B$1004,B229)=0),"",IF(SUMIF('Linii comandă'!$B$5:$B$1004,B229,'Linii comandă'!$N$5:$N$1004)&lt;=0,"Completă",IF(SUMIF('Linii comandă'!$B$5:$B$1004,B229,'Linii comandă'!$M$5:$M$1004)&gt;0,"Parțială","Nelivrată")))</f>
        <v/>
      </c>
      <c r="R229" s="10"/>
      <c r="S229" s="15" t="str">
        <f t="shared" ca="1" si="7"/>
        <v/>
      </c>
      <c r="T229" s="16" t="str">
        <f ca="1">IF(AND(B229="",D229=""),"",IF(S229="Anulată","",TRIM(IF(COUNTIF($B$5:$B$304,B229)&gt;1,"Număr dublat. ","")&amp;IF(OR(C229="",D229="",H229="",J229="",K229=""),"Date incomplete. ","")&amp;IF(COUNTIF('Linii comandă'!$B$5:$B$1004,B229)=0,"Nicio linie de comandă. ","")&amp;IF(AND(L229&lt;&gt;"Da",C229&lt;&gt;"",TODAY()-C229&gt;ZileConf),"Neconfirmată de "&amp;(TODAY()-C229)&amp;" zile. ","")&amp;IF(S229="Întârziată","Termenul de livrare a trecut: "&amp;RIGHT("0"&amp;DAY(J229),2)&amp;"."&amp;RIGHT("0"&amp;MONTH(J229),2)&amp;"."&amp;YEAR(J229)&amp;". ","")&amp;IF(S229="Livrată – de facturat","Emite factura. ",""))))</f>
        <v/>
      </c>
    </row>
    <row r="230" spans="2:20" x14ac:dyDescent="0.2">
      <c r="B230" s="10" t="str">
        <f>IF(D230="","",MAX($B$5:B229)+1)</f>
        <v/>
      </c>
      <c r="C230" s="11"/>
      <c r="D230" s="12"/>
      <c r="E230" s="12"/>
      <c r="F230" s="12"/>
      <c r="G230" s="12"/>
      <c r="H230" s="12"/>
      <c r="I230" s="10"/>
      <c r="J230" s="11"/>
      <c r="K230" s="13"/>
      <c r="L230" s="10"/>
      <c r="M230" s="11"/>
      <c r="N230" s="14" t="str">
        <f>IF(B230="","",SUMIF('Linii comandă'!$B$5:$B$1004,B230,'Linii comandă'!$K$5:$K$1004))</f>
        <v/>
      </c>
      <c r="O230" s="14" t="str">
        <f>IF(B230="","",SUMIF('Linii comandă'!$B$5:$B$1004,B230,'Linii comandă'!$L$5:$L$1004))</f>
        <v/>
      </c>
      <c r="P230" s="14" t="str">
        <f t="shared" si="6"/>
        <v/>
      </c>
      <c r="Q230" s="15" t="str">
        <f>IF(OR(B230="",COUNTIF('Linii comandă'!$B$5:$B$1004,B230)=0),"",IF(SUMIF('Linii comandă'!$B$5:$B$1004,B230,'Linii comandă'!$N$5:$N$1004)&lt;=0,"Completă",IF(SUMIF('Linii comandă'!$B$5:$B$1004,B230,'Linii comandă'!$M$5:$M$1004)&gt;0,"Parțială","Nelivrată")))</f>
        <v/>
      </c>
      <c r="R230" s="10"/>
      <c r="S230" s="15" t="str">
        <f t="shared" ca="1" si="7"/>
        <v/>
      </c>
      <c r="T230" s="16" t="str">
        <f ca="1">IF(AND(B230="",D230=""),"",IF(S230="Anulată","",TRIM(IF(COUNTIF($B$5:$B$304,B230)&gt;1,"Număr dublat. ","")&amp;IF(OR(C230="",D230="",H230="",J230="",K230=""),"Date incomplete. ","")&amp;IF(COUNTIF('Linii comandă'!$B$5:$B$1004,B230)=0,"Nicio linie de comandă. ","")&amp;IF(AND(L230&lt;&gt;"Da",C230&lt;&gt;"",TODAY()-C230&gt;ZileConf),"Neconfirmată de "&amp;(TODAY()-C230)&amp;" zile. ","")&amp;IF(S230="Întârziată","Termenul de livrare a trecut: "&amp;RIGHT("0"&amp;DAY(J230),2)&amp;"."&amp;RIGHT("0"&amp;MONTH(J230),2)&amp;"."&amp;YEAR(J230)&amp;". ","")&amp;IF(S230="Livrată – de facturat","Emite factura. ",""))))</f>
        <v/>
      </c>
    </row>
    <row r="231" spans="2:20" x14ac:dyDescent="0.2">
      <c r="B231" s="10" t="str">
        <f>IF(D231="","",MAX($B$5:B230)+1)</f>
        <v/>
      </c>
      <c r="C231" s="11"/>
      <c r="D231" s="12"/>
      <c r="E231" s="12"/>
      <c r="F231" s="12"/>
      <c r="G231" s="12"/>
      <c r="H231" s="12"/>
      <c r="I231" s="10"/>
      <c r="J231" s="11"/>
      <c r="K231" s="13"/>
      <c r="L231" s="10"/>
      <c r="M231" s="11"/>
      <c r="N231" s="14" t="str">
        <f>IF(B231="","",SUMIF('Linii comandă'!$B$5:$B$1004,B231,'Linii comandă'!$K$5:$K$1004))</f>
        <v/>
      </c>
      <c r="O231" s="14" t="str">
        <f>IF(B231="","",SUMIF('Linii comandă'!$B$5:$B$1004,B231,'Linii comandă'!$L$5:$L$1004))</f>
        <v/>
      </c>
      <c r="P231" s="14" t="str">
        <f t="shared" si="6"/>
        <v/>
      </c>
      <c r="Q231" s="15" t="str">
        <f>IF(OR(B231="",COUNTIF('Linii comandă'!$B$5:$B$1004,B231)=0),"",IF(SUMIF('Linii comandă'!$B$5:$B$1004,B231,'Linii comandă'!$N$5:$N$1004)&lt;=0,"Completă",IF(SUMIF('Linii comandă'!$B$5:$B$1004,B231,'Linii comandă'!$M$5:$M$1004)&gt;0,"Parțială","Nelivrată")))</f>
        <v/>
      </c>
      <c r="R231" s="10"/>
      <c r="S231" s="15" t="str">
        <f t="shared" ca="1" si="7"/>
        <v/>
      </c>
      <c r="T231" s="16" t="str">
        <f ca="1">IF(AND(B231="",D231=""),"",IF(S231="Anulată","",TRIM(IF(COUNTIF($B$5:$B$304,B231)&gt;1,"Număr dublat. ","")&amp;IF(OR(C231="",D231="",H231="",J231="",K231=""),"Date incomplete. ","")&amp;IF(COUNTIF('Linii comandă'!$B$5:$B$1004,B231)=0,"Nicio linie de comandă. ","")&amp;IF(AND(L231&lt;&gt;"Da",C231&lt;&gt;"",TODAY()-C231&gt;ZileConf),"Neconfirmată de "&amp;(TODAY()-C231)&amp;" zile. ","")&amp;IF(S231="Întârziată","Termenul de livrare a trecut: "&amp;RIGHT("0"&amp;DAY(J231),2)&amp;"."&amp;RIGHT("0"&amp;MONTH(J231),2)&amp;"."&amp;YEAR(J231)&amp;". ","")&amp;IF(S231="Livrată – de facturat","Emite factura. ",""))))</f>
        <v/>
      </c>
    </row>
    <row r="232" spans="2:20" x14ac:dyDescent="0.2">
      <c r="B232" s="10" t="str">
        <f>IF(D232="","",MAX($B$5:B231)+1)</f>
        <v/>
      </c>
      <c r="C232" s="11"/>
      <c r="D232" s="12"/>
      <c r="E232" s="12"/>
      <c r="F232" s="12"/>
      <c r="G232" s="12"/>
      <c r="H232" s="12"/>
      <c r="I232" s="10"/>
      <c r="J232" s="11"/>
      <c r="K232" s="13"/>
      <c r="L232" s="10"/>
      <c r="M232" s="11"/>
      <c r="N232" s="14" t="str">
        <f>IF(B232="","",SUMIF('Linii comandă'!$B$5:$B$1004,B232,'Linii comandă'!$K$5:$K$1004))</f>
        <v/>
      </c>
      <c r="O232" s="14" t="str">
        <f>IF(B232="","",SUMIF('Linii comandă'!$B$5:$B$1004,B232,'Linii comandă'!$L$5:$L$1004))</f>
        <v/>
      </c>
      <c r="P232" s="14" t="str">
        <f t="shared" si="6"/>
        <v/>
      </c>
      <c r="Q232" s="15" t="str">
        <f>IF(OR(B232="",COUNTIF('Linii comandă'!$B$5:$B$1004,B232)=0),"",IF(SUMIF('Linii comandă'!$B$5:$B$1004,B232,'Linii comandă'!$N$5:$N$1004)&lt;=0,"Completă",IF(SUMIF('Linii comandă'!$B$5:$B$1004,B232,'Linii comandă'!$M$5:$M$1004)&gt;0,"Parțială","Nelivrată")))</f>
        <v/>
      </c>
      <c r="R232" s="10"/>
      <c r="S232" s="15" t="str">
        <f t="shared" ca="1" si="7"/>
        <v/>
      </c>
      <c r="T232" s="16" t="str">
        <f ca="1">IF(AND(B232="",D232=""),"",IF(S232="Anulată","",TRIM(IF(COUNTIF($B$5:$B$304,B232)&gt;1,"Număr dublat. ","")&amp;IF(OR(C232="",D232="",H232="",J232="",K232=""),"Date incomplete. ","")&amp;IF(COUNTIF('Linii comandă'!$B$5:$B$1004,B232)=0,"Nicio linie de comandă. ","")&amp;IF(AND(L232&lt;&gt;"Da",C232&lt;&gt;"",TODAY()-C232&gt;ZileConf),"Neconfirmată de "&amp;(TODAY()-C232)&amp;" zile. ","")&amp;IF(S232="Întârziată","Termenul de livrare a trecut: "&amp;RIGHT("0"&amp;DAY(J232),2)&amp;"."&amp;RIGHT("0"&amp;MONTH(J232),2)&amp;"."&amp;YEAR(J232)&amp;". ","")&amp;IF(S232="Livrată – de facturat","Emite factura. ",""))))</f>
        <v/>
      </c>
    </row>
    <row r="233" spans="2:20" x14ac:dyDescent="0.2">
      <c r="B233" s="10" t="str">
        <f>IF(D233="","",MAX($B$5:B232)+1)</f>
        <v/>
      </c>
      <c r="C233" s="11"/>
      <c r="D233" s="12"/>
      <c r="E233" s="12"/>
      <c r="F233" s="12"/>
      <c r="G233" s="12"/>
      <c r="H233" s="12"/>
      <c r="I233" s="10"/>
      <c r="J233" s="11"/>
      <c r="K233" s="13"/>
      <c r="L233" s="10"/>
      <c r="M233" s="11"/>
      <c r="N233" s="14" t="str">
        <f>IF(B233="","",SUMIF('Linii comandă'!$B$5:$B$1004,B233,'Linii comandă'!$K$5:$K$1004))</f>
        <v/>
      </c>
      <c r="O233" s="14" t="str">
        <f>IF(B233="","",SUMIF('Linii comandă'!$B$5:$B$1004,B233,'Linii comandă'!$L$5:$L$1004))</f>
        <v/>
      </c>
      <c r="P233" s="14" t="str">
        <f t="shared" si="6"/>
        <v/>
      </c>
      <c r="Q233" s="15" t="str">
        <f>IF(OR(B233="",COUNTIF('Linii comandă'!$B$5:$B$1004,B233)=0),"",IF(SUMIF('Linii comandă'!$B$5:$B$1004,B233,'Linii comandă'!$N$5:$N$1004)&lt;=0,"Completă",IF(SUMIF('Linii comandă'!$B$5:$B$1004,B233,'Linii comandă'!$M$5:$M$1004)&gt;0,"Parțială","Nelivrată")))</f>
        <v/>
      </c>
      <c r="R233" s="10"/>
      <c r="S233" s="15" t="str">
        <f t="shared" ca="1" si="7"/>
        <v/>
      </c>
      <c r="T233" s="16" t="str">
        <f ca="1">IF(AND(B233="",D233=""),"",IF(S233="Anulată","",TRIM(IF(COUNTIF($B$5:$B$304,B233)&gt;1,"Număr dublat. ","")&amp;IF(OR(C233="",D233="",H233="",J233="",K233=""),"Date incomplete. ","")&amp;IF(COUNTIF('Linii comandă'!$B$5:$B$1004,B233)=0,"Nicio linie de comandă. ","")&amp;IF(AND(L233&lt;&gt;"Da",C233&lt;&gt;"",TODAY()-C233&gt;ZileConf),"Neconfirmată de "&amp;(TODAY()-C233)&amp;" zile. ","")&amp;IF(S233="Întârziată","Termenul de livrare a trecut: "&amp;RIGHT("0"&amp;DAY(J233),2)&amp;"."&amp;RIGHT("0"&amp;MONTH(J233),2)&amp;"."&amp;YEAR(J233)&amp;". ","")&amp;IF(S233="Livrată – de facturat","Emite factura. ",""))))</f>
        <v/>
      </c>
    </row>
    <row r="234" spans="2:20" x14ac:dyDescent="0.2">
      <c r="B234" s="10" t="str">
        <f>IF(D234="","",MAX($B$5:B233)+1)</f>
        <v/>
      </c>
      <c r="C234" s="11"/>
      <c r="D234" s="12"/>
      <c r="E234" s="12"/>
      <c r="F234" s="12"/>
      <c r="G234" s="12"/>
      <c r="H234" s="12"/>
      <c r="I234" s="10"/>
      <c r="J234" s="11"/>
      <c r="K234" s="13"/>
      <c r="L234" s="10"/>
      <c r="M234" s="11"/>
      <c r="N234" s="14" t="str">
        <f>IF(B234="","",SUMIF('Linii comandă'!$B$5:$B$1004,B234,'Linii comandă'!$K$5:$K$1004))</f>
        <v/>
      </c>
      <c r="O234" s="14" t="str">
        <f>IF(B234="","",SUMIF('Linii comandă'!$B$5:$B$1004,B234,'Linii comandă'!$L$5:$L$1004))</f>
        <v/>
      </c>
      <c r="P234" s="14" t="str">
        <f t="shared" si="6"/>
        <v/>
      </c>
      <c r="Q234" s="15" t="str">
        <f>IF(OR(B234="",COUNTIF('Linii comandă'!$B$5:$B$1004,B234)=0),"",IF(SUMIF('Linii comandă'!$B$5:$B$1004,B234,'Linii comandă'!$N$5:$N$1004)&lt;=0,"Completă",IF(SUMIF('Linii comandă'!$B$5:$B$1004,B234,'Linii comandă'!$M$5:$M$1004)&gt;0,"Parțială","Nelivrată")))</f>
        <v/>
      </c>
      <c r="R234" s="10"/>
      <c r="S234" s="15" t="str">
        <f t="shared" ca="1" si="7"/>
        <v/>
      </c>
      <c r="T234" s="16" t="str">
        <f ca="1">IF(AND(B234="",D234=""),"",IF(S234="Anulată","",TRIM(IF(COUNTIF($B$5:$B$304,B234)&gt;1,"Număr dublat. ","")&amp;IF(OR(C234="",D234="",H234="",J234="",K234=""),"Date incomplete. ","")&amp;IF(COUNTIF('Linii comandă'!$B$5:$B$1004,B234)=0,"Nicio linie de comandă. ","")&amp;IF(AND(L234&lt;&gt;"Da",C234&lt;&gt;"",TODAY()-C234&gt;ZileConf),"Neconfirmată de "&amp;(TODAY()-C234)&amp;" zile. ","")&amp;IF(S234="Întârziată","Termenul de livrare a trecut: "&amp;RIGHT("0"&amp;DAY(J234),2)&amp;"."&amp;RIGHT("0"&amp;MONTH(J234),2)&amp;"."&amp;YEAR(J234)&amp;". ","")&amp;IF(S234="Livrată – de facturat","Emite factura. ",""))))</f>
        <v/>
      </c>
    </row>
    <row r="235" spans="2:20" x14ac:dyDescent="0.2">
      <c r="B235" s="10" t="str">
        <f>IF(D235="","",MAX($B$5:B234)+1)</f>
        <v/>
      </c>
      <c r="C235" s="11"/>
      <c r="D235" s="12"/>
      <c r="E235" s="12"/>
      <c r="F235" s="12"/>
      <c r="G235" s="12"/>
      <c r="H235" s="12"/>
      <c r="I235" s="10"/>
      <c r="J235" s="11"/>
      <c r="K235" s="13"/>
      <c r="L235" s="10"/>
      <c r="M235" s="11"/>
      <c r="N235" s="14" t="str">
        <f>IF(B235="","",SUMIF('Linii comandă'!$B$5:$B$1004,B235,'Linii comandă'!$K$5:$K$1004))</f>
        <v/>
      </c>
      <c r="O235" s="14" t="str">
        <f>IF(B235="","",SUMIF('Linii comandă'!$B$5:$B$1004,B235,'Linii comandă'!$L$5:$L$1004))</f>
        <v/>
      </c>
      <c r="P235" s="14" t="str">
        <f t="shared" si="6"/>
        <v/>
      </c>
      <c r="Q235" s="15" t="str">
        <f>IF(OR(B235="",COUNTIF('Linii comandă'!$B$5:$B$1004,B235)=0),"",IF(SUMIF('Linii comandă'!$B$5:$B$1004,B235,'Linii comandă'!$N$5:$N$1004)&lt;=0,"Completă",IF(SUMIF('Linii comandă'!$B$5:$B$1004,B235,'Linii comandă'!$M$5:$M$1004)&gt;0,"Parțială","Nelivrată")))</f>
        <v/>
      </c>
      <c r="R235" s="10"/>
      <c r="S235" s="15" t="str">
        <f t="shared" ca="1" si="7"/>
        <v/>
      </c>
      <c r="T235" s="16" t="str">
        <f ca="1">IF(AND(B235="",D235=""),"",IF(S235="Anulată","",TRIM(IF(COUNTIF($B$5:$B$304,B235)&gt;1,"Număr dublat. ","")&amp;IF(OR(C235="",D235="",H235="",J235="",K235=""),"Date incomplete. ","")&amp;IF(COUNTIF('Linii comandă'!$B$5:$B$1004,B235)=0,"Nicio linie de comandă. ","")&amp;IF(AND(L235&lt;&gt;"Da",C235&lt;&gt;"",TODAY()-C235&gt;ZileConf),"Neconfirmată de "&amp;(TODAY()-C235)&amp;" zile. ","")&amp;IF(S235="Întârziată","Termenul de livrare a trecut: "&amp;RIGHT("0"&amp;DAY(J235),2)&amp;"."&amp;RIGHT("0"&amp;MONTH(J235),2)&amp;"."&amp;YEAR(J235)&amp;". ","")&amp;IF(S235="Livrată – de facturat","Emite factura. ",""))))</f>
        <v/>
      </c>
    </row>
    <row r="236" spans="2:20" x14ac:dyDescent="0.2">
      <c r="B236" s="10" t="str">
        <f>IF(D236="","",MAX($B$5:B235)+1)</f>
        <v/>
      </c>
      <c r="C236" s="11"/>
      <c r="D236" s="12"/>
      <c r="E236" s="12"/>
      <c r="F236" s="12"/>
      <c r="G236" s="12"/>
      <c r="H236" s="12"/>
      <c r="I236" s="10"/>
      <c r="J236" s="11"/>
      <c r="K236" s="13"/>
      <c r="L236" s="10"/>
      <c r="M236" s="11"/>
      <c r="N236" s="14" t="str">
        <f>IF(B236="","",SUMIF('Linii comandă'!$B$5:$B$1004,B236,'Linii comandă'!$K$5:$K$1004))</f>
        <v/>
      </c>
      <c r="O236" s="14" t="str">
        <f>IF(B236="","",SUMIF('Linii comandă'!$B$5:$B$1004,B236,'Linii comandă'!$L$5:$L$1004))</f>
        <v/>
      </c>
      <c r="P236" s="14" t="str">
        <f t="shared" si="6"/>
        <v/>
      </c>
      <c r="Q236" s="15" t="str">
        <f>IF(OR(B236="",COUNTIF('Linii comandă'!$B$5:$B$1004,B236)=0),"",IF(SUMIF('Linii comandă'!$B$5:$B$1004,B236,'Linii comandă'!$N$5:$N$1004)&lt;=0,"Completă",IF(SUMIF('Linii comandă'!$B$5:$B$1004,B236,'Linii comandă'!$M$5:$M$1004)&gt;0,"Parțială","Nelivrată")))</f>
        <v/>
      </c>
      <c r="R236" s="10"/>
      <c r="S236" s="15" t="str">
        <f t="shared" ca="1" si="7"/>
        <v/>
      </c>
      <c r="T236" s="16" t="str">
        <f ca="1">IF(AND(B236="",D236=""),"",IF(S236="Anulată","",TRIM(IF(COUNTIF($B$5:$B$304,B236)&gt;1,"Număr dublat. ","")&amp;IF(OR(C236="",D236="",H236="",J236="",K236=""),"Date incomplete. ","")&amp;IF(COUNTIF('Linii comandă'!$B$5:$B$1004,B236)=0,"Nicio linie de comandă. ","")&amp;IF(AND(L236&lt;&gt;"Da",C236&lt;&gt;"",TODAY()-C236&gt;ZileConf),"Neconfirmată de "&amp;(TODAY()-C236)&amp;" zile. ","")&amp;IF(S236="Întârziată","Termenul de livrare a trecut: "&amp;RIGHT("0"&amp;DAY(J236),2)&amp;"."&amp;RIGHT("0"&amp;MONTH(J236),2)&amp;"."&amp;YEAR(J236)&amp;". ","")&amp;IF(S236="Livrată – de facturat","Emite factura. ",""))))</f>
        <v/>
      </c>
    </row>
    <row r="237" spans="2:20" x14ac:dyDescent="0.2">
      <c r="B237" s="10" t="str">
        <f>IF(D237="","",MAX($B$5:B236)+1)</f>
        <v/>
      </c>
      <c r="C237" s="11"/>
      <c r="D237" s="12"/>
      <c r="E237" s="12"/>
      <c r="F237" s="12"/>
      <c r="G237" s="12"/>
      <c r="H237" s="12"/>
      <c r="I237" s="10"/>
      <c r="J237" s="11"/>
      <c r="K237" s="13"/>
      <c r="L237" s="10"/>
      <c r="M237" s="11"/>
      <c r="N237" s="14" t="str">
        <f>IF(B237="","",SUMIF('Linii comandă'!$B$5:$B$1004,B237,'Linii comandă'!$K$5:$K$1004))</f>
        <v/>
      </c>
      <c r="O237" s="14" t="str">
        <f>IF(B237="","",SUMIF('Linii comandă'!$B$5:$B$1004,B237,'Linii comandă'!$L$5:$L$1004))</f>
        <v/>
      </c>
      <c r="P237" s="14" t="str">
        <f t="shared" si="6"/>
        <v/>
      </c>
      <c r="Q237" s="15" t="str">
        <f>IF(OR(B237="",COUNTIF('Linii comandă'!$B$5:$B$1004,B237)=0),"",IF(SUMIF('Linii comandă'!$B$5:$B$1004,B237,'Linii comandă'!$N$5:$N$1004)&lt;=0,"Completă",IF(SUMIF('Linii comandă'!$B$5:$B$1004,B237,'Linii comandă'!$M$5:$M$1004)&gt;0,"Parțială","Nelivrată")))</f>
        <v/>
      </c>
      <c r="R237" s="10"/>
      <c r="S237" s="15" t="str">
        <f t="shared" ca="1" si="7"/>
        <v/>
      </c>
      <c r="T237" s="16" t="str">
        <f ca="1">IF(AND(B237="",D237=""),"",IF(S237="Anulată","",TRIM(IF(COUNTIF($B$5:$B$304,B237)&gt;1,"Număr dublat. ","")&amp;IF(OR(C237="",D237="",H237="",J237="",K237=""),"Date incomplete. ","")&amp;IF(COUNTIF('Linii comandă'!$B$5:$B$1004,B237)=0,"Nicio linie de comandă. ","")&amp;IF(AND(L237&lt;&gt;"Da",C237&lt;&gt;"",TODAY()-C237&gt;ZileConf),"Neconfirmată de "&amp;(TODAY()-C237)&amp;" zile. ","")&amp;IF(S237="Întârziată","Termenul de livrare a trecut: "&amp;RIGHT("0"&amp;DAY(J237),2)&amp;"."&amp;RIGHT("0"&amp;MONTH(J237),2)&amp;"."&amp;YEAR(J237)&amp;". ","")&amp;IF(S237="Livrată – de facturat","Emite factura. ",""))))</f>
        <v/>
      </c>
    </row>
    <row r="238" spans="2:20" x14ac:dyDescent="0.2">
      <c r="B238" s="10" t="str">
        <f>IF(D238="","",MAX($B$5:B237)+1)</f>
        <v/>
      </c>
      <c r="C238" s="11"/>
      <c r="D238" s="12"/>
      <c r="E238" s="12"/>
      <c r="F238" s="12"/>
      <c r="G238" s="12"/>
      <c r="H238" s="12"/>
      <c r="I238" s="10"/>
      <c r="J238" s="11"/>
      <c r="K238" s="13"/>
      <c r="L238" s="10"/>
      <c r="M238" s="11"/>
      <c r="N238" s="14" t="str">
        <f>IF(B238="","",SUMIF('Linii comandă'!$B$5:$B$1004,B238,'Linii comandă'!$K$5:$K$1004))</f>
        <v/>
      </c>
      <c r="O238" s="14" t="str">
        <f>IF(B238="","",SUMIF('Linii comandă'!$B$5:$B$1004,B238,'Linii comandă'!$L$5:$L$1004))</f>
        <v/>
      </c>
      <c r="P238" s="14" t="str">
        <f t="shared" si="6"/>
        <v/>
      </c>
      <c r="Q238" s="15" t="str">
        <f>IF(OR(B238="",COUNTIF('Linii comandă'!$B$5:$B$1004,B238)=0),"",IF(SUMIF('Linii comandă'!$B$5:$B$1004,B238,'Linii comandă'!$N$5:$N$1004)&lt;=0,"Completă",IF(SUMIF('Linii comandă'!$B$5:$B$1004,B238,'Linii comandă'!$M$5:$M$1004)&gt;0,"Parțială","Nelivrată")))</f>
        <v/>
      </c>
      <c r="R238" s="10"/>
      <c r="S238" s="15" t="str">
        <f t="shared" ca="1" si="7"/>
        <v/>
      </c>
      <c r="T238" s="16" t="str">
        <f ca="1">IF(AND(B238="",D238=""),"",IF(S238="Anulată","",TRIM(IF(COUNTIF($B$5:$B$304,B238)&gt;1,"Număr dublat. ","")&amp;IF(OR(C238="",D238="",H238="",J238="",K238=""),"Date incomplete. ","")&amp;IF(COUNTIF('Linii comandă'!$B$5:$B$1004,B238)=0,"Nicio linie de comandă. ","")&amp;IF(AND(L238&lt;&gt;"Da",C238&lt;&gt;"",TODAY()-C238&gt;ZileConf),"Neconfirmată de "&amp;(TODAY()-C238)&amp;" zile. ","")&amp;IF(S238="Întârziată","Termenul de livrare a trecut: "&amp;RIGHT("0"&amp;DAY(J238),2)&amp;"."&amp;RIGHT("0"&amp;MONTH(J238),2)&amp;"."&amp;YEAR(J238)&amp;". ","")&amp;IF(S238="Livrată – de facturat","Emite factura. ",""))))</f>
        <v/>
      </c>
    </row>
    <row r="239" spans="2:20" x14ac:dyDescent="0.2">
      <c r="B239" s="10" t="str">
        <f>IF(D239="","",MAX($B$5:B238)+1)</f>
        <v/>
      </c>
      <c r="C239" s="11"/>
      <c r="D239" s="12"/>
      <c r="E239" s="12"/>
      <c r="F239" s="12"/>
      <c r="G239" s="12"/>
      <c r="H239" s="12"/>
      <c r="I239" s="10"/>
      <c r="J239" s="11"/>
      <c r="K239" s="13"/>
      <c r="L239" s="10"/>
      <c r="M239" s="11"/>
      <c r="N239" s="14" t="str">
        <f>IF(B239="","",SUMIF('Linii comandă'!$B$5:$B$1004,B239,'Linii comandă'!$K$5:$K$1004))</f>
        <v/>
      </c>
      <c r="O239" s="14" t="str">
        <f>IF(B239="","",SUMIF('Linii comandă'!$B$5:$B$1004,B239,'Linii comandă'!$L$5:$L$1004))</f>
        <v/>
      </c>
      <c r="P239" s="14" t="str">
        <f t="shared" si="6"/>
        <v/>
      </c>
      <c r="Q239" s="15" t="str">
        <f>IF(OR(B239="",COUNTIF('Linii comandă'!$B$5:$B$1004,B239)=0),"",IF(SUMIF('Linii comandă'!$B$5:$B$1004,B239,'Linii comandă'!$N$5:$N$1004)&lt;=0,"Completă",IF(SUMIF('Linii comandă'!$B$5:$B$1004,B239,'Linii comandă'!$M$5:$M$1004)&gt;0,"Parțială","Nelivrată")))</f>
        <v/>
      </c>
      <c r="R239" s="10"/>
      <c r="S239" s="15" t="str">
        <f t="shared" ca="1" si="7"/>
        <v/>
      </c>
      <c r="T239" s="16" t="str">
        <f ca="1">IF(AND(B239="",D239=""),"",IF(S239="Anulată","",TRIM(IF(COUNTIF($B$5:$B$304,B239)&gt;1,"Număr dublat. ","")&amp;IF(OR(C239="",D239="",H239="",J239="",K239=""),"Date incomplete. ","")&amp;IF(COUNTIF('Linii comandă'!$B$5:$B$1004,B239)=0,"Nicio linie de comandă. ","")&amp;IF(AND(L239&lt;&gt;"Da",C239&lt;&gt;"",TODAY()-C239&gt;ZileConf),"Neconfirmată de "&amp;(TODAY()-C239)&amp;" zile. ","")&amp;IF(S239="Întârziată","Termenul de livrare a trecut: "&amp;RIGHT("0"&amp;DAY(J239),2)&amp;"."&amp;RIGHT("0"&amp;MONTH(J239),2)&amp;"."&amp;YEAR(J239)&amp;". ","")&amp;IF(S239="Livrată – de facturat","Emite factura. ",""))))</f>
        <v/>
      </c>
    </row>
    <row r="240" spans="2:20" x14ac:dyDescent="0.2">
      <c r="B240" s="10" t="str">
        <f>IF(D240="","",MAX($B$5:B239)+1)</f>
        <v/>
      </c>
      <c r="C240" s="11"/>
      <c r="D240" s="12"/>
      <c r="E240" s="12"/>
      <c r="F240" s="12"/>
      <c r="G240" s="12"/>
      <c r="H240" s="12"/>
      <c r="I240" s="10"/>
      <c r="J240" s="11"/>
      <c r="K240" s="13"/>
      <c r="L240" s="10"/>
      <c r="M240" s="11"/>
      <c r="N240" s="14" t="str">
        <f>IF(B240="","",SUMIF('Linii comandă'!$B$5:$B$1004,B240,'Linii comandă'!$K$5:$K$1004))</f>
        <v/>
      </c>
      <c r="O240" s="14" t="str">
        <f>IF(B240="","",SUMIF('Linii comandă'!$B$5:$B$1004,B240,'Linii comandă'!$L$5:$L$1004))</f>
        <v/>
      </c>
      <c r="P240" s="14" t="str">
        <f t="shared" si="6"/>
        <v/>
      </c>
      <c r="Q240" s="15" t="str">
        <f>IF(OR(B240="",COUNTIF('Linii comandă'!$B$5:$B$1004,B240)=0),"",IF(SUMIF('Linii comandă'!$B$5:$B$1004,B240,'Linii comandă'!$N$5:$N$1004)&lt;=0,"Completă",IF(SUMIF('Linii comandă'!$B$5:$B$1004,B240,'Linii comandă'!$M$5:$M$1004)&gt;0,"Parțială","Nelivrată")))</f>
        <v/>
      </c>
      <c r="R240" s="10"/>
      <c r="S240" s="15" t="str">
        <f t="shared" ca="1" si="7"/>
        <v/>
      </c>
      <c r="T240" s="16" t="str">
        <f ca="1">IF(AND(B240="",D240=""),"",IF(S240="Anulată","",TRIM(IF(COUNTIF($B$5:$B$304,B240)&gt;1,"Număr dublat. ","")&amp;IF(OR(C240="",D240="",H240="",J240="",K240=""),"Date incomplete. ","")&amp;IF(COUNTIF('Linii comandă'!$B$5:$B$1004,B240)=0,"Nicio linie de comandă. ","")&amp;IF(AND(L240&lt;&gt;"Da",C240&lt;&gt;"",TODAY()-C240&gt;ZileConf),"Neconfirmată de "&amp;(TODAY()-C240)&amp;" zile. ","")&amp;IF(S240="Întârziată","Termenul de livrare a trecut: "&amp;RIGHT("0"&amp;DAY(J240),2)&amp;"."&amp;RIGHT("0"&amp;MONTH(J240),2)&amp;"."&amp;YEAR(J240)&amp;". ","")&amp;IF(S240="Livrată – de facturat","Emite factura. ",""))))</f>
        <v/>
      </c>
    </row>
    <row r="241" spans="2:20" x14ac:dyDescent="0.2">
      <c r="B241" s="10" t="str">
        <f>IF(D241="","",MAX($B$5:B240)+1)</f>
        <v/>
      </c>
      <c r="C241" s="11"/>
      <c r="D241" s="12"/>
      <c r="E241" s="12"/>
      <c r="F241" s="12"/>
      <c r="G241" s="12"/>
      <c r="H241" s="12"/>
      <c r="I241" s="10"/>
      <c r="J241" s="11"/>
      <c r="K241" s="13"/>
      <c r="L241" s="10"/>
      <c r="M241" s="11"/>
      <c r="N241" s="14" t="str">
        <f>IF(B241="","",SUMIF('Linii comandă'!$B$5:$B$1004,B241,'Linii comandă'!$K$5:$K$1004))</f>
        <v/>
      </c>
      <c r="O241" s="14" t="str">
        <f>IF(B241="","",SUMIF('Linii comandă'!$B$5:$B$1004,B241,'Linii comandă'!$L$5:$L$1004))</f>
        <v/>
      </c>
      <c r="P241" s="14" t="str">
        <f t="shared" si="6"/>
        <v/>
      </c>
      <c r="Q241" s="15" t="str">
        <f>IF(OR(B241="",COUNTIF('Linii comandă'!$B$5:$B$1004,B241)=0),"",IF(SUMIF('Linii comandă'!$B$5:$B$1004,B241,'Linii comandă'!$N$5:$N$1004)&lt;=0,"Completă",IF(SUMIF('Linii comandă'!$B$5:$B$1004,B241,'Linii comandă'!$M$5:$M$1004)&gt;0,"Parțială","Nelivrată")))</f>
        <v/>
      </c>
      <c r="R241" s="10"/>
      <c r="S241" s="15" t="str">
        <f t="shared" ca="1" si="7"/>
        <v/>
      </c>
      <c r="T241" s="16" t="str">
        <f ca="1">IF(AND(B241="",D241=""),"",IF(S241="Anulată","",TRIM(IF(COUNTIF($B$5:$B$304,B241)&gt;1,"Număr dublat. ","")&amp;IF(OR(C241="",D241="",H241="",J241="",K241=""),"Date incomplete. ","")&amp;IF(COUNTIF('Linii comandă'!$B$5:$B$1004,B241)=0,"Nicio linie de comandă. ","")&amp;IF(AND(L241&lt;&gt;"Da",C241&lt;&gt;"",TODAY()-C241&gt;ZileConf),"Neconfirmată de "&amp;(TODAY()-C241)&amp;" zile. ","")&amp;IF(S241="Întârziată","Termenul de livrare a trecut: "&amp;RIGHT("0"&amp;DAY(J241),2)&amp;"."&amp;RIGHT("0"&amp;MONTH(J241),2)&amp;"."&amp;YEAR(J241)&amp;". ","")&amp;IF(S241="Livrată – de facturat","Emite factura. ",""))))</f>
        <v/>
      </c>
    </row>
    <row r="242" spans="2:20" x14ac:dyDescent="0.2">
      <c r="B242" s="10" t="str">
        <f>IF(D242="","",MAX($B$5:B241)+1)</f>
        <v/>
      </c>
      <c r="C242" s="11"/>
      <c r="D242" s="12"/>
      <c r="E242" s="12"/>
      <c r="F242" s="12"/>
      <c r="G242" s="12"/>
      <c r="H242" s="12"/>
      <c r="I242" s="10"/>
      <c r="J242" s="11"/>
      <c r="K242" s="13"/>
      <c r="L242" s="10"/>
      <c r="M242" s="11"/>
      <c r="N242" s="14" t="str">
        <f>IF(B242="","",SUMIF('Linii comandă'!$B$5:$B$1004,B242,'Linii comandă'!$K$5:$K$1004))</f>
        <v/>
      </c>
      <c r="O242" s="14" t="str">
        <f>IF(B242="","",SUMIF('Linii comandă'!$B$5:$B$1004,B242,'Linii comandă'!$L$5:$L$1004))</f>
        <v/>
      </c>
      <c r="P242" s="14" t="str">
        <f t="shared" si="6"/>
        <v/>
      </c>
      <c r="Q242" s="15" t="str">
        <f>IF(OR(B242="",COUNTIF('Linii comandă'!$B$5:$B$1004,B242)=0),"",IF(SUMIF('Linii comandă'!$B$5:$B$1004,B242,'Linii comandă'!$N$5:$N$1004)&lt;=0,"Completă",IF(SUMIF('Linii comandă'!$B$5:$B$1004,B242,'Linii comandă'!$M$5:$M$1004)&gt;0,"Parțială","Nelivrată")))</f>
        <v/>
      </c>
      <c r="R242" s="10"/>
      <c r="S242" s="15" t="str">
        <f t="shared" ca="1" si="7"/>
        <v/>
      </c>
      <c r="T242" s="16" t="str">
        <f ca="1">IF(AND(B242="",D242=""),"",IF(S242="Anulată","",TRIM(IF(COUNTIF($B$5:$B$304,B242)&gt;1,"Număr dublat. ","")&amp;IF(OR(C242="",D242="",H242="",J242="",K242=""),"Date incomplete. ","")&amp;IF(COUNTIF('Linii comandă'!$B$5:$B$1004,B242)=0,"Nicio linie de comandă. ","")&amp;IF(AND(L242&lt;&gt;"Da",C242&lt;&gt;"",TODAY()-C242&gt;ZileConf),"Neconfirmată de "&amp;(TODAY()-C242)&amp;" zile. ","")&amp;IF(S242="Întârziată","Termenul de livrare a trecut: "&amp;RIGHT("0"&amp;DAY(J242),2)&amp;"."&amp;RIGHT("0"&amp;MONTH(J242),2)&amp;"."&amp;YEAR(J242)&amp;". ","")&amp;IF(S242="Livrată – de facturat","Emite factura. ",""))))</f>
        <v/>
      </c>
    </row>
    <row r="243" spans="2:20" x14ac:dyDescent="0.2">
      <c r="B243" s="10" t="str">
        <f>IF(D243="","",MAX($B$5:B242)+1)</f>
        <v/>
      </c>
      <c r="C243" s="11"/>
      <c r="D243" s="12"/>
      <c r="E243" s="12"/>
      <c r="F243" s="12"/>
      <c r="G243" s="12"/>
      <c r="H243" s="12"/>
      <c r="I243" s="10"/>
      <c r="J243" s="11"/>
      <c r="K243" s="13"/>
      <c r="L243" s="10"/>
      <c r="M243" s="11"/>
      <c r="N243" s="14" t="str">
        <f>IF(B243="","",SUMIF('Linii comandă'!$B$5:$B$1004,B243,'Linii comandă'!$K$5:$K$1004))</f>
        <v/>
      </c>
      <c r="O243" s="14" t="str">
        <f>IF(B243="","",SUMIF('Linii comandă'!$B$5:$B$1004,B243,'Linii comandă'!$L$5:$L$1004))</f>
        <v/>
      </c>
      <c r="P243" s="14" t="str">
        <f t="shared" si="6"/>
        <v/>
      </c>
      <c r="Q243" s="15" t="str">
        <f>IF(OR(B243="",COUNTIF('Linii comandă'!$B$5:$B$1004,B243)=0),"",IF(SUMIF('Linii comandă'!$B$5:$B$1004,B243,'Linii comandă'!$N$5:$N$1004)&lt;=0,"Completă",IF(SUMIF('Linii comandă'!$B$5:$B$1004,B243,'Linii comandă'!$M$5:$M$1004)&gt;0,"Parțială","Nelivrată")))</f>
        <v/>
      </c>
      <c r="R243" s="10"/>
      <c r="S243" s="15" t="str">
        <f t="shared" ca="1" si="7"/>
        <v/>
      </c>
      <c r="T243" s="16" t="str">
        <f ca="1">IF(AND(B243="",D243=""),"",IF(S243="Anulată","",TRIM(IF(COUNTIF($B$5:$B$304,B243)&gt;1,"Număr dublat. ","")&amp;IF(OR(C243="",D243="",H243="",J243="",K243=""),"Date incomplete. ","")&amp;IF(COUNTIF('Linii comandă'!$B$5:$B$1004,B243)=0,"Nicio linie de comandă. ","")&amp;IF(AND(L243&lt;&gt;"Da",C243&lt;&gt;"",TODAY()-C243&gt;ZileConf),"Neconfirmată de "&amp;(TODAY()-C243)&amp;" zile. ","")&amp;IF(S243="Întârziată","Termenul de livrare a trecut: "&amp;RIGHT("0"&amp;DAY(J243),2)&amp;"."&amp;RIGHT("0"&amp;MONTH(J243),2)&amp;"."&amp;YEAR(J243)&amp;". ","")&amp;IF(S243="Livrată – de facturat","Emite factura. ",""))))</f>
        <v/>
      </c>
    </row>
    <row r="244" spans="2:20" x14ac:dyDescent="0.2">
      <c r="B244" s="10" t="str">
        <f>IF(D244="","",MAX($B$5:B243)+1)</f>
        <v/>
      </c>
      <c r="C244" s="11"/>
      <c r="D244" s="12"/>
      <c r="E244" s="12"/>
      <c r="F244" s="12"/>
      <c r="G244" s="12"/>
      <c r="H244" s="12"/>
      <c r="I244" s="10"/>
      <c r="J244" s="11"/>
      <c r="K244" s="13"/>
      <c r="L244" s="10"/>
      <c r="M244" s="11"/>
      <c r="N244" s="14" t="str">
        <f>IF(B244="","",SUMIF('Linii comandă'!$B$5:$B$1004,B244,'Linii comandă'!$K$5:$K$1004))</f>
        <v/>
      </c>
      <c r="O244" s="14" t="str">
        <f>IF(B244="","",SUMIF('Linii comandă'!$B$5:$B$1004,B244,'Linii comandă'!$L$5:$L$1004))</f>
        <v/>
      </c>
      <c r="P244" s="14" t="str">
        <f t="shared" si="6"/>
        <v/>
      </c>
      <c r="Q244" s="15" t="str">
        <f>IF(OR(B244="",COUNTIF('Linii comandă'!$B$5:$B$1004,B244)=0),"",IF(SUMIF('Linii comandă'!$B$5:$B$1004,B244,'Linii comandă'!$N$5:$N$1004)&lt;=0,"Completă",IF(SUMIF('Linii comandă'!$B$5:$B$1004,B244,'Linii comandă'!$M$5:$M$1004)&gt;0,"Parțială","Nelivrată")))</f>
        <v/>
      </c>
      <c r="R244" s="10"/>
      <c r="S244" s="15" t="str">
        <f t="shared" ca="1" si="7"/>
        <v/>
      </c>
      <c r="T244" s="16" t="str">
        <f ca="1">IF(AND(B244="",D244=""),"",IF(S244="Anulată","",TRIM(IF(COUNTIF($B$5:$B$304,B244)&gt;1,"Număr dublat. ","")&amp;IF(OR(C244="",D244="",H244="",J244="",K244=""),"Date incomplete. ","")&amp;IF(COUNTIF('Linii comandă'!$B$5:$B$1004,B244)=0,"Nicio linie de comandă. ","")&amp;IF(AND(L244&lt;&gt;"Da",C244&lt;&gt;"",TODAY()-C244&gt;ZileConf),"Neconfirmată de "&amp;(TODAY()-C244)&amp;" zile. ","")&amp;IF(S244="Întârziată","Termenul de livrare a trecut: "&amp;RIGHT("0"&amp;DAY(J244),2)&amp;"."&amp;RIGHT("0"&amp;MONTH(J244),2)&amp;"."&amp;YEAR(J244)&amp;". ","")&amp;IF(S244="Livrată – de facturat","Emite factura. ",""))))</f>
        <v/>
      </c>
    </row>
    <row r="245" spans="2:20" x14ac:dyDescent="0.2">
      <c r="B245" s="10" t="str">
        <f>IF(D245="","",MAX($B$5:B244)+1)</f>
        <v/>
      </c>
      <c r="C245" s="11"/>
      <c r="D245" s="12"/>
      <c r="E245" s="12"/>
      <c r="F245" s="12"/>
      <c r="G245" s="12"/>
      <c r="H245" s="12"/>
      <c r="I245" s="10"/>
      <c r="J245" s="11"/>
      <c r="K245" s="13"/>
      <c r="L245" s="10"/>
      <c r="M245" s="11"/>
      <c r="N245" s="14" t="str">
        <f>IF(B245="","",SUMIF('Linii comandă'!$B$5:$B$1004,B245,'Linii comandă'!$K$5:$K$1004))</f>
        <v/>
      </c>
      <c r="O245" s="14" t="str">
        <f>IF(B245="","",SUMIF('Linii comandă'!$B$5:$B$1004,B245,'Linii comandă'!$L$5:$L$1004))</f>
        <v/>
      </c>
      <c r="P245" s="14" t="str">
        <f t="shared" si="6"/>
        <v/>
      </c>
      <c r="Q245" s="15" t="str">
        <f>IF(OR(B245="",COUNTIF('Linii comandă'!$B$5:$B$1004,B245)=0),"",IF(SUMIF('Linii comandă'!$B$5:$B$1004,B245,'Linii comandă'!$N$5:$N$1004)&lt;=0,"Completă",IF(SUMIF('Linii comandă'!$B$5:$B$1004,B245,'Linii comandă'!$M$5:$M$1004)&gt;0,"Parțială","Nelivrată")))</f>
        <v/>
      </c>
      <c r="R245" s="10"/>
      <c r="S245" s="15" t="str">
        <f t="shared" ca="1" si="7"/>
        <v/>
      </c>
      <c r="T245" s="16" t="str">
        <f ca="1">IF(AND(B245="",D245=""),"",IF(S245="Anulată","",TRIM(IF(COUNTIF($B$5:$B$304,B245)&gt;1,"Număr dublat. ","")&amp;IF(OR(C245="",D245="",H245="",J245="",K245=""),"Date incomplete. ","")&amp;IF(COUNTIF('Linii comandă'!$B$5:$B$1004,B245)=0,"Nicio linie de comandă. ","")&amp;IF(AND(L245&lt;&gt;"Da",C245&lt;&gt;"",TODAY()-C245&gt;ZileConf),"Neconfirmată de "&amp;(TODAY()-C245)&amp;" zile. ","")&amp;IF(S245="Întârziată","Termenul de livrare a trecut: "&amp;RIGHT("0"&amp;DAY(J245),2)&amp;"."&amp;RIGHT("0"&amp;MONTH(J245),2)&amp;"."&amp;YEAR(J245)&amp;". ","")&amp;IF(S245="Livrată – de facturat","Emite factura. ",""))))</f>
        <v/>
      </c>
    </row>
    <row r="246" spans="2:20" x14ac:dyDescent="0.2">
      <c r="B246" s="10" t="str">
        <f>IF(D246="","",MAX($B$5:B245)+1)</f>
        <v/>
      </c>
      <c r="C246" s="11"/>
      <c r="D246" s="12"/>
      <c r="E246" s="12"/>
      <c r="F246" s="12"/>
      <c r="G246" s="12"/>
      <c r="H246" s="12"/>
      <c r="I246" s="10"/>
      <c r="J246" s="11"/>
      <c r="K246" s="13"/>
      <c r="L246" s="10"/>
      <c r="M246" s="11"/>
      <c r="N246" s="14" t="str">
        <f>IF(B246="","",SUMIF('Linii comandă'!$B$5:$B$1004,B246,'Linii comandă'!$K$5:$K$1004))</f>
        <v/>
      </c>
      <c r="O246" s="14" t="str">
        <f>IF(B246="","",SUMIF('Linii comandă'!$B$5:$B$1004,B246,'Linii comandă'!$L$5:$L$1004))</f>
        <v/>
      </c>
      <c r="P246" s="14" t="str">
        <f t="shared" si="6"/>
        <v/>
      </c>
      <c r="Q246" s="15" t="str">
        <f>IF(OR(B246="",COUNTIF('Linii comandă'!$B$5:$B$1004,B246)=0),"",IF(SUMIF('Linii comandă'!$B$5:$B$1004,B246,'Linii comandă'!$N$5:$N$1004)&lt;=0,"Completă",IF(SUMIF('Linii comandă'!$B$5:$B$1004,B246,'Linii comandă'!$M$5:$M$1004)&gt;0,"Parțială","Nelivrată")))</f>
        <v/>
      </c>
      <c r="R246" s="10"/>
      <c r="S246" s="15" t="str">
        <f t="shared" ca="1" si="7"/>
        <v/>
      </c>
      <c r="T246" s="16" t="str">
        <f ca="1">IF(AND(B246="",D246=""),"",IF(S246="Anulată","",TRIM(IF(COUNTIF($B$5:$B$304,B246)&gt;1,"Număr dublat. ","")&amp;IF(OR(C246="",D246="",H246="",J246="",K246=""),"Date incomplete. ","")&amp;IF(COUNTIF('Linii comandă'!$B$5:$B$1004,B246)=0,"Nicio linie de comandă. ","")&amp;IF(AND(L246&lt;&gt;"Da",C246&lt;&gt;"",TODAY()-C246&gt;ZileConf),"Neconfirmată de "&amp;(TODAY()-C246)&amp;" zile. ","")&amp;IF(S246="Întârziată","Termenul de livrare a trecut: "&amp;RIGHT("0"&amp;DAY(J246),2)&amp;"."&amp;RIGHT("0"&amp;MONTH(J246),2)&amp;"."&amp;YEAR(J246)&amp;". ","")&amp;IF(S246="Livrată – de facturat","Emite factura. ",""))))</f>
        <v/>
      </c>
    </row>
    <row r="247" spans="2:20" x14ac:dyDescent="0.2">
      <c r="B247" s="10" t="str">
        <f>IF(D247="","",MAX($B$5:B246)+1)</f>
        <v/>
      </c>
      <c r="C247" s="11"/>
      <c r="D247" s="12"/>
      <c r="E247" s="12"/>
      <c r="F247" s="12"/>
      <c r="G247" s="12"/>
      <c r="H247" s="12"/>
      <c r="I247" s="10"/>
      <c r="J247" s="11"/>
      <c r="K247" s="13"/>
      <c r="L247" s="10"/>
      <c r="M247" s="11"/>
      <c r="N247" s="14" t="str">
        <f>IF(B247="","",SUMIF('Linii comandă'!$B$5:$B$1004,B247,'Linii comandă'!$K$5:$K$1004))</f>
        <v/>
      </c>
      <c r="O247" s="14" t="str">
        <f>IF(B247="","",SUMIF('Linii comandă'!$B$5:$B$1004,B247,'Linii comandă'!$L$5:$L$1004))</f>
        <v/>
      </c>
      <c r="P247" s="14" t="str">
        <f t="shared" si="6"/>
        <v/>
      </c>
      <c r="Q247" s="15" t="str">
        <f>IF(OR(B247="",COUNTIF('Linii comandă'!$B$5:$B$1004,B247)=0),"",IF(SUMIF('Linii comandă'!$B$5:$B$1004,B247,'Linii comandă'!$N$5:$N$1004)&lt;=0,"Completă",IF(SUMIF('Linii comandă'!$B$5:$B$1004,B247,'Linii comandă'!$M$5:$M$1004)&gt;0,"Parțială","Nelivrată")))</f>
        <v/>
      </c>
      <c r="R247" s="10"/>
      <c r="S247" s="15" t="str">
        <f t="shared" ca="1" si="7"/>
        <v/>
      </c>
      <c r="T247" s="16" t="str">
        <f ca="1">IF(AND(B247="",D247=""),"",IF(S247="Anulată","",TRIM(IF(COUNTIF($B$5:$B$304,B247)&gt;1,"Număr dublat. ","")&amp;IF(OR(C247="",D247="",H247="",J247="",K247=""),"Date incomplete. ","")&amp;IF(COUNTIF('Linii comandă'!$B$5:$B$1004,B247)=0,"Nicio linie de comandă. ","")&amp;IF(AND(L247&lt;&gt;"Da",C247&lt;&gt;"",TODAY()-C247&gt;ZileConf),"Neconfirmată de "&amp;(TODAY()-C247)&amp;" zile. ","")&amp;IF(S247="Întârziată","Termenul de livrare a trecut: "&amp;RIGHT("0"&amp;DAY(J247),2)&amp;"."&amp;RIGHT("0"&amp;MONTH(J247),2)&amp;"."&amp;YEAR(J247)&amp;". ","")&amp;IF(S247="Livrată – de facturat","Emite factura. ",""))))</f>
        <v/>
      </c>
    </row>
    <row r="248" spans="2:20" x14ac:dyDescent="0.2">
      <c r="B248" s="10" t="str">
        <f>IF(D248="","",MAX($B$5:B247)+1)</f>
        <v/>
      </c>
      <c r="C248" s="11"/>
      <c r="D248" s="12"/>
      <c r="E248" s="12"/>
      <c r="F248" s="12"/>
      <c r="G248" s="12"/>
      <c r="H248" s="12"/>
      <c r="I248" s="10"/>
      <c r="J248" s="11"/>
      <c r="K248" s="13"/>
      <c r="L248" s="10"/>
      <c r="M248" s="11"/>
      <c r="N248" s="14" t="str">
        <f>IF(B248="","",SUMIF('Linii comandă'!$B$5:$B$1004,B248,'Linii comandă'!$K$5:$K$1004))</f>
        <v/>
      </c>
      <c r="O248" s="14" t="str">
        <f>IF(B248="","",SUMIF('Linii comandă'!$B$5:$B$1004,B248,'Linii comandă'!$L$5:$L$1004))</f>
        <v/>
      </c>
      <c r="P248" s="14" t="str">
        <f t="shared" si="6"/>
        <v/>
      </c>
      <c r="Q248" s="15" t="str">
        <f>IF(OR(B248="",COUNTIF('Linii comandă'!$B$5:$B$1004,B248)=0),"",IF(SUMIF('Linii comandă'!$B$5:$B$1004,B248,'Linii comandă'!$N$5:$N$1004)&lt;=0,"Completă",IF(SUMIF('Linii comandă'!$B$5:$B$1004,B248,'Linii comandă'!$M$5:$M$1004)&gt;0,"Parțială","Nelivrată")))</f>
        <v/>
      </c>
      <c r="R248" s="10"/>
      <c r="S248" s="15" t="str">
        <f t="shared" ca="1" si="7"/>
        <v/>
      </c>
      <c r="T248" s="16" t="str">
        <f ca="1">IF(AND(B248="",D248=""),"",IF(S248="Anulată","",TRIM(IF(COUNTIF($B$5:$B$304,B248)&gt;1,"Număr dublat. ","")&amp;IF(OR(C248="",D248="",H248="",J248="",K248=""),"Date incomplete. ","")&amp;IF(COUNTIF('Linii comandă'!$B$5:$B$1004,B248)=0,"Nicio linie de comandă. ","")&amp;IF(AND(L248&lt;&gt;"Da",C248&lt;&gt;"",TODAY()-C248&gt;ZileConf),"Neconfirmată de "&amp;(TODAY()-C248)&amp;" zile. ","")&amp;IF(S248="Întârziată","Termenul de livrare a trecut: "&amp;RIGHT("0"&amp;DAY(J248),2)&amp;"."&amp;RIGHT("0"&amp;MONTH(J248),2)&amp;"."&amp;YEAR(J248)&amp;". ","")&amp;IF(S248="Livrată – de facturat","Emite factura. ",""))))</f>
        <v/>
      </c>
    </row>
    <row r="249" spans="2:20" x14ac:dyDescent="0.2">
      <c r="B249" s="10" t="str">
        <f>IF(D249="","",MAX($B$5:B248)+1)</f>
        <v/>
      </c>
      <c r="C249" s="11"/>
      <c r="D249" s="12"/>
      <c r="E249" s="12"/>
      <c r="F249" s="12"/>
      <c r="G249" s="12"/>
      <c r="H249" s="12"/>
      <c r="I249" s="10"/>
      <c r="J249" s="11"/>
      <c r="K249" s="13"/>
      <c r="L249" s="10"/>
      <c r="M249" s="11"/>
      <c r="N249" s="14" t="str">
        <f>IF(B249="","",SUMIF('Linii comandă'!$B$5:$B$1004,B249,'Linii comandă'!$K$5:$K$1004))</f>
        <v/>
      </c>
      <c r="O249" s="14" t="str">
        <f>IF(B249="","",SUMIF('Linii comandă'!$B$5:$B$1004,B249,'Linii comandă'!$L$5:$L$1004))</f>
        <v/>
      </c>
      <c r="P249" s="14" t="str">
        <f t="shared" si="6"/>
        <v/>
      </c>
      <c r="Q249" s="15" t="str">
        <f>IF(OR(B249="",COUNTIF('Linii comandă'!$B$5:$B$1004,B249)=0),"",IF(SUMIF('Linii comandă'!$B$5:$B$1004,B249,'Linii comandă'!$N$5:$N$1004)&lt;=0,"Completă",IF(SUMIF('Linii comandă'!$B$5:$B$1004,B249,'Linii comandă'!$M$5:$M$1004)&gt;0,"Parțială","Nelivrată")))</f>
        <v/>
      </c>
      <c r="R249" s="10"/>
      <c r="S249" s="15" t="str">
        <f t="shared" ca="1" si="7"/>
        <v/>
      </c>
      <c r="T249" s="16" t="str">
        <f ca="1">IF(AND(B249="",D249=""),"",IF(S249="Anulată","",TRIM(IF(COUNTIF($B$5:$B$304,B249)&gt;1,"Număr dublat. ","")&amp;IF(OR(C249="",D249="",H249="",J249="",K249=""),"Date incomplete. ","")&amp;IF(COUNTIF('Linii comandă'!$B$5:$B$1004,B249)=0,"Nicio linie de comandă. ","")&amp;IF(AND(L249&lt;&gt;"Da",C249&lt;&gt;"",TODAY()-C249&gt;ZileConf),"Neconfirmată de "&amp;(TODAY()-C249)&amp;" zile. ","")&amp;IF(S249="Întârziată","Termenul de livrare a trecut: "&amp;RIGHT("0"&amp;DAY(J249),2)&amp;"."&amp;RIGHT("0"&amp;MONTH(J249),2)&amp;"."&amp;YEAR(J249)&amp;". ","")&amp;IF(S249="Livrată – de facturat","Emite factura. ",""))))</f>
        <v/>
      </c>
    </row>
    <row r="250" spans="2:20" x14ac:dyDescent="0.2">
      <c r="B250" s="10" t="str">
        <f>IF(D250="","",MAX($B$5:B249)+1)</f>
        <v/>
      </c>
      <c r="C250" s="11"/>
      <c r="D250" s="12"/>
      <c r="E250" s="12"/>
      <c r="F250" s="12"/>
      <c r="G250" s="12"/>
      <c r="H250" s="12"/>
      <c r="I250" s="10"/>
      <c r="J250" s="11"/>
      <c r="K250" s="13"/>
      <c r="L250" s="10"/>
      <c r="M250" s="11"/>
      <c r="N250" s="14" t="str">
        <f>IF(B250="","",SUMIF('Linii comandă'!$B$5:$B$1004,B250,'Linii comandă'!$K$5:$K$1004))</f>
        <v/>
      </c>
      <c r="O250" s="14" t="str">
        <f>IF(B250="","",SUMIF('Linii comandă'!$B$5:$B$1004,B250,'Linii comandă'!$L$5:$L$1004))</f>
        <v/>
      </c>
      <c r="P250" s="14" t="str">
        <f t="shared" si="6"/>
        <v/>
      </c>
      <c r="Q250" s="15" t="str">
        <f>IF(OR(B250="",COUNTIF('Linii comandă'!$B$5:$B$1004,B250)=0),"",IF(SUMIF('Linii comandă'!$B$5:$B$1004,B250,'Linii comandă'!$N$5:$N$1004)&lt;=0,"Completă",IF(SUMIF('Linii comandă'!$B$5:$B$1004,B250,'Linii comandă'!$M$5:$M$1004)&gt;0,"Parțială","Nelivrată")))</f>
        <v/>
      </c>
      <c r="R250" s="10"/>
      <c r="S250" s="15" t="str">
        <f t="shared" ca="1" si="7"/>
        <v/>
      </c>
      <c r="T250" s="16" t="str">
        <f ca="1">IF(AND(B250="",D250=""),"",IF(S250="Anulată","",TRIM(IF(COUNTIF($B$5:$B$304,B250)&gt;1,"Număr dublat. ","")&amp;IF(OR(C250="",D250="",H250="",J250="",K250=""),"Date incomplete. ","")&amp;IF(COUNTIF('Linii comandă'!$B$5:$B$1004,B250)=0,"Nicio linie de comandă. ","")&amp;IF(AND(L250&lt;&gt;"Da",C250&lt;&gt;"",TODAY()-C250&gt;ZileConf),"Neconfirmată de "&amp;(TODAY()-C250)&amp;" zile. ","")&amp;IF(S250="Întârziată","Termenul de livrare a trecut: "&amp;RIGHT("0"&amp;DAY(J250),2)&amp;"."&amp;RIGHT("0"&amp;MONTH(J250),2)&amp;"."&amp;YEAR(J250)&amp;". ","")&amp;IF(S250="Livrată – de facturat","Emite factura. ",""))))</f>
        <v/>
      </c>
    </row>
    <row r="251" spans="2:20" x14ac:dyDescent="0.2">
      <c r="B251" s="10" t="str">
        <f>IF(D251="","",MAX($B$5:B250)+1)</f>
        <v/>
      </c>
      <c r="C251" s="11"/>
      <c r="D251" s="12"/>
      <c r="E251" s="12"/>
      <c r="F251" s="12"/>
      <c r="G251" s="12"/>
      <c r="H251" s="12"/>
      <c r="I251" s="10"/>
      <c r="J251" s="11"/>
      <c r="K251" s="13"/>
      <c r="L251" s="10"/>
      <c r="M251" s="11"/>
      <c r="N251" s="14" t="str">
        <f>IF(B251="","",SUMIF('Linii comandă'!$B$5:$B$1004,B251,'Linii comandă'!$K$5:$K$1004))</f>
        <v/>
      </c>
      <c r="O251" s="14" t="str">
        <f>IF(B251="","",SUMIF('Linii comandă'!$B$5:$B$1004,B251,'Linii comandă'!$L$5:$L$1004))</f>
        <v/>
      </c>
      <c r="P251" s="14" t="str">
        <f t="shared" si="6"/>
        <v/>
      </c>
      <c r="Q251" s="15" t="str">
        <f>IF(OR(B251="",COUNTIF('Linii comandă'!$B$5:$B$1004,B251)=0),"",IF(SUMIF('Linii comandă'!$B$5:$B$1004,B251,'Linii comandă'!$N$5:$N$1004)&lt;=0,"Completă",IF(SUMIF('Linii comandă'!$B$5:$B$1004,B251,'Linii comandă'!$M$5:$M$1004)&gt;0,"Parțială","Nelivrată")))</f>
        <v/>
      </c>
      <c r="R251" s="10"/>
      <c r="S251" s="15" t="str">
        <f t="shared" ca="1" si="7"/>
        <v/>
      </c>
      <c r="T251" s="16" t="str">
        <f ca="1">IF(AND(B251="",D251=""),"",IF(S251="Anulată","",TRIM(IF(COUNTIF($B$5:$B$304,B251)&gt;1,"Număr dublat. ","")&amp;IF(OR(C251="",D251="",H251="",J251="",K251=""),"Date incomplete. ","")&amp;IF(COUNTIF('Linii comandă'!$B$5:$B$1004,B251)=0,"Nicio linie de comandă. ","")&amp;IF(AND(L251&lt;&gt;"Da",C251&lt;&gt;"",TODAY()-C251&gt;ZileConf),"Neconfirmată de "&amp;(TODAY()-C251)&amp;" zile. ","")&amp;IF(S251="Întârziată","Termenul de livrare a trecut: "&amp;RIGHT("0"&amp;DAY(J251),2)&amp;"."&amp;RIGHT("0"&amp;MONTH(J251),2)&amp;"."&amp;YEAR(J251)&amp;". ","")&amp;IF(S251="Livrată – de facturat","Emite factura. ",""))))</f>
        <v/>
      </c>
    </row>
    <row r="252" spans="2:20" x14ac:dyDescent="0.2">
      <c r="B252" s="10" t="str">
        <f>IF(D252="","",MAX($B$5:B251)+1)</f>
        <v/>
      </c>
      <c r="C252" s="11"/>
      <c r="D252" s="12"/>
      <c r="E252" s="12"/>
      <c r="F252" s="12"/>
      <c r="G252" s="12"/>
      <c r="H252" s="12"/>
      <c r="I252" s="10"/>
      <c r="J252" s="11"/>
      <c r="K252" s="13"/>
      <c r="L252" s="10"/>
      <c r="M252" s="11"/>
      <c r="N252" s="14" t="str">
        <f>IF(B252="","",SUMIF('Linii comandă'!$B$5:$B$1004,B252,'Linii comandă'!$K$5:$K$1004))</f>
        <v/>
      </c>
      <c r="O252" s="14" t="str">
        <f>IF(B252="","",SUMIF('Linii comandă'!$B$5:$B$1004,B252,'Linii comandă'!$L$5:$L$1004))</f>
        <v/>
      </c>
      <c r="P252" s="14" t="str">
        <f t="shared" si="6"/>
        <v/>
      </c>
      <c r="Q252" s="15" t="str">
        <f>IF(OR(B252="",COUNTIF('Linii comandă'!$B$5:$B$1004,B252)=0),"",IF(SUMIF('Linii comandă'!$B$5:$B$1004,B252,'Linii comandă'!$N$5:$N$1004)&lt;=0,"Completă",IF(SUMIF('Linii comandă'!$B$5:$B$1004,B252,'Linii comandă'!$M$5:$M$1004)&gt;0,"Parțială","Nelivrată")))</f>
        <v/>
      </c>
      <c r="R252" s="10"/>
      <c r="S252" s="15" t="str">
        <f t="shared" ca="1" si="7"/>
        <v/>
      </c>
      <c r="T252" s="16" t="str">
        <f ca="1">IF(AND(B252="",D252=""),"",IF(S252="Anulată","",TRIM(IF(COUNTIF($B$5:$B$304,B252)&gt;1,"Număr dublat. ","")&amp;IF(OR(C252="",D252="",H252="",J252="",K252=""),"Date incomplete. ","")&amp;IF(COUNTIF('Linii comandă'!$B$5:$B$1004,B252)=0,"Nicio linie de comandă. ","")&amp;IF(AND(L252&lt;&gt;"Da",C252&lt;&gt;"",TODAY()-C252&gt;ZileConf),"Neconfirmată de "&amp;(TODAY()-C252)&amp;" zile. ","")&amp;IF(S252="Întârziată","Termenul de livrare a trecut: "&amp;RIGHT("0"&amp;DAY(J252),2)&amp;"."&amp;RIGHT("0"&amp;MONTH(J252),2)&amp;"."&amp;YEAR(J252)&amp;". ","")&amp;IF(S252="Livrată – de facturat","Emite factura. ",""))))</f>
        <v/>
      </c>
    </row>
    <row r="253" spans="2:20" x14ac:dyDescent="0.2">
      <c r="B253" s="10" t="str">
        <f>IF(D253="","",MAX($B$5:B252)+1)</f>
        <v/>
      </c>
      <c r="C253" s="11"/>
      <c r="D253" s="12"/>
      <c r="E253" s="12"/>
      <c r="F253" s="12"/>
      <c r="G253" s="12"/>
      <c r="H253" s="12"/>
      <c r="I253" s="10"/>
      <c r="J253" s="11"/>
      <c r="K253" s="13"/>
      <c r="L253" s="10"/>
      <c r="M253" s="11"/>
      <c r="N253" s="14" t="str">
        <f>IF(B253="","",SUMIF('Linii comandă'!$B$5:$B$1004,B253,'Linii comandă'!$K$5:$K$1004))</f>
        <v/>
      </c>
      <c r="O253" s="14" t="str">
        <f>IF(B253="","",SUMIF('Linii comandă'!$B$5:$B$1004,B253,'Linii comandă'!$L$5:$L$1004))</f>
        <v/>
      </c>
      <c r="P253" s="14" t="str">
        <f t="shared" si="6"/>
        <v/>
      </c>
      <c r="Q253" s="15" t="str">
        <f>IF(OR(B253="",COUNTIF('Linii comandă'!$B$5:$B$1004,B253)=0),"",IF(SUMIF('Linii comandă'!$B$5:$B$1004,B253,'Linii comandă'!$N$5:$N$1004)&lt;=0,"Completă",IF(SUMIF('Linii comandă'!$B$5:$B$1004,B253,'Linii comandă'!$M$5:$M$1004)&gt;0,"Parțială","Nelivrată")))</f>
        <v/>
      </c>
      <c r="R253" s="10"/>
      <c r="S253" s="15" t="str">
        <f t="shared" ca="1" si="7"/>
        <v/>
      </c>
      <c r="T253" s="16" t="str">
        <f ca="1">IF(AND(B253="",D253=""),"",IF(S253="Anulată","",TRIM(IF(COUNTIF($B$5:$B$304,B253)&gt;1,"Număr dublat. ","")&amp;IF(OR(C253="",D253="",H253="",J253="",K253=""),"Date incomplete. ","")&amp;IF(COUNTIF('Linii comandă'!$B$5:$B$1004,B253)=0,"Nicio linie de comandă. ","")&amp;IF(AND(L253&lt;&gt;"Da",C253&lt;&gt;"",TODAY()-C253&gt;ZileConf),"Neconfirmată de "&amp;(TODAY()-C253)&amp;" zile. ","")&amp;IF(S253="Întârziată","Termenul de livrare a trecut: "&amp;RIGHT("0"&amp;DAY(J253),2)&amp;"."&amp;RIGHT("0"&amp;MONTH(J253),2)&amp;"."&amp;YEAR(J253)&amp;". ","")&amp;IF(S253="Livrată – de facturat","Emite factura. ",""))))</f>
        <v/>
      </c>
    </row>
    <row r="254" spans="2:20" x14ac:dyDescent="0.2">
      <c r="B254" s="10" t="str">
        <f>IF(D254="","",MAX($B$5:B253)+1)</f>
        <v/>
      </c>
      <c r="C254" s="11"/>
      <c r="D254" s="12"/>
      <c r="E254" s="12"/>
      <c r="F254" s="12"/>
      <c r="G254" s="12"/>
      <c r="H254" s="12"/>
      <c r="I254" s="10"/>
      <c r="J254" s="11"/>
      <c r="K254" s="13"/>
      <c r="L254" s="10"/>
      <c r="M254" s="11"/>
      <c r="N254" s="14" t="str">
        <f>IF(B254="","",SUMIF('Linii comandă'!$B$5:$B$1004,B254,'Linii comandă'!$K$5:$K$1004))</f>
        <v/>
      </c>
      <c r="O254" s="14" t="str">
        <f>IF(B254="","",SUMIF('Linii comandă'!$B$5:$B$1004,B254,'Linii comandă'!$L$5:$L$1004))</f>
        <v/>
      </c>
      <c r="P254" s="14" t="str">
        <f t="shared" si="6"/>
        <v/>
      </c>
      <c r="Q254" s="15" t="str">
        <f>IF(OR(B254="",COUNTIF('Linii comandă'!$B$5:$B$1004,B254)=0),"",IF(SUMIF('Linii comandă'!$B$5:$B$1004,B254,'Linii comandă'!$N$5:$N$1004)&lt;=0,"Completă",IF(SUMIF('Linii comandă'!$B$5:$B$1004,B254,'Linii comandă'!$M$5:$M$1004)&gt;0,"Parțială","Nelivrată")))</f>
        <v/>
      </c>
      <c r="R254" s="10"/>
      <c r="S254" s="15" t="str">
        <f t="shared" ca="1" si="7"/>
        <v/>
      </c>
      <c r="T254" s="16" t="str">
        <f ca="1">IF(AND(B254="",D254=""),"",IF(S254="Anulată","",TRIM(IF(COUNTIF($B$5:$B$304,B254)&gt;1,"Număr dublat. ","")&amp;IF(OR(C254="",D254="",H254="",J254="",K254=""),"Date incomplete. ","")&amp;IF(COUNTIF('Linii comandă'!$B$5:$B$1004,B254)=0,"Nicio linie de comandă. ","")&amp;IF(AND(L254&lt;&gt;"Da",C254&lt;&gt;"",TODAY()-C254&gt;ZileConf),"Neconfirmată de "&amp;(TODAY()-C254)&amp;" zile. ","")&amp;IF(S254="Întârziată","Termenul de livrare a trecut: "&amp;RIGHT("0"&amp;DAY(J254),2)&amp;"."&amp;RIGHT("0"&amp;MONTH(J254),2)&amp;"."&amp;YEAR(J254)&amp;". ","")&amp;IF(S254="Livrată – de facturat","Emite factura. ",""))))</f>
        <v/>
      </c>
    </row>
    <row r="255" spans="2:20" x14ac:dyDescent="0.2">
      <c r="B255" s="10" t="str">
        <f>IF(D255="","",MAX($B$5:B254)+1)</f>
        <v/>
      </c>
      <c r="C255" s="11"/>
      <c r="D255" s="12"/>
      <c r="E255" s="12"/>
      <c r="F255" s="12"/>
      <c r="G255" s="12"/>
      <c r="H255" s="12"/>
      <c r="I255" s="10"/>
      <c r="J255" s="11"/>
      <c r="K255" s="13"/>
      <c r="L255" s="10"/>
      <c r="M255" s="11"/>
      <c r="N255" s="14" t="str">
        <f>IF(B255="","",SUMIF('Linii comandă'!$B$5:$B$1004,B255,'Linii comandă'!$K$5:$K$1004))</f>
        <v/>
      </c>
      <c r="O255" s="14" t="str">
        <f>IF(B255="","",SUMIF('Linii comandă'!$B$5:$B$1004,B255,'Linii comandă'!$L$5:$L$1004))</f>
        <v/>
      </c>
      <c r="P255" s="14" t="str">
        <f t="shared" si="6"/>
        <v/>
      </c>
      <c r="Q255" s="15" t="str">
        <f>IF(OR(B255="",COUNTIF('Linii comandă'!$B$5:$B$1004,B255)=0),"",IF(SUMIF('Linii comandă'!$B$5:$B$1004,B255,'Linii comandă'!$N$5:$N$1004)&lt;=0,"Completă",IF(SUMIF('Linii comandă'!$B$5:$B$1004,B255,'Linii comandă'!$M$5:$M$1004)&gt;0,"Parțială","Nelivrată")))</f>
        <v/>
      </c>
      <c r="R255" s="10"/>
      <c r="S255" s="15" t="str">
        <f t="shared" ca="1" si="7"/>
        <v/>
      </c>
      <c r="T255" s="16" t="str">
        <f ca="1">IF(AND(B255="",D255=""),"",IF(S255="Anulată","",TRIM(IF(COUNTIF($B$5:$B$304,B255)&gt;1,"Număr dublat. ","")&amp;IF(OR(C255="",D255="",H255="",J255="",K255=""),"Date incomplete. ","")&amp;IF(COUNTIF('Linii comandă'!$B$5:$B$1004,B255)=0,"Nicio linie de comandă. ","")&amp;IF(AND(L255&lt;&gt;"Da",C255&lt;&gt;"",TODAY()-C255&gt;ZileConf),"Neconfirmată de "&amp;(TODAY()-C255)&amp;" zile. ","")&amp;IF(S255="Întârziată","Termenul de livrare a trecut: "&amp;RIGHT("0"&amp;DAY(J255),2)&amp;"."&amp;RIGHT("0"&amp;MONTH(J255),2)&amp;"."&amp;YEAR(J255)&amp;". ","")&amp;IF(S255="Livrată – de facturat","Emite factura. ",""))))</f>
        <v/>
      </c>
    </row>
    <row r="256" spans="2:20" x14ac:dyDescent="0.2">
      <c r="B256" s="10" t="str">
        <f>IF(D256="","",MAX($B$5:B255)+1)</f>
        <v/>
      </c>
      <c r="C256" s="11"/>
      <c r="D256" s="12"/>
      <c r="E256" s="12"/>
      <c r="F256" s="12"/>
      <c r="G256" s="12"/>
      <c r="H256" s="12"/>
      <c r="I256" s="10"/>
      <c r="J256" s="11"/>
      <c r="K256" s="13"/>
      <c r="L256" s="10"/>
      <c r="M256" s="11"/>
      <c r="N256" s="14" t="str">
        <f>IF(B256="","",SUMIF('Linii comandă'!$B$5:$B$1004,B256,'Linii comandă'!$K$5:$K$1004))</f>
        <v/>
      </c>
      <c r="O256" s="14" t="str">
        <f>IF(B256="","",SUMIF('Linii comandă'!$B$5:$B$1004,B256,'Linii comandă'!$L$5:$L$1004))</f>
        <v/>
      </c>
      <c r="P256" s="14" t="str">
        <f t="shared" si="6"/>
        <v/>
      </c>
      <c r="Q256" s="15" t="str">
        <f>IF(OR(B256="",COUNTIF('Linii comandă'!$B$5:$B$1004,B256)=0),"",IF(SUMIF('Linii comandă'!$B$5:$B$1004,B256,'Linii comandă'!$N$5:$N$1004)&lt;=0,"Completă",IF(SUMIF('Linii comandă'!$B$5:$B$1004,B256,'Linii comandă'!$M$5:$M$1004)&gt;0,"Parțială","Nelivrată")))</f>
        <v/>
      </c>
      <c r="R256" s="10"/>
      <c r="S256" s="15" t="str">
        <f t="shared" ca="1" si="7"/>
        <v/>
      </c>
      <c r="T256" s="16" t="str">
        <f ca="1">IF(AND(B256="",D256=""),"",IF(S256="Anulată","",TRIM(IF(COUNTIF($B$5:$B$304,B256)&gt;1,"Număr dublat. ","")&amp;IF(OR(C256="",D256="",H256="",J256="",K256=""),"Date incomplete. ","")&amp;IF(COUNTIF('Linii comandă'!$B$5:$B$1004,B256)=0,"Nicio linie de comandă. ","")&amp;IF(AND(L256&lt;&gt;"Da",C256&lt;&gt;"",TODAY()-C256&gt;ZileConf),"Neconfirmată de "&amp;(TODAY()-C256)&amp;" zile. ","")&amp;IF(S256="Întârziată","Termenul de livrare a trecut: "&amp;RIGHT("0"&amp;DAY(J256),2)&amp;"."&amp;RIGHT("0"&amp;MONTH(J256),2)&amp;"."&amp;YEAR(J256)&amp;". ","")&amp;IF(S256="Livrată – de facturat","Emite factura. ",""))))</f>
        <v/>
      </c>
    </row>
    <row r="257" spans="2:20" x14ac:dyDescent="0.2">
      <c r="B257" s="10" t="str">
        <f>IF(D257="","",MAX($B$5:B256)+1)</f>
        <v/>
      </c>
      <c r="C257" s="11"/>
      <c r="D257" s="12"/>
      <c r="E257" s="12"/>
      <c r="F257" s="12"/>
      <c r="G257" s="12"/>
      <c r="H257" s="12"/>
      <c r="I257" s="10"/>
      <c r="J257" s="11"/>
      <c r="K257" s="13"/>
      <c r="L257" s="10"/>
      <c r="M257" s="11"/>
      <c r="N257" s="14" t="str">
        <f>IF(B257="","",SUMIF('Linii comandă'!$B$5:$B$1004,B257,'Linii comandă'!$K$5:$K$1004))</f>
        <v/>
      </c>
      <c r="O257" s="14" t="str">
        <f>IF(B257="","",SUMIF('Linii comandă'!$B$5:$B$1004,B257,'Linii comandă'!$L$5:$L$1004))</f>
        <v/>
      </c>
      <c r="P257" s="14" t="str">
        <f t="shared" si="6"/>
        <v/>
      </c>
      <c r="Q257" s="15" t="str">
        <f>IF(OR(B257="",COUNTIF('Linii comandă'!$B$5:$B$1004,B257)=0),"",IF(SUMIF('Linii comandă'!$B$5:$B$1004,B257,'Linii comandă'!$N$5:$N$1004)&lt;=0,"Completă",IF(SUMIF('Linii comandă'!$B$5:$B$1004,B257,'Linii comandă'!$M$5:$M$1004)&gt;0,"Parțială","Nelivrată")))</f>
        <v/>
      </c>
      <c r="R257" s="10"/>
      <c r="S257" s="15" t="str">
        <f t="shared" ca="1" si="7"/>
        <v/>
      </c>
      <c r="T257" s="16" t="str">
        <f ca="1">IF(AND(B257="",D257=""),"",IF(S257="Anulată","",TRIM(IF(COUNTIF($B$5:$B$304,B257)&gt;1,"Număr dublat. ","")&amp;IF(OR(C257="",D257="",H257="",J257="",K257=""),"Date incomplete. ","")&amp;IF(COUNTIF('Linii comandă'!$B$5:$B$1004,B257)=0,"Nicio linie de comandă. ","")&amp;IF(AND(L257&lt;&gt;"Da",C257&lt;&gt;"",TODAY()-C257&gt;ZileConf),"Neconfirmată de "&amp;(TODAY()-C257)&amp;" zile. ","")&amp;IF(S257="Întârziată","Termenul de livrare a trecut: "&amp;RIGHT("0"&amp;DAY(J257),2)&amp;"."&amp;RIGHT("0"&amp;MONTH(J257),2)&amp;"."&amp;YEAR(J257)&amp;". ","")&amp;IF(S257="Livrată – de facturat","Emite factura. ",""))))</f>
        <v/>
      </c>
    </row>
    <row r="258" spans="2:20" x14ac:dyDescent="0.2">
      <c r="B258" s="10" t="str">
        <f>IF(D258="","",MAX($B$5:B257)+1)</f>
        <v/>
      </c>
      <c r="C258" s="11"/>
      <c r="D258" s="12"/>
      <c r="E258" s="12"/>
      <c r="F258" s="12"/>
      <c r="G258" s="12"/>
      <c r="H258" s="12"/>
      <c r="I258" s="10"/>
      <c r="J258" s="11"/>
      <c r="K258" s="13"/>
      <c r="L258" s="10"/>
      <c r="M258" s="11"/>
      <c r="N258" s="14" t="str">
        <f>IF(B258="","",SUMIF('Linii comandă'!$B$5:$B$1004,B258,'Linii comandă'!$K$5:$K$1004))</f>
        <v/>
      </c>
      <c r="O258" s="14" t="str">
        <f>IF(B258="","",SUMIF('Linii comandă'!$B$5:$B$1004,B258,'Linii comandă'!$L$5:$L$1004))</f>
        <v/>
      </c>
      <c r="P258" s="14" t="str">
        <f t="shared" si="6"/>
        <v/>
      </c>
      <c r="Q258" s="15" t="str">
        <f>IF(OR(B258="",COUNTIF('Linii comandă'!$B$5:$B$1004,B258)=0),"",IF(SUMIF('Linii comandă'!$B$5:$B$1004,B258,'Linii comandă'!$N$5:$N$1004)&lt;=0,"Completă",IF(SUMIF('Linii comandă'!$B$5:$B$1004,B258,'Linii comandă'!$M$5:$M$1004)&gt;0,"Parțială","Nelivrată")))</f>
        <v/>
      </c>
      <c r="R258" s="10"/>
      <c r="S258" s="15" t="str">
        <f t="shared" ca="1" si="7"/>
        <v/>
      </c>
      <c r="T258" s="16" t="str">
        <f ca="1">IF(AND(B258="",D258=""),"",IF(S258="Anulată","",TRIM(IF(COUNTIF($B$5:$B$304,B258)&gt;1,"Număr dublat. ","")&amp;IF(OR(C258="",D258="",H258="",J258="",K258=""),"Date incomplete. ","")&amp;IF(COUNTIF('Linii comandă'!$B$5:$B$1004,B258)=0,"Nicio linie de comandă. ","")&amp;IF(AND(L258&lt;&gt;"Da",C258&lt;&gt;"",TODAY()-C258&gt;ZileConf),"Neconfirmată de "&amp;(TODAY()-C258)&amp;" zile. ","")&amp;IF(S258="Întârziată","Termenul de livrare a trecut: "&amp;RIGHT("0"&amp;DAY(J258),2)&amp;"."&amp;RIGHT("0"&amp;MONTH(J258),2)&amp;"."&amp;YEAR(J258)&amp;". ","")&amp;IF(S258="Livrată – de facturat","Emite factura. ",""))))</f>
        <v/>
      </c>
    </row>
    <row r="259" spans="2:20" x14ac:dyDescent="0.2">
      <c r="B259" s="10" t="str">
        <f>IF(D259="","",MAX($B$5:B258)+1)</f>
        <v/>
      </c>
      <c r="C259" s="11"/>
      <c r="D259" s="12"/>
      <c r="E259" s="12"/>
      <c r="F259" s="12"/>
      <c r="G259" s="12"/>
      <c r="H259" s="12"/>
      <c r="I259" s="10"/>
      <c r="J259" s="11"/>
      <c r="K259" s="13"/>
      <c r="L259" s="10"/>
      <c r="M259" s="11"/>
      <c r="N259" s="14" t="str">
        <f>IF(B259="","",SUMIF('Linii comandă'!$B$5:$B$1004,B259,'Linii comandă'!$K$5:$K$1004))</f>
        <v/>
      </c>
      <c r="O259" s="14" t="str">
        <f>IF(B259="","",SUMIF('Linii comandă'!$B$5:$B$1004,B259,'Linii comandă'!$L$5:$L$1004))</f>
        <v/>
      </c>
      <c r="P259" s="14" t="str">
        <f t="shared" si="6"/>
        <v/>
      </c>
      <c r="Q259" s="15" t="str">
        <f>IF(OR(B259="",COUNTIF('Linii comandă'!$B$5:$B$1004,B259)=0),"",IF(SUMIF('Linii comandă'!$B$5:$B$1004,B259,'Linii comandă'!$N$5:$N$1004)&lt;=0,"Completă",IF(SUMIF('Linii comandă'!$B$5:$B$1004,B259,'Linii comandă'!$M$5:$M$1004)&gt;0,"Parțială","Nelivrată")))</f>
        <v/>
      </c>
      <c r="R259" s="10"/>
      <c r="S259" s="15" t="str">
        <f t="shared" ca="1" si="7"/>
        <v/>
      </c>
      <c r="T259" s="16" t="str">
        <f ca="1">IF(AND(B259="",D259=""),"",IF(S259="Anulată","",TRIM(IF(COUNTIF($B$5:$B$304,B259)&gt;1,"Număr dublat. ","")&amp;IF(OR(C259="",D259="",H259="",J259="",K259=""),"Date incomplete. ","")&amp;IF(COUNTIF('Linii comandă'!$B$5:$B$1004,B259)=0,"Nicio linie de comandă. ","")&amp;IF(AND(L259&lt;&gt;"Da",C259&lt;&gt;"",TODAY()-C259&gt;ZileConf),"Neconfirmată de "&amp;(TODAY()-C259)&amp;" zile. ","")&amp;IF(S259="Întârziată","Termenul de livrare a trecut: "&amp;RIGHT("0"&amp;DAY(J259),2)&amp;"."&amp;RIGHT("0"&amp;MONTH(J259),2)&amp;"."&amp;YEAR(J259)&amp;". ","")&amp;IF(S259="Livrată – de facturat","Emite factura. ",""))))</f>
        <v/>
      </c>
    </row>
    <row r="260" spans="2:20" x14ac:dyDescent="0.2">
      <c r="B260" s="10" t="str">
        <f>IF(D260="","",MAX($B$5:B259)+1)</f>
        <v/>
      </c>
      <c r="C260" s="11"/>
      <c r="D260" s="12"/>
      <c r="E260" s="12"/>
      <c r="F260" s="12"/>
      <c r="G260" s="12"/>
      <c r="H260" s="12"/>
      <c r="I260" s="10"/>
      <c r="J260" s="11"/>
      <c r="K260" s="13"/>
      <c r="L260" s="10"/>
      <c r="M260" s="11"/>
      <c r="N260" s="14" t="str">
        <f>IF(B260="","",SUMIF('Linii comandă'!$B$5:$B$1004,B260,'Linii comandă'!$K$5:$K$1004))</f>
        <v/>
      </c>
      <c r="O260" s="14" t="str">
        <f>IF(B260="","",SUMIF('Linii comandă'!$B$5:$B$1004,B260,'Linii comandă'!$L$5:$L$1004))</f>
        <v/>
      </c>
      <c r="P260" s="14" t="str">
        <f t="shared" si="6"/>
        <v/>
      </c>
      <c r="Q260" s="15" t="str">
        <f>IF(OR(B260="",COUNTIF('Linii comandă'!$B$5:$B$1004,B260)=0),"",IF(SUMIF('Linii comandă'!$B$5:$B$1004,B260,'Linii comandă'!$N$5:$N$1004)&lt;=0,"Completă",IF(SUMIF('Linii comandă'!$B$5:$B$1004,B260,'Linii comandă'!$M$5:$M$1004)&gt;0,"Parțială","Nelivrată")))</f>
        <v/>
      </c>
      <c r="R260" s="10"/>
      <c r="S260" s="15" t="str">
        <f t="shared" ca="1" si="7"/>
        <v/>
      </c>
      <c r="T260" s="16" t="str">
        <f ca="1">IF(AND(B260="",D260=""),"",IF(S260="Anulată","",TRIM(IF(COUNTIF($B$5:$B$304,B260)&gt;1,"Număr dublat. ","")&amp;IF(OR(C260="",D260="",H260="",J260="",K260=""),"Date incomplete. ","")&amp;IF(COUNTIF('Linii comandă'!$B$5:$B$1004,B260)=0,"Nicio linie de comandă. ","")&amp;IF(AND(L260&lt;&gt;"Da",C260&lt;&gt;"",TODAY()-C260&gt;ZileConf),"Neconfirmată de "&amp;(TODAY()-C260)&amp;" zile. ","")&amp;IF(S260="Întârziată","Termenul de livrare a trecut: "&amp;RIGHT("0"&amp;DAY(J260),2)&amp;"."&amp;RIGHT("0"&amp;MONTH(J260),2)&amp;"."&amp;YEAR(J260)&amp;". ","")&amp;IF(S260="Livrată – de facturat","Emite factura. ",""))))</f>
        <v/>
      </c>
    </row>
    <row r="261" spans="2:20" x14ac:dyDescent="0.2">
      <c r="B261" s="10" t="str">
        <f>IF(D261="","",MAX($B$5:B260)+1)</f>
        <v/>
      </c>
      <c r="C261" s="11"/>
      <c r="D261" s="12"/>
      <c r="E261" s="12"/>
      <c r="F261" s="12"/>
      <c r="G261" s="12"/>
      <c r="H261" s="12"/>
      <c r="I261" s="10"/>
      <c r="J261" s="11"/>
      <c r="K261" s="13"/>
      <c r="L261" s="10"/>
      <c r="M261" s="11"/>
      <c r="N261" s="14" t="str">
        <f>IF(B261="","",SUMIF('Linii comandă'!$B$5:$B$1004,B261,'Linii comandă'!$K$5:$K$1004))</f>
        <v/>
      </c>
      <c r="O261" s="14" t="str">
        <f>IF(B261="","",SUMIF('Linii comandă'!$B$5:$B$1004,B261,'Linii comandă'!$L$5:$L$1004))</f>
        <v/>
      </c>
      <c r="P261" s="14" t="str">
        <f t="shared" ref="P261:P304" si="8">IF(B261="","",N261+O261)</f>
        <v/>
      </c>
      <c r="Q261" s="15" t="str">
        <f>IF(OR(B261="",COUNTIF('Linii comandă'!$B$5:$B$1004,B261)=0),"",IF(SUMIF('Linii comandă'!$B$5:$B$1004,B261,'Linii comandă'!$N$5:$N$1004)&lt;=0,"Completă",IF(SUMIF('Linii comandă'!$B$5:$B$1004,B261,'Linii comandă'!$M$5:$M$1004)&gt;0,"Parțială","Nelivrată")))</f>
        <v/>
      </c>
      <c r="R261" s="10"/>
      <c r="S261" s="15" t="str">
        <f t="shared" ref="S261:S304" ca="1" si="9">IF(B261="","",IF(L261="Anulată","Anulată",IF(AND(L261="Da",Q261&lt;&gt;"Completă",J261&lt;&gt;"",J261&lt;TODAY()),"Întârziată",IF(AND(Q261="Completă",R261&lt;&gt;""),"Facturată",IF(Q261="Completă","Livrată – de facturat",IF(L261&lt;&gt;"Da","Neconfirmată",IF(Q261="Parțială","Livrată parțial","Confirmată – în pregătire")))))))</f>
        <v/>
      </c>
      <c r="T261" s="16" t="str">
        <f ca="1">IF(AND(B261="",D261=""),"",IF(S261="Anulată","",TRIM(IF(COUNTIF($B$5:$B$304,B261)&gt;1,"Număr dublat. ","")&amp;IF(OR(C261="",D261="",H261="",J261="",K261=""),"Date incomplete. ","")&amp;IF(COUNTIF('Linii comandă'!$B$5:$B$1004,B261)=0,"Nicio linie de comandă. ","")&amp;IF(AND(L261&lt;&gt;"Da",C261&lt;&gt;"",TODAY()-C261&gt;ZileConf),"Neconfirmată de "&amp;(TODAY()-C261)&amp;" zile. ","")&amp;IF(S261="Întârziată","Termenul de livrare a trecut: "&amp;RIGHT("0"&amp;DAY(J261),2)&amp;"."&amp;RIGHT("0"&amp;MONTH(J261),2)&amp;"."&amp;YEAR(J261)&amp;". ","")&amp;IF(S261="Livrată – de facturat","Emite factura. ",""))))</f>
        <v/>
      </c>
    </row>
    <row r="262" spans="2:20" x14ac:dyDescent="0.2">
      <c r="B262" s="10" t="str">
        <f>IF(D262="","",MAX($B$5:B261)+1)</f>
        <v/>
      </c>
      <c r="C262" s="11"/>
      <c r="D262" s="12"/>
      <c r="E262" s="12"/>
      <c r="F262" s="12"/>
      <c r="G262" s="12"/>
      <c r="H262" s="12"/>
      <c r="I262" s="10"/>
      <c r="J262" s="11"/>
      <c r="K262" s="13"/>
      <c r="L262" s="10"/>
      <c r="M262" s="11"/>
      <c r="N262" s="14" t="str">
        <f>IF(B262="","",SUMIF('Linii comandă'!$B$5:$B$1004,B262,'Linii comandă'!$K$5:$K$1004))</f>
        <v/>
      </c>
      <c r="O262" s="14" t="str">
        <f>IF(B262="","",SUMIF('Linii comandă'!$B$5:$B$1004,B262,'Linii comandă'!$L$5:$L$1004))</f>
        <v/>
      </c>
      <c r="P262" s="14" t="str">
        <f t="shared" si="8"/>
        <v/>
      </c>
      <c r="Q262" s="15" t="str">
        <f>IF(OR(B262="",COUNTIF('Linii comandă'!$B$5:$B$1004,B262)=0),"",IF(SUMIF('Linii comandă'!$B$5:$B$1004,B262,'Linii comandă'!$N$5:$N$1004)&lt;=0,"Completă",IF(SUMIF('Linii comandă'!$B$5:$B$1004,B262,'Linii comandă'!$M$5:$M$1004)&gt;0,"Parțială","Nelivrată")))</f>
        <v/>
      </c>
      <c r="R262" s="10"/>
      <c r="S262" s="15" t="str">
        <f t="shared" ca="1" si="9"/>
        <v/>
      </c>
      <c r="T262" s="16" t="str">
        <f ca="1">IF(AND(B262="",D262=""),"",IF(S262="Anulată","",TRIM(IF(COUNTIF($B$5:$B$304,B262)&gt;1,"Număr dublat. ","")&amp;IF(OR(C262="",D262="",H262="",J262="",K262=""),"Date incomplete. ","")&amp;IF(COUNTIF('Linii comandă'!$B$5:$B$1004,B262)=0,"Nicio linie de comandă. ","")&amp;IF(AND(L262&lt;&gt;"Da",C262&lt;&gt;"",TODAY()-C262&gt;ZileConf),"Neconfirmată de "&amp;(TODAY()-C262)&amp;" zile. ","")&amp;IF(S262="Întârziată","Termenul de livrare a trecut: "&amp;RIGHT("0"&amp;DAY(J262),2)&amp;"."&amp;RIGHT("0"&amp;MONTH(J262),2)&amp;"."&amp;YEAR(J262)&amp;". ","")&amp;IF(S262="Livrată – de facturat","Emite factura. ",""))))</f>
        <v/>
      </c>
    </row>
    <row r="263" spans="2:20" x14ac:dyDescent="0.2">
      <c r="B263" s="10" t="str">
        <f>IF(D263="","",MAX($B$5:B262)+1)</f>
        <v/>
      </c>
      <c r="C263" s="11"/>
      <c r="D263" s="12"/>
      <c r="E263" s="12"/>
      <c r="F263" s="12"/>
      <c r="G263" s="12"/>
      <c r="H263" s="12"/>
      <c r="I263" s="10"/>
      <c r="J263" s="11"/>
      <c r="K263" s="13"/>
      <c r="L263" s="10"/>
      <c r="M263" s="11"/>
      <c r="N263" s="14" t="str">
        <f>IF(B263="","",SUMIF('Linii comandă'!$B$5:$B$1004,B263,'Linii comandă'!$K$5:$K$1004))</f>
        <v/>
      </c>
      <c r="O263" s="14" t="str">
        <f>IF(B263="","",SUMIF('Linii comandă'!$B$5:$B$1004,B263,'Linii comandă'!$L$5:$L$1004))</f>
        <v/>
      </c>
      <c r="P263" s="14" t="str">
        <f t="shared" si="8"/>
        <v/>
      </c>
      <c r="Q263" s="15" t="str">
        <f>IF(OR(B263="",COUNTIF('Linii comandă'!$B$5:$B$1004,B263)=0),"",IF(SUMIF('Linii comandă'!$B$5:$B$1004,B263,'Linii comandă'!$N$5:$N$1004)&lt;=0,"Completă",IF(SUMIF('Linii comandă'!$B$5:$B$1004,B263,'Linii comandă'!$M$5:$M$1004)&gt;0,"Parțială","Nelivrată")))</f>
        <v/>
      </c>
      <c r="R263" s="10"/>
      <c r="S263" s="15" t="str">
        <f t="shared" ca="1" si="9"/>
        <v/>
      </c>
      <c r="T263" s="16" t="str">
        <f ca="1">IF(AND(B263="",D263=""),"",IF(S263="Anulată","",TRIM(IF(COUNTIF($B$5:$B$304,B263)&gt;1,"Număr dublat. ","")&amp;IF(OR(C263="",D263="",H263="",J263="",K263=""),"Date incomplete. ","")&amp;IF(COUNTIF('Linii comandă'!$B$5:$B$1004,B263)=0,"Nicio linie de comandă. ","")&amp;IF(AND(L263&lt;&gt;"Da",C263&lt;&gt;"",TODAY()-C263&gt;ZileConf),"Neconfirmată de "&amp;(TODAY()-C263)&amp;" zile. ","")&amp;IF(S263="Întârziată","Termenul de livrare a trecut: "&amp;RIGHT("0"&amp;DAY(J263),2)&amp;"."&amp;RIGHT("0"&amp;MONTH(J263),2)&amp;"."&amp;YEAR(J263)&amp;". ","")&amp;IF(S263="Livrată – de facturat","Emite factura. ",""))))</f>
        <v/>
      </c>
    </row>
    <row r="264" spans="2:20" x14ac:dyDescent="0.2">
      <c r="B264" s="10" t="str">
        <f>IF(D264="","",MAX($B$5:B263)+1)</f>
        <v/>
      </c>
      <c r="C264" s="11"/>
      <c r="D264" s="12"/>
      <c r="E264" s="12"/>
      <c r="F264" s="12"/>
      <c r="G264" s="12"/>
      <c r="H264" s="12"/>
      <c r="I264" s="10"/>
      <c r="J264" s="11"/>
      <c r="K264" s="13"/>
      <c r="L264" s="10"/>
      <c r="M264" s="11"/>
      <c r="N264" s="14" t="str">
        <f>IF(B264="","",SUMIF('Linii comandă'!$B$5:$B$1004,B264,'Linii comandă'!$K$5:$K$1004))</f>
        <v/>
      </c>
      <c r="O264" s="14" t="str">
        <f>IF(B264="","",SUMIF('Linii comandă'!$B$5:$B$1004,B264,'Linii comandă'!$L$5:$L$1004))</f>
        <v/>
      </c>
      <c r="P264" s="14" t="str">
        <f t="shared" si="8"/>
        <v/>
      </c>
      <c r="Q264" s="15" t="str">
        <f>IF(OR(B264="",COUNTIF('Linii comandă'!$B$5:$B$1004,B264)=0),"",IF(SUMIF('Linii comandă'!$B$5:$B$1004,B264,'Linii comandă'!$N$5:$N$1004)&lt;=0,"Completă",IF(SUMIF('Linii comandă'!$B$5:$B$1004,B264,'Linii comandă'!$M$5:$M$1004)&gt;0,"Parțială","Nelivrată")))</f>
        <v/>
      </c>
      <c r="R264" s="10"/>
      <c r="S264" s="15" t="str">
        <f t="shared" ca="1" si="9"/>
        <v/>
      </c>
      <c r="T264" s="16" t="str">
        <f ca="1">IF(AND(B264="",D264=""),"",IF(S264="Anulată","",TRIM(IF(COUNTIF($B$5:$B$304,B264)&gt;1,"Număr dublat. ","")&amp;IF(OR(C264="",D264="",H264="",J264="",K264=""),"Date incomplete. ","")&amp;IF(COUNTIF('Linii comandă'!$B$5:$B$1004,B264)=0,"Nicio linie de comandă. ","")&amp;IF(AND(L264&lt;&gt;"Da",C264&lt;&gt;"",TODAY()-C264&gt;ZileConf),"Neconfirmată de "&amp;(TODAY()-C264)&amp;" zile. ","")&amp;IF(S264="Întârziată","Termenul de livrare a trecut: "&amp;RIGHT("0"&amp;DAY(J264),2)&amp;"."&amp;RIGHT("0"&amp;MONTH(J264),2)&amp;"."&amp;YEAR(J264)&amp;". ","")&amp;IF(S264="Livrată – de facturat","Emite factura. ",""))))</f>
        <v/>
      </c>
    </row>
    <row r="265" spans="2:20" x14ac:dyDescent="0.2">
      <c r="B265" s="10" t="str">
        <f>IF(D265="","",MAX($B$5:B264)+1)</f>
        <v/>
      </c>
      <c r="C265" s="11"/>
      <c r="D265" s="12"/>
      <c r="E265" s="12"/>
      <c r="F265" s="12"/>
      <c r="G265" s="12"/>
      <c r="H265" s="12"/>
      <c r="I265" s="10"/>
      <c r="J265" s="11"/>
      <c r="K265" s="13"/>
      <c r="L265" s="10"/>
      <c r="M265" s="11"/>
      <c r="N265" s="14" t="str">
        <f>IF(B265="","",SUMIF('Linii comandă'!$B$5:$B$1004,B265,'Linii comandă'!$K$5:$K$1004))</f>
        <v/>
      </c>
      <c r="O265" s="14" t="str">
        <f>IF(B265="","",SUMIF('Linii comandă'!$B$5:$B$1004,B265,'Linii comandă'!$L$5:$L$1004))</f>
        <v/>
      </c>
      <c r="P265" s="14" t="str">
        <f t="shared" si="8"/>
        <v/>
      </c>
      <c r="Q265" s="15" t="str">
        <f>IF(OR(B265="",COUNTIF('Linii comandă'!$B$5:$B$1004,B265)=0),"",IF(SUMIF('Linii comandă'!$B$5:$B$1004,B265,'Linii comandă'!$N$5:$N$1004)&lt;=0,"Completă",IF(SUMIF('Linii comandă'!$B$5:$B$1004,B265,'Linii comandă'!$M$5:$M$1004)&gt;0,"Parțială","Nelivrată")))</f>
        <v/>
      </c>
      <c r="R265" s="10"/>
      <c r="S265" s="15" t="str">
        <f t="shared" ca="1" si="9"/>
        <v/>
      </c>
      <c r="T265" s="16" t="str">
        <f ca="1">IF(AND(B265="",D265=""),"",IF(S265="Anulată","",TRIM(IF(COUNTIF($B$5:$B$304,B265)&gt;1,"Număr dublat. ","")&amp;IF(OR(C265="",D265="",H265="",J265="",K265=""),"Date incomplete. ","")&amp;IF(COUNTIF('Linii comandă'!$B$5:$B$1004,B265)=0,"Nicio linie de comandă. ","")&amp;IF(AND(L265&lt;&gt;"Da",C265&lt;&gt;"",TODAY()-C265&gt;ZileConf),"Neconfirmată de "&amp;(TODAY()-C265)&amp;" zile. ","")&amp;IF(S265="Întârziată","Termenul de livrare a trecut: "&amp;RIGHT("0"&amp;DAY(J265),2)&amp;"."&amp;RIGHT("0"&amp;MONTH(J265),2)&amp;"."&amp;YEAR(J265)&amp;". ","")&amp;IF(S265="Livrată – de facturat","Emite factura. ",""))))</f>
        <v/>
      </c>
    </row>
    <row r="266" spans="2:20" x14ac:dyDescent="0.2">
      <c r="B266" s="10" t="str">
        <f>IF(D266="","",MAX($B$5:B265)+1)</f>
        <v/>
      </c>
      <c r="C266" s="11"/>
      <c r="D266" s="12"/>
      <c r="E266" s="12"/>
      <c r="F266" s="12"/>
      <c r="G266" s="12"/>
      <c r="H266" s="12"/>
      <c r="I266" s="10"/>
      <c r="J266" s="11"/>
      <c r="K266" s="13"/>
      <c r="L266" s="10"/>
      <c r="M266" s="11"/>
      <c r="N266" s="14" t="str">
        <f>IF(B266="","",SUMIF('Linii comandă'!$B$5:$B$1004,B266,'Linii comandă'!$K$5:$K$1004))</f>
        <v/>
      </c>
      <c r="O266" s="14" t="str">
        <f>IF(B266="","",SUMIF('Linii comandă'!$B$5:$B$1004,B266,'Linii comandă'!$L$5:$L$1004))</f>
        <v/>
      </c>
      <c r="P266" s="14" t="str">
        <f t="shared" si="8"/>
        <v/>
      </c>
      <c r="Q266" s="15" t="str">
        <f>IF(OR(B266="",COUNTIF('Linii comandă'!$B$5:$B$1004,B266)=0),"",IF(SUMIF('Linii comandă'!$B$5:$B$1004,B266,'Linii comandă'!$N$5:$N$1004)&lt;=0,"Completă",IF(SUMIF('Linii comandă'!$B$5:$B$1004,B266,'Linii comandă'!$M$5:$M$1004)&gt;0,"Parțială","Nelivrată")))</f>
        <v/>
      </c>
      <c r="R266" s="10"/>
      <c r="S266" s="15" t="str">
        <f t="shared" ca="1" si="9"/>
        <v/>
      </c>
      <c r="T266" s="16" t="str">
        <f ca="1">IF(AND(B266="",D266=""),"",IF(S266="Anulată","",TRIM(IF(COUNTIF($B$5:$B$304,B266)&gt;1,"Număr dublat. ","")&amp;IF(OR(C266="",D266="",H266="",J266="",K266=""),"Date incomplete. ","")&amp;IF(COUNTIF('Linii comandă'!$B$5:$B$1004,B266)=0,"Nicio linie de comandă. ","")&amp;IF(AND(L266&lt;&gt;"Da",C266&lt;&gt;"",TODAY()-C266&gt;ZileConf),"Neconfirmată de "&amp;(TODAY()-C266)&amp;" zile. ","")&amp;IF(S266="Întârziată","Termenul de livrare a trecut: "&amp;RIGHT("0"&amp;DAY(J266),2)&amp;"."&amp;RIGHT("0"&amp;MONTH(J266),2)&amp;"."&amp;YEAR(J266)&amp;". ","")&amp;IF(S266="Livrată – de facturat","Emite factura. ",""))))</f>
        <v/>
      </c>
    </row>
    <row r="267" spans="2:20" x14ac:dyDescent="0.2">
      <c r="B267" s="10" t="str">
        <f>IF(D267="","",MAX($B$5:B266)+1)</f>
        <v/>
      </c>
      <c r="C267" s="11"/>
      <c r="D267" s="12"/>
      <c r="E267" s="12"/>
      <c r="F267" s="12"/>
      <c r="G267" s="12"/>
      <c r="H267" s="12"/>
      <c r="I267" s="10"/>
      <c r="J267" s="11"/>
      <c r="K267" s="13"/>
      <c r="L267" s="10"/>
      <c r="M267" s="11"/>
      <c r="N267" s="14" t="str">
        <f>IF(B267="","",SUMIF('Linii comandă'!$B$5:$B$1004,B267,'Linii comandă'!$K$5:$K$1004))</f>
        <v/>
      </c>
      <c r="O267" s="14" t="str">
        <f>IF(B267="","",SUMIF('Linii comandă'!$B$5:$B$1004,B267,'Linii comandă'!$L$5:$L$1004))</f>
        <v/>
      </c>
      <c r="P267" s="14" t="str">
        <f t="shared" si="8"/>
        <v/>
      </c>
      <c r="Q267" s="15" t="str">
        <f>IF(OR(B267="",COUNTIF('Linii comandă'!$B$5:$B$1004,B267)=0),"",IF(SUMIF('Linii comandă'!$B$5:$B$1004,B267,'Linii comandă'!$N$5:$N$1004)&lt;=0,"Completă",IF(SUMIF('Linii comandă'!$B$5:$B$1004,B267,'Linii comandă'!$M$5:$M$1004)&gt;0,"Parțială","Nelivrată")))</f>
        <v/>
      </c>
      <c r="R267" s="10"/>
      <c r="S267" s="15" t="str">
        <f t="shared" ca="1" si="9"/>
        <v/>
      </c>
      <c r="T267" s="16" t="str">
        <f ca="1">IF(AND(B267="",D267=""),"",IF(S267="Anulată","",TRIM(IF(COUNTIF($B$5:$B$304,B267)&gt;1,"Număr dublat. ","")&amp;IF(OR(C267="",D267="",H267="",J267="",K267=""),"Date incomplete. ","")&amp;IF(COUNTIF('Linii comandă'!$B$5:$B$1004,B267)=0,"Nicio linie de comandă. ","")&amp;IF(AND(L267&lt;&gt;"Da",C267&lt;&gt;"",TODAY()-C267&gt;ZileConf),"Neconfirmată de "&amp;(TODAY()-C267)&amp;" zile. ","")&amp;IF(S267="Întârziată","Termenul de livrare a trecut: "&amp;RIGHT("0"&amp;DAY(J267),2)&amp;"."&amp;RIGHT("0"&amp;MONTH(J267),2)&amp;"."&amp;YEAR(J267)&amp;". ","")&amp;IF(S267="Livrată – de facturat","Emite factura. ",""))))</f>
        <v/>
      </c>
    </row>
    <row r="268" spans="2:20" x14ac:dyDescent="0.2">
      <c r="B268" s="10" t="str">
        <f>IF(D268="","",MAX($B$5:B267)+1)</f>
        <v/>
      </c>
      <c r="C268" s="11"/>
      <c r="D268" s="12"/>
      <c r="E268" s="12"/>
      <c r="F268" s="12"/>
      <c r="G268" s="12"/>
      <c r="H268" s="12"/>
      <c r="I268" s="10"/>
      <c r="J268" s="11"/>
      <c r="K268" s="13"/>
      <c r="L268" s="10"/>
      <c r="M268" s="11"/>
      <c r="N268" s="14" t="str">
        <f>IF(B268="","",SUMIF('Linii comandă'!$B$5:$B$1004,B268,'Linii comandă'!$K$5:$K$1004))</f>
        <v/>
      </c>
      <c r="O268" s="14" t="str">
        <f>IF(B268="","",SUMIF('Linii comandă'!$B$5:$B$1004,B268,'Linii comandă'!$L$5:$L$1004))</f>
        <v/>
      </c>
      <c r="P268" s="14" t="str">
        <f t="shared" si="8"/>
        <v/>
      </c>
      <c r="Q268" s="15" t="str">
        <f>IF(OR(B268="",COUNTIF('Linii comandă'!$B$5:$B$1004,B268)=0),"",IF(SUMIF('Linii comandă'!$B$5:$B$1004,B268,'Linii comandă'!$N$5:$N$1004)&lt;=0,"Completă",IF(SUMIF('Linii comandă'!$B$5:$B$1004,B268,'Linii comandă'!$M$5:$M$1004)&gt;0,"Parțială","Nelivrată")))</f>
        <v/>
      </c>
      <c r="R268" s="10"/>
      <c r="S268" s="15" t="str">
        <f t="shared" ca="1" si="9"/>
        <v/>
      </c>
      <c r="T268" s="16" t="str">
        <f ca="1">IF(AND(B268="",D268=""),"",IF(S268="Anulată","",TRIM(IF(COUNTIF($B$5:$B$304,B268)&gt;1,"Număr dublat. ","")&amp;IF(OR(C268="",D268="",H268="",J268="",K268=""),"Date incomplete. ","")&amp;IF(COUNTIF('Linii comandă'!$B$5:$B$1004,B268)=0,"Nicio linie de comandă. ","")&amp;IF(AND(L268&lt;&gt;"Da",C268&lt;&gt;"",TODAY()-C268&gt;ZileConf),"Neconfirmată de "&amp;(TODAY()-C268)&amp;" zile. ","")&amp;IF(S268="Întârziată","Termenul de livrare a trecut: "&amp;RIGHT("0"&amp;DAY(J268),2)&amp;"."&amp;RIGHT("0"&amp;MONTH(J268),2)&amp;"."&amp;YEAR(J268)&amp;". ","")&amp;IF(S268="Livrată – de facturat","Emite factura. ",""))))</f>
        <v/>
      </c>
    </row>
    <row r="269" spans="2:20" x14ac:dyDescent="0.2">
      <c r="B269" s="10" t="str">
        <f>IF(D269="","",MAX($B$5:B268)+1)</f>
        <v/>
      </c>
      <c r="C269" s="11"/>
      <c r="D269" s="12"/>
      <c r="E269" s="12"/>
      <c r="F269" s="12"/>
      <c r="G269" s="12"/>
      <c r="H269" s="12"/>
      <c r="I269" s="10"/>
      <c r="J269" s="11"/>
      <c r="K269" s="13"/>
      <c r="L269" s="10"/>
      <c r="M269" s="11"/>
      <c r="N269" s="14" t="str">
        <f>IF(B269="","",SUMIF('Linii comandă'!$B$5:$B$1004,B269,'Linii comandă'!$K$5:$K$1004))</f>
        <v/>
      </c>
      <c r="O269" s="14" t="str">
        <f>IF(B269="","",SUMIF('Linii comandă'!$B$5:$B$1004,B269,'Linii comandă'!$L$5:$L$1004))</f>
        <v/>
      </c>
      <c r="P269" s="14" t="str">
        <f t="shared" si="8"/>
        <v/>
      </c>
      <c r="Q269" s="15" t="str">
        <f>IF(OR(B269="",COUNTIF('Linii comandă'!$B$5:$B$1004,B269)=0),"",IF(SUMIF('Linii comandă'!$B$5:$B$1004,B269,'Linii comandă'!$N$5:$N$1004)&lt;=0,"Completă",IF(SUMIF('Linii comandă'!$B$5:$B$1004,B269,'Linii comandă'!$M$5:$M$1004)&gt;0,"Parțială","Nelivrată")))</f>
        <v/>
      </c>
      <c r="R269" s="10"/>
      <c r="S269" s="15" t="str">
        <f t="shared" ca="1" si="9"/>
        <v/>
      </c>
      <c r="T269" s="16" t="str">
        <f ca="1">IF(AND(B269="",D269=""),"",IF(S269="Anulată","",TRIM(IF(COUNTIF($B$5:$B$304,B269)&gt;1,"Număr dublat. ","")&amp;IF(OR(C269="",D269="",H269="",J269="",K269=""),"Date incomplete. ","")&amp;IF(COUNTIF('Linii comandă'!$B$5:$B$1004,B269)=0,"Nicio linie de comandă. ","")&amp;IF(AND(L269&lt;&gt;"Da",C269&lt;&gt;"",TODAY()-C269&gt;ZileConf),"Neconfirmată de "&amp;(TODAY()-C269)&amp;" zile. ","")&amp;IF(S269="Întârziată","Termenul de livrare a trecut: "&amp;RIGHT("0"&amp;DAY(J269),2)&amp;"."&amp;RIGHT("0"&amp;MONTH(J269),2)&amp;"."&amp;YEAR(J269)&amp;". ","")&amp;IF(S269="Livrată – de facturat","Emite factura. ",""))))</f>
        <v/>
      </c>
    </row>
    <row r="270" spans="2:20" x14ac:dyDescent="0.2">
      <c r="B270" s="10" t="str">
        <f>IF(D270="","",MAX($B$5:B269)+1)</f>
        <v/>
      </c>
      <c r="C270" s="11"/>
      <c r="D270" s="12"/>
      <c r="E270" s="12"/>
      <c r="F270" s="12"/>
      <c r="G270" s="12"/>
      <c r="H270" s="12"/>
      <c r="I270" s="10"/>
      <c r="J270" s="11"/>
      <c r="K270" s="13"/>
      <c r="L270" s="10"/>
      <c r="M270" s="11"/>
      <c r="N270" s="14" t="str">
        <f>IF(B270="","",SUMIF('Linii comandă'!$B$5:$B$1004,B270,'Linii comandă'!$K$5:$K$1004))</f>
        <v/>
      </c>
      <c r="O270" s="14" t="str">
        <f>IF(B270="","",SUMIF('Linii comandă'!$B$5:$B$1004,B270,'Linii comandă'!$L$5:$L$1004))</f>
        <v/>
      </c>
      <c r="P270" s="14" t="str">
        <f t="shared" si="8"/>
        <v/>
      </c>
      <c r="Q270" s="15" t="str">
        <f>IF(OR(B270="",COUNTIF('Linii comandă'!$B$5:$B$1004,B270)=0),"",IF(SUMIF('Linii comandă'!$B$5:$B$1004,B270,'Linii comandă'!$N$5:$N$1004)&lt;=0,"Completă",IF(SUMIF('Linii comandă'!$B$5:$B$1004,B270,'Linii comandă'!$M$5:$M$1004)&gt;0,"Parțială","Nelivrată")))</f>
        <v/>
      </c>
      <c r="R270" s="10"/>
      <c r="S270" s="15" t="str">
        <f t="shared" ca="1" si="9"/>
        <v/>
      </c>
      <c r="T270" s="16" t="str">
        <f ca="1">IF(AND(B270="",D270=""),"",IF(S270="Anulată","",TRIM(IF(COUNTIF($B$5:$B$304,B270)&gt;1,"Număr dublat. ","")&amp;IF(OR(C270="",D270="",H270="",J270="",K270=""),"Date incomplete. ","")&amp;IF(COUNTIF('Linii comandă'!$B$5:$B$1004,B270)=0,"Nicio linie de comandă. ","")&amp;IF(AND(L270&lt;&gt;"Da",C270&lt;&gt;"",TODAY()-C270&gt;ZileConf),"Neconfirmată de "&amp;(TODAY()-C270)&amp;" zile. ","")&amp;IF(S270="Întârziată","Termenul de livrare a trecut: "&amp;RIGHT("0"&amp;DAY(J270),2)&amp;"."&amp;RIGHT("0"&amp;MONTH(J270),2)&amp;"."&amp;YEAR(J270)&amp;". ","")&amp;IF(S270="Livrată – de facturat","Emite factura. ",""))))</f>
        <v/>
      </c>
    </row>
    <row r="271" spans="2:20" x14ac:dyDescent="0.2">
      <c r="B271" s="10" t="str">
        <f>IF(D271="","",MAX($B$5:B270)+1)</f>
        <v/>
      </c>
      <c r="C271" s="11"/>
      <c r="D271" s="12"/>
      <c r="E271" s="12"/>
      <c r="F271" s="12"/>
      <c r="G271" s="12"/>
      <c r="H271" s="12"/>
      <c r="I271" s="10"/>
      <c r="J271" s="11"/>
      <c r="K271" s="13"/>
      <c r="L271" s="10"/>
      <c r="M271" s="11"/>
      <c r="N271" s="14" t="str">
        <f>IF(B271="","",SUMIF('Linii comandă'!$B$5:$B$1004,B271,'Linii comandă'!$K$5:$K$1004))</f>
        <v/>
      </c>
      <c r="O271" s="14" t="str">
        <f>IF(B271="","",SUMIF('Linii comandă'!$B$5:$B$1004,B271,'Linii comandă'!$L$5:$L$1004))</f>
        <v/>
      </c>
      <c r="P271" s="14" t="str">
        <f t="shared" si="8"/>
        <v/>
      </c>
      <c r="Q271" s="15" t="str">
        <f>IF(OR(B271="",COUNTIF('Linii comandă'!$B$5:$B$1004,B271)=0),"",IF(SUMIF('Linii comandă'!$B$5:$B$1004,B271,'Linii comandă'!$N$5:$N$1004)&lt;=0,"Completă",IF(SUMIF('Linii comandă'!$B$5:$B$1004,B271,'Linii comandă'!$M$5:$M$1004)&gt;0,"Parțială","Nelivrată")))</f>
        <v/>
      </c>
      <c r="R271" s="10"/>
      <c r="S271" s="15" t="str">
        <f t="shared" ca="1" si="9"/>
        <v/>
      </c>
      <c r="T271" s="16" t="str">
        <f ca="1">IF(AND(B271="",D271=""),"",IF(S271="Anulată","",TRIM(IF(COUNTIF($B$5:$B$304,B271)&gt;1,"Număr dublat. ","")&amp;IF(OR(C271="",D271="",H271="",J271="",K271=""),"Date incomplete. ","")&amp;IF(COUNTIF('Linii comandă'!$B$5:$B$1004,B271)=0,"Nicio linie de comandă. ","")&amp;IF(AND(L271&lt;&gt;"Da",C271&lt;&gt;"",TODAY()-C271&gt;ZileConf),"Neconfirmată de "&amp;(TODAY()-C271)&amp;" zile. ","")&amp;IF(S271="Întârziată","Termenul de livrare a trecut: "&amp;RIGHT("0"&amp;DAY(J271),2)&amp;"."&amp;RIGHT("0"&amp;MONTH(J271),2)&amp;"."&amp;YEAR(J271)&amp;". ","")&amp;IF(S271="Livrată – de facturat","Emite factura. ",""))))</f>
        <v/>
      </c>
    </row>
    <row r="272" spans="2:20" x14ac:dyDescent="0.2">
      <c r="B272" s="10" t="str">
        <f>IF(D272="","",MAX($B$5:B271)+1)</f>
        <v/>
      </c>
      <c r="C272" s="11"/>
      <c r="D272" s="12"/>
      <c r="E272" s="12"/>
      <c r="F272" s="12"/>
      <c r="G272" s="12"/>
      <c r="H272" s="12"/>
      <c r="I272" s="10"/>
      <c r="J272" s="11"/>
      <c r="K272" s="13"/>
      <c r="L272" s="10"/>
      <c r="M272" s="11"/>
      <c r="N272" s="14" t="str">
        <f>IF(B272="","",SUMIF('Linii comandă'!$B$5:$B$1004,B272,'Linii comandă'!$K$5:$K$1004))</f>
        <v/>
      </c>
      <c r="O272" s="14" t="str">
        <f>IF(B272="","",SUMIF('Linii comandă'!$B$5:$B$1004,B272,'Linii comandă'!$L$5:$L$1004))</f>
        <v/>
      </c>
      <c r="P272" s="14" t="str">
        <f t="shared" si="8"/>
        <v/>
      </c>
      <c r="Q272" s="15" t="str">
        <f>IF(OR(B272="",COUNTIF('Linii comandă'!$B$5:$B$1004,B272)=0),"",IF(SUMIF('Linii comandă'!$B$5:$B$1004,B272,'Linii comandă'!$N$5:$N$1004)&lt;=0,"Completă",IF(SUMIF('Linii comandă'!$B$5:$B$1004,B272,'Linii comandă'!$M$5:$M$1004)&gt;0,"Parțială","Nelivrată")))</f>
        <v/>
      </c>
      <c r="R272" s="10"/>
      <c r="S272" s="15" t="str">
        <f t="shared" ca="1" si="9"/>
        <v/>
      </c>
      <c r="T272" s="16" t="str">
        <f ca="1">IF(AND(B272="",D272=""),"",IF(S272="Anulată","",TRIM(IF(COUNTIF($B$5:$B$304,B272)&gt;1,"Număr dublat. ","")&amp;IF(OR(C272="",D272="",H272="",J272="",K272=""),"Date incomplete. ","")&amp;IF(COUNTIF('Linii comandă'!$B$5:$B$1004,B272)=0,"Nicio linie de comandă. ","")&amp;IF(AND(L272&lt;&gt;"Da",C272&lt;&gt;"",TODAY()-C272&gt;ZileConf),"Neconfirmată de "&amp;(TODAY()-C272)&amp;" zile. ","")&amp;IF(S272="Întârziată","Termenul de livrare a trecut: "&amp;RIGHT("0"&amp;DAY(J272),2)&amp;"."&amp;RIGHT("0"&amp;MONTH(J272),2)&amp;"."&amp;YEAR(J272)&amp;". ","")&amp;IF(S272="Livrată – de facturat","Emite factura. ",""))))</f>
        <v/>
      </c>
    </row>
    <row r="273" spans="2:20" x14ac:dyDescent="0.2">
      <c r="B273" s="10" t="str">
        <f>IF(D273="","",MAX($B$5:B272)+1)</f>
        <v/>
      </c>
      <c r="C273" s="11"/>
      <c r="D273" s="12"/>
      <c r="E273" s="12"/>
      <c r="F273" s="12"/>
      <c r="G273" s="12"/>
      <c r="H273" s="12"/>
      <c r="I273" s="10"/>
      <c r="J273" s="11"/>
      <c r="K273" s="13"/>
      <c r="L273" s="10"/>
      <c r="M273" s="11"/>
      <c r="N273" s="14" t="str">
        <f>IF(B273="","",SUMIF('Linii comandă'!$B$5:$B$1004,B273,'Linii comandă'!$K$5:$K$1004))</f>
        <v/>
      </c>
      <c r="O273" s="14" t="str">
        <f>IF(B273="","",SUMIF('Linii comandă'!$B$5:$B$1004,B273,'Linii comandă'!$L$5:$L$1004))</f>
        <v/>
      </c>
      <c r="P273" s="14" t="str">
        <f t="shared" si="8"/>
        <v/>
      </c>
      <c r="Q273" s="15" t="str">
        <f>IF(OR(B273="",COUNTIF('Linii comandă'!$B$5:$B$1004,B273)=0),"",IF(SUMIF('Linii comandă'!$B$5:$B$1004,B273,'Linii comandă'!$N$5:$N$1004)&lt;=0,"Completă",IF(SUMIF('Linii comandă'!$B$5:$B$1004,B273,'Linii comandă'!$M$5:$M$1004)&gt;0,"Parțială","Nelivrată")))</f>
        <v/>
      </c>
      <c r="R273" s="10"/>
      <c r="S273" s="15" t="str">
        <f t="shared" ca="1" si="9"/>
        <v/>
      </c>
      <c r="T273" s="16" t="str">
        <f ca="1">IF(AND(B273="",D273=""),"",IF(S273="Anulată","",TRIM(IF(COUNTIF($B$5:$B$304,B273)&gt;1,"Număr dublat. ","")&amp;IF(OR(C273="",D273="",H273="",J273="",K273=""),"Date incomplete. ","")&amp;IF(COUNTIF('Linii comandă'!$B$5:$B$1004,B273)=0,"Nicio linie de comandă. ","")&amp;IF(AND(L273&lt;&gt;"Da",C273&lt;&gt;"",TODAY()-C273&gt;ZileConf),"Neconfirmată de "&amp;(TODAY()-C273)&amp;" zile. ","")&amp;IF(S273="Întârziată","Termenul de livrare a trecut: "&amp;RIGHT("0"&amp;DAY(J273),2)&amp;"."&amp;RIGHT("0"&amp;MONTH(J273),2)&amp;"."&amp;YEAR(J273)&amp;". ","")&amp;IF(S273="Livrată – de facturat","Emite factura. ",""))))</f>
        <v/>
      </c>
    </row>
    <row r="274" spans="2:20" x14ac:dyDescent="0.2">
      <c r="B274" s="10" t="str">
        <f>IF(D274="","",MAX($B$5:B273)+1)</f>
        <v/>
      </c>
      <c r="C274" s="11"/>
      <c r="D274" s="12"/>
      <c r="E274" s="12"/>
      <c r="F274" s="12"/>
      <c r="G274" s="12"/>
      <c r="H274" s="12"/>
      <c r="I274" s="10"/>
      <c r="J274" s="11"/>
      <c r="K274" s="13"/>
      <c r="L274" s="10"/>
      <c r="M274" s="11"/>
      <c r="N274" s="14" t="str">
        <f>IF(B274="","",SUMIF('Linii comandă'!$B$5:$B$1004,B274,'Linii comandă'!$K$5:$K$1004))</f>
        <v/>
      </c>
      <c r="O274" s="14" t="str">
        <f>IF(B274="","",SUMIF('Linii comandă'!$B$5:$B$1004,B274,'Linii comandă'!$L$5:$L$1004))</f>
        <v/>
      </c>
      <c r="P274" s="14" t="str">
        <f t="shared" si="8"/>
        <v/>
      </c>
      <c r="Q274" s="15" t="str">
        <f>IF(OR(B274="",COUNTIF('Linii comandă'!$B$5:$B$1004,B274)=0),"",IF(SUMIF('Linii comandă'!$B$5:$B$1004,B274,'Linii comandă'!$N$5:$N$1004)&lt;=0,"Completă",IF(SUMIF('Linii comandă'!$B$5:$B$1004,B274,'Linii comandă'!$M$5:$M$1004)&gt;0,"Parțială","Nelivrată")))</f>
        <v/>
      </c>
      <c r="R274" s="10"/>
      <c r="S274" s="15" t="str">
        <f t="shared" ca="1" si="9"/>
        <v/>
      </c>
      <c r="T274" s="16" t="str">
        <f ca="1">IF(AND(B274="",D274=""),"",IF(S274="Anulată","",TRIM(IF(COUNTIF($B$5:$B$304,B274)&gt;1,"Număr dublat. ","")&amp;IF(OR(C274="",D274="",H274="",J274="",K274=""),"Date incomplete. ","")&amp;IF(COUNTIF('Linii comandă'!$B$5:$B$1004,B274)=0,"Nicio linie de comandă. ","")&amp;IF(AND(L274&lt;&gt;"Da",C274&lt;&gt;"",TODAY()-C274&gt;ZileConf),"Neconfirmată de "&amp;(TODAY()-C274)&amp;" zile. ","")&amp;IF(S274="Întârziată","Termenul de livrare a trecut: "&amp;RIGHT("0"&amp;DAY(J274),2)&amp;"."&amp;RIGHT("0"&amp;MONTH(J274),2)&amp;"."&amp;YEAR(J274)&amp;". ","")&amp;IF(S274="Livrată – de facturat","Emite factura. ",""))))</f>
        <v/>
      </c>
    </row>
    <row r="275" spans="2:20" x14ac:dyDescent="0.2">
      <c r="B275" s="10" t="str">
        <f>IF(D275="","",MAX($B$5:B274)+1)</f>
        <v/>
      </c>
      <c r="C275" s="11"/>
      <c r="D275" s="12"/>
      <c r="E275" s="12"/>
      <c r="F275" s="12"/>
      <c r="G275" s="12"/>
      <c r="H275" s="12"/>
      <c r="I275" s="10"/>
      <c r="J275" s="11"/>
      <c r="K275" s="13"/>
      <c r="L275" s="10"/>
      <c r="M275" s="11"/>
      <c r="N275" s="14" t="str">
        <f>IF(B275="","",SUMIF('Linii comandă'!$B$5:$B$1004,B275,'Linii comandă'!$K$5:$K$1004))</f>
        <v/>
      </c>
      <c r="O275" s="14" t="str">
        <f>IF(B275="","",SUMIF('Linii comandă'!$B$5:$B$1004,B275,'Linii comandă'!$L$5:$L$1004))</f>
        <v/>
      </c>
      <c r="P275" s="14" t="str">
        <f t="shared" si="8"/>
        <v/>
      </c>
      <c r="Q275" s="15" t="str">
        <f>IF(OR(B275="",COUNTIF('Linii comandă'!$B$5:$B$1004,B275)=0),"",IF(SUMIF('Linii comandă'!$B$5:$B$1004,B275,'Linii comandă'!$N$5:$N$1004)&lt;=0,"Completă",IF(SUMIF('Linii comandă'!$B$5:$B$1004,B275,'Linii comandă'!$M$5:$M$1004)&gt;0,"Parțială","Nelivrată")))</f>
        <v/>
      </c>
      <c r="R275" s="10"/>
      <c r="S275" s="15" t="str">
        <f t="shared" ca="1" si="9"/>
        <v/>
      </c>
      <c r="T275" s="16" t="str">
        <f ca="1">IF(AND(B275="",D275=""),"",IF(S275="Anulată","",TRIM(IF(COUNTIF($B$5:$B$304,B275)&gt;1,"Număr dublat. ","")&amp;IF(OR(C275="",D275="",H275="",J275="",K275=""),"Date incomplete. ","")&amp;IF(COUNTIF('Linii comandă'!$B$5:$B$1004,B275)=0,"Nicio linie de comandă. ","")&amp;IF(AND(L275&lt;&gt;"Da",C275&lt;&gt;"",TODAY()-C275&gt;ZileConf),"Neconfirmată de "&amp;(TODAY()-C275)&amp;" zile. ","")&amp;IF(S275="Întârziată","Termenul de livrare a trecut: "&amp;RIGHT("0"&amp;DAY(J275),2)&amp;"."&amp;RIGHT("0"&amp;MONTH(J275),2)&amp;"."&amp;YEAR(J275)&amp;". ","")&amp;IF(S275="Livrată – de facturat","Emite factura. ",""))))</f>
        <v/>
      </c>
    </row>
    <row r="276" spans="2:20" x14ac:dyDescent="0.2">
      <c r="B276" s="10" t="str">
        <f>IF(D276="","",MAX($B$5:B275)+1)</f>
        <v/>
      </c>
      <c r="C276" s="11"/>
      <c r="D276" s="12"/>
      <c r="E276" s="12"/>
      <c r="F276" s="12"/>
      <c r="G276" s="12"/>
      <c r="H276" s="12"/>
      <c r="I276" s="10"/>
      <c r="J276" s="11"/>
      <c r="K276" s="13"/>
      <c r="L276" s="10"/>
      <c r="M276" s="11"/>
      <c r="N276" s="14" t="str">
        <f>IF(B276="","",SUMIF('Linii comandă'!$B$5:$B$1004,B276,'Linii comandă'!$K$5:$K$1004))</f>
        <v/>
      </c>
      <c r="O276" s="14" t="str">
        <f>IF(B276="","",SUMIF('Linii comandă'!$B$5:$B$1004,B276,'Linii comandă'!$L$5:$L$1004))</f>
        <v/>
      </c>
      <c r="P276" s="14" t="str">
        <f t="shared" si="8"/>
        <v/>
      </c>
      <c r="Q276" s="15" t="str">
        <f>IF(OR(B276="",COUNTIF('Linii comandă'!$B$5:$B$1004,B276)=0),"",IF(SUMIF('Linii comandă'!$B$5:$B$1004,B276,'Linii comandă'!$N$5:$N$1004)&lt;=0,"Completă",IF(SUMIF('Linii comandă'!$B$5:$B$1004,B276,'Linii comandă'!$M$5:$M$1004)&gt;0,"Parțială","Nelivrată")))</f>
        <v/>
      </c>
      <c r="R276" s="10"/>
      <c r="S276" s="15" t="str">
        <f t="shared" ca="1" si="9"/>
        <v/>
      </c>
      <c r="T276" s="16" t="str">
        <f ca="1">IF(AND(B276="",D276=""),"",IF(S276="Anulată","",TRIM(IF(COUNTIF($B$5:$B$304,B276)&gt;1,"Număr dublat. ","")&amp;IF(OR(C276="",D276="",H276="",J276="",K276=""),"Date incomplete. ","")&amp;IF(COUNTIF('Linii comandă'!$B$5:$B$1004,B276)=0,"Nicio linie de comandă. ","")&amp;IF(AND(L276&lt;&gt;"Da",C276&lt;&gt;"",TODAY()-C276&gt;ZileConf),"Neconfirmată de "&amp;(TODAY()-C276)&amp;" zile. ","")&amp;IF(S276="Întârziată","Termenul de livrare a trecut: "&amp;RIGHT("0"&amp;DAY(J276),2)&amp;"."&amp;RIGHT("0"&amp;MONTH(J276),2)&amp;"."&amp;YEAR(J276)&amp;". ","")&amp;IF(S276="Livrată – de facturat","Emite factura. ",""))))</f>
        <v/>
      </c>
    </row>
    <row r="277" spans="2:20" x14ac:dyDescent="0.2">
      <c r="B277" s="10" t="str">
        <f>IF(D277="","",MAX($B$5:B276)+1)</f>
        <v/>
      </c>
      <c r="C277" s="11"/>
      <c r="D277" s="12"/>
      <c r="E277" s="12"/>
      <c r="F277" s="12"/>
      <c r="G277" s="12"/>
      <c r="H277" s="12"/>
      <c r="I277" s="10"/>
      <c r="J277" s="11"/>
      <c r="K277" s="13"/>
      <c r="L277" s="10"/>
      <c r="M277" s="11"/>
      <c r="N277" s="14" t="str">
        <f>IF(B277="","",SUMIF('Linii comandă'!$B$5:$B$1004,B277,'Linii comandă'!$K$5:$K$1004))</f>
        <v/>
      </c>
      <c r="O277" s="14" t="str">
        <f>IF(B277="","",SUMIF('Linii comandă'!$B$5:$B$1004,B277,'Linii comandă'!$L$5:$L$1004))</f>
        <v/>
      </c>
      <c r="P277" s="14" t="str">
        <f t="shared" si="8"/>
        <v/>
      </c>
      <c r="Q277" s="15" t="str">
        <f>IF(OR(B277="",COUNTIF('Linii comandă'!$B$5:$B$1004,B277)=0),"",IF(SUMIF('Linii comandă'!$B$5:$B$1004,B277,'Linii comandă'!$N$5:$N$1004)&lt;=0,"Completă",IF(SUMIF('Linii comandă'!$B$5:$B$1004,B277,'Linii comandă'!$M$5:$M$1004)&gt;0,"Parțială","Nelivrată")))</f>
        <v/>
      </c>
      <c r="R277" s="10"/>
      <c r="S277" s="15" t="str">
        <f t="shared" ca="1" si="9"/>
        <v/>
      </c>
      <c r="T277" s="16" t="str">
        <f ca="1">IF(AND(B277="",D277=""),"",IF(S277="Anulată","",TRIM(IF(COUNTIF($B$5:$B$304,B277)&gt;1,"Număr dublat. ","")&amp;IF(OR(C277="",D277="",H277="",J277="",K277=""),"Date incomplete. ","")&amp;IF(COUNTIF('Linii comandă'!$B$5:$B$1004,B277)=0,"Nicio linie de comandă. ","")&amp;IF(AND(L277&lt;&gt;"Da",C277&lt;&gt;"",TODAY()-C277&gt;ZileConf),"Neconfirmată de "&amp;(TODAY()-C277)&amp;" zile. ","")&amp;IF(S277="Întârziată","Termenul de livrare a trecut: "&amp;RIGHT("0"&amp;DAY(J277),2)&amp;"."&amp;RIGHT("0"&amp;MONTH(J277),2)&amp;"."&amp;YEAR(J277)&amp;". ","")&amp;IF(S277="Livrată – de facturat","Emite factura. ",""))))</f>
        <v/>
      </c>
    </row>
    <row r="278" spans="2:20" x14ac:dyDescent="0.2">
      <c r="B278" s="10" t="str">
        <f>IF(D278="","",MAX($B$5:B277)+1)</f>
        <v/>
      </c>
      <c r="C278" s="11"/>
      <c r="D278" s="12"/>
      <c r="E278" s="12"/>
      <c r="F278" s="12"/>
      <c r="G278" s="12"/>
      <c r="H278" s="12"/>
      <c r="I278" s="10"/>
      <c r="J278" s="11"/>
      <c r="K278" s="13"/>
      <c r="L278" s="10"/>
      <c r="M278" s="11"/>
      <c r="N278" s="14" t="str">
        <f>IF(B278="","",SUMIF('Linii comandă'!$B$5:$B$1004,B278,'Linii comandă'!$K$5:$K$1004))</f>
        <v/>
      </c>
      <c r="O278" s="14" t="str">
        <f>IF(B278="","",SUMIF('Linii comandă'!$B$5:$B$1004,B278,'Linii comandă'!$L$5:$L$1004))</f>
        <v/>
      </c>
      <c r="P278" s="14" t="str">
        <f t="shared" si="8"/>
        <v/>
      </c>
      <c r="Q278" s="15" t="str">
        <f>IF(OR(B278="",COUNTIF('Linii comandă'!$B$5:$B$1004,B278)=0),"",IF(SUMIF('Linii comandă'!$B$5:$B$1004,B278,'Linii comandă'!$N$5:$N$1004)&lt;=0,"Completă",IF(SUMIF('Linii comandă'!$B$5:$B$1004,B278,'Linii comandă'!$M$5:$M$1004)&gt;0,"Parțială","Nelivrată")))</f>
        <v/>
      </c>
      <c r="R278" s="10"/>
      <c r="S278" s="15" t="str">
        <f t="shared" ca="1" si="9"/>
        <v/>
      </c>
      <c r="T278" s="16" t="str">
        <f ca="1">IF(AND(B278="",D278=""),"",IF(S278="Anulată","",TRIM(IF(COUNTIF($B$5:$B$304,B278)&gt;1,"Număr dublat. ","")&amp;IF(OR(C278="",D278="",H278="",J278="",K278=""),"Date incomplete. ","")&amp;IF(COUNTIF('Linii comandă'!$B$5:$B$1004,B278)=0,"Nicio linie de comandă. ","")&amp;IF(AND(L278&lt;&gt;"Da",C278&lt;&gt;"",TODAY()-C278&gt;ZileConf),"Neconfirmată de "&amp;(TODAY()-C278)&amp;" zile. ","")&amp;IF(S278="Întârziată","Termenul de livrare a trecut: "&amp;RIGHT("0"&amp;DAY(J278),2)&amp;"."&amp;RIGHT("0"&amp;MONTH(J278),2)&amp;"."&amp;YEAR(J278)&amp;". ","")&amp;IF(S278="Livrată – de facturat","Emite factura. ",""))))</f>
        <v/>
      </c>
    </row>
    <row r="279" spans="2:20" x14ac:dyDescent="0.2">
      <c r="B279" s="10" t="str">
        <f>IF(D279="","",MAX($B$5:B278)+1)</f>
        <v/>
      </c>
      <c r="C279" s="11"/>
      <c r="D279" s="12"/>
      <c r="E279" s="12"/>
      <c r="F279" s="12"/>
      <c r="G279" s="12"/>
      <c r="H279" s="12"/>
      <c r="I279" s="10"/>
      <c r="J279" s="11"/>
      <c r="K279" s="13"/>
      <c r="L279" s="10"/>
      <c r="M279" s="11"/>
      <c r="N279" s="14" t="str">
        <f>IF(B279="","",SUMIF('Linii comandă'!$B$5:$B$1004,B279,'Linii comandă'!$K$5:$K$1004))</f>
        <v/>
      </c>
      <c r="O279" s="14" t="str">
        <f>IF(B279="","",SUMIF('Linii comandă'!$B$5:$B$1004,B279,'Linii comandă'!$L$5:$L$1004))</f>
        <v/>
      </c>
      <c r="P279" s="14" t="str">
        <f t="shared" si="8"/>
        <v/>
      </c>
      <c r="Q279" s="15" t="str">
        <f>IF(OR(B279="",COUNTIF('Linii comandă'!$B$5:$B$1004,B279)=0),"",IF(SUMIF('Linii comandă'!$B$5:$B$1004,B279,'Linii comandă'!$N$5:$N$1004)&lt;=0,"Completă",IF(SUMIF('Linii comandă'!$B$5:$B$1004,B279,'Linii comandă'!$M$5:$M$1004)&gt;0,"Parțială","Nelivrată")))</f>
        <v/>
      </c>
      <c r="R279" s="10"/>
      <c r="S279" s="15" t="str">
        <f t="shared" ca="1" si="9"/>
        <v/>
      </c>
      <c r="T279" s="16" t="str">
        <f ca="1">IF(AND(B279="",D279=""),"",IF(S279="Anulată","",TRIM(IF(COUNTIF($B$5:$B$304,B279)&gt;1,"Număr dublat. ","")&amp;IF(OR(C279="",D279="",H279="",J279="",K279=""),"Date incomplete. ","")&amp;IF(COUNTIF('Linii comandă'!$B$5:$B$1004,B279)=0,"Nicio linie de comandă. ","")&amp;IF(AND(L279&lt;&gt;"Da",C279&lt;&gt;"",TODAY()-C279&gt;ZileConf),"Neconfirmată de "&amp;(TODAY()-C279)&amp;" zile. ","")&amp;IF(S279="Întârziată","Termenul de livrare a trecut: "&amp;RIGHT("0"&amp;DAY(J279),2)&amp;"."&amp;RIGHT("0"&amp;MONTH(J279),2)&amp;"."&amp;YEAR(J279)&amp;". ","")&amp;IF(S279="Livrată – de facturat","Emite factura. ",""))))</f>
        <v/>
      </c>
    </row>
    <row r="280" spans="2:20" x14ac:dyDescent="0.2">
      <c r="B280" s="10" t="str">
        <f>IF(D280="","",MAX($B$5:B279)+1)</f>
        <v/>
      </c>
      <c r="C280" s="11"/>
      <c r="D280" s="12"/>
      <c r="E280" s="12"/>
      <c r="F280" s="12"/>
      <c r="G280" s="12"/>
      <c r="H280" s="12"/>
      <c r="I280" s="10"/>
      <c r="J280" s="11"/>
      <c r="K280" s="13"/>
      <c r="L280" s="10"/>
      <c r="M280" s="11"/>
      <c r="N280" s="14" t="str">
        <f>IF(B280="","",SUMIF('Linii comandă'!$B$5:$B$1004,B280,'Linii comandă'!$K$5:$K$1004))</f>
        <v/>
      </c>
      <c r="O280" s="14" t="str">
        <f>IF(B280="","",SUMIF('Linii comandă'!$B$5:$B$1004,B280,'Linii comandă'!$L$5:$L$1004))</f>
        <v/>
      </c>
      <c r="P280" s="14" t="str">
        <f t="shared" si="8"/>
        <v/>
      </c>
      <c r="Q280" s="15" t="str">
        <f>IF(OR(B280="",COUNTIF('Linii comandă'!$B$5:$B$1004,B280)=0),"",IF(SUMIF('Linii comandă'!$B$5:$B$1004,B280,'Linii comandă'!$N$5:$N$1004)&lt;=0,"Completă",IF(SUMIF('Linii comandă'!$B$5:$B$1004,B280,'Linii comandă'!$M$5:$M$1004)&gt;0,"Parțială","Nelivrată")))</f>
        <v/>
      </c>
      <c r="R280" s="10"/>
      <c r="S280" s="15" t="str">
        <f t="shared" ca="1" si="9"/>
        <v/>
      </c>
      <c r="T280" s="16" t="str">
        <f ca="1">IF(AND(B280="",D280=""),"",IF(S280="Anulată","",TRIM(IF(COUNTIF($B$5:$B$304,B280)&gt;1,"Număr dublat. ","")&amp;IF(OR(C280="",D280="",H280="",J280="",K280=""),"Date incomplete. ","")&amp;IF(COUNTIF('Linii comandă'!$B$5:$B$1004,B280)=0,"Nicio linie de comandă. ","")&amp;IF(AND(L280&lt;&gt;"Da",C280&lt;&gt;"",TODAY()-C280&gt;ZileConf),"Neconfirmată de "&amp;(TODAY()-C280)&amp;" zile. ","")&amp;IF(S280="Întârziată","Termenul de livrare a trecut: "&amp;RIGHT("0"&amp;DAY(J280),2)&amp;"."&amp;RIGHT("0"&amp;MONTH(J280),2)&amp;"."&amp;YEAR(J280)&amp;". ","")&amp;IF(S280="Livrată – de facturat","Emite factura. ",""))))</f>
        <v/>
      </c>
    </row>
    <row r="281" spans="2:20" x14ac:dyDescent="0.2">
      <c r="B281" s="10" t="str">
        <f>IF(D281="","",MAX($B$5:B280)+1)</f>
        <v/>
      </c>
      <c r="C281" s="11"/>
      <c r="D281" s="12"/>
      <c r="E281" s="12"/>
      <c r="F281" s="12"/>
      <c r="G281" s="12"/>
      <c r="H281" s="12"/>
      <c r="I281" s="10"/>
      <c r="J281" s="11"/>
      <c r="K281" s="13"/>
      <c r="L281" s="10"/>
      <c r="M281" s="11"/>
      <c r="N281" s="14" t="str">
        <f>IF(B281="","",SUMIF('Linii comandă'!$B$5:$B$1004,B281,'Linii comandă'!$K$5:$K$1004))</f>
        <v/>
      </c>
      <c r="O281" s="14" t="str">
        <f>IF(B281="","",SUMIF('Linii comandă'!$B$5:$B$1004,B281,'Linii comandă'!$L$5:$L$1004))</f>
        <v/>
      </c>
      <c r="P281" s="14" t="str">
        <f t="shared" si="8"/>
        <v/>
      </c>
      <c r="Q281" s="15" t="str">
        <f>IF(OR(B281="",COUNTIF('Linii comandă'!$B$5:$B$1004,B281)=0),"",IF(SUMIF('Linii comandă'!$B$5:$B$1004,B281,'Linii comandă'!$N$5:$N$1004)&lt;=0,"Completă",IF(SUMIF('Linii comandă'!$B$5:$B$1004,B281,'Linii comandă'!$M$5:$M$1004)&gt;0,"Parțială","Nelivrată")))</f>
        <v/>
      </c>
      <c r="R281" s="10"/>
      <c r="S281" s="15" t="str">
        <f t="shared" ca="1" si="9"/>
        <v/>
      </c>
      <c r="T281" s="16" t="str">
        <f ca="1">IF(AND(B281="",D281=""),"",IF(S281="Anulată","",TRIM(IF(COUNTIF($B$5:$B$304,B281)&gt;1,"Număr dublat. ","")&amp;IF(OR(C281="",D281="",H281="",J281="",K281=""),"Date incomplete. ","")&amp;IF(COUNTIF('Linii comandă'!$B$5:$B$1004,B281)=0,"Nicio linie de comandă. ","")&amp;IF(AND(L281&lt;&gt;"Da",C281&lt;&gt;"",TODAY()-C281&gt;ZileConf),"Neconfirmată de "&amp;(TODAY()-C281)&amp;" zile. ","")&amp;IF(S281="Întârziată","Termenul de livrare a trecut: "&amp;RIGHT("0"&amp;DAY(J281),2)&amp;"."&amp;RIGHT("0"&amp;MONTH(J281),2)&amp;"."&amp;YEAR(J281)&amp;". ","")&amp;IF(S281="Livrată – de facturat","Emite factura. ",""))))</f>
        <v/>
      </c>
    </row>
    <row r="282" spans="2:20" x14ac:dyDescent="0.2">
      <c r="B282" s="10" t="str">
        <f>IF(D282="","",MAX($B$5:B281)+1)</f>
        <v/>
      </c>
      <c r="C282" s="11"/>
      <c r="D282" s="12"/>
      <c r="E282" s="12"/>
      <c r="F282" s="12"/>
      <c r="G282" s="12"/>
      <c r="H282" s="12"/>
      <c r="I282" s="10"/>
      <c r="J282" s="11"/>
      <c r="K282" s="13"/>
      <c r="L282" s="10"/>
      <c r="M282" s="11"/>
      <c r="N282" s="14" t="str">
        <f>IF(B282="","",SUMIF('Linii comandă'!$B$5:$B$1004,B282,'Linii comandă'!$K$5:$K$1004))</f>
        <v/>
      </c>
      <c r="O282" s="14" t="str">
        <f>IF(B282="","",SUMIF('Linii comandă'!$B$5:$B$1004,B282,'Linii comandă'!$L$5:$L$1004))</f>
        <v/>
      </c>
      <c r="P282" s="14" t="str">
        <f t="shared" si="8"/>
        <v/>
      </c>
      <c r="Q282" s="15" t="str">
        <f>IF(OR(B282="",COUNTIF('Linii comandă'!$B$5:$B$1004,B282)=0),"",IF(SUMIF('Linii comandă'!$B$5:$B$1004,B282,'Linii comandă'!$N$5:$N$1004)&lt;=0,"Completă",IF(SUMIF('Linii comandă'!$B$5:$B$1004,B282,'Linii comandă'!$M$5:$M$1004)&gt;0,"Parțială","Nelivrată")))</f>
        <v/>
      </c>
      <c r="R282" s="10"/>
      <c r="S282" s="15" t="str">
        <f t="shared" ca="1" si="9"/>
        <v/>
      </c>
      <c r="T282" s="16" t="str">
        <f ca="1">IF(AND(B282="",D282=""),"",IF(S282="Anulată","",TRIM(IF(COUNTIF($B$5:$B$304,B282)&gt;1,"Număr dublat. ","")&amp;IF(OR(C282="",D282="",H282="",J282="",K282=""),"Date incomplete. ","")&amp;IF(COUNTIF('Linii comandă'!$B$5:$B$1004,B282)=0,"Nicio linie de comandă. ","")&amp;IF(AND(L282&lt;&gt;"Da",C282&lt;&gt;"",TODAY()-C282&gt;ZileConf),"Neconfirmată de "&amp;(TODAY()-C282)&amp;" zile. ","")&amp;IF(S282="Întârziată","Termenul de livrare a trecut: "&amp;RIGHT("0"&amp;DAY(J282),2)&amp;"."&amp;RIGHT("0"&amp;MONTH(J282),2)&amp;"."&amp;YEAR(J282)&amp;". ","")&amp;IF(S282="Livrată – de facturat","Emite factura. ",""))))</f>
        <v/>
      </c>
    </row>
    <row r="283" spans="2:20" x14ac:dyDescent="0.2">
      <c r="B283" s="10" t="str">
        <f>IF(D283="","",MAX($B$5:B282)+1)</f>
        <v/>
      </c>
      <c r="C283" s="11"/>
      <c r="D283" s="12"/>
      <c r="E283" s="12"/>
      <c r="F283" s="12"/>
      <c r="G283" s="12"/>
      <c r="H283" s="12"/>
      <c r="I283" s="10"/>
      <c r="J283" s="11"/>
      <c r="K283" s="13"/>
      <c r="L283" s="10"/>
      <c r="M283" s="11"/>
      <c r="N283" s="14" t="str">
        <f>IF(B283="","",SUMIF('Linii comandă'!$B$5:$B$1004,B283,'Linii comandă'!$K$5:$K$1004))</f>
        <v/>
      </c>
      <c r="O283" s="14" t="str">
        <f>IF(B283="","",SUMIF('Linii comandă'!$B$5:$B$1004,B283,'Linii comandă'!$L$5:$L$1004))</f>
        <v/>
      </c>
      <c r="P283" s="14" t="str">
        <f t="shared" si="8"/>
        <v/>
      </c>
      <c r="Q283" s="15" t="str">
        <f>IF(OR(B283="",COUNTIF('Linii comandă'!$B$5:$B$1004,B283)=0),"",IF(SUMIF('Linii comandă'!$B$5:$B$1004,B283,'Linii comandă'!$N$5:$N$1004)&lt;=0,"Completă",IF(SUMIF('Linii comandă'!$B$5:$B$1004,B283,'Linii comandă'!$M$5:$M$1004)&gt;0,"Parțială","Nelivrată")))</f>
        <v/>
      </c>
      <c r="R283" s="10"/>
      <c r="S283" s="15" t="str">
        <f t="shared" ca="1" si="9"/>
        <v/>
      </c>
      <c r="T283" s="16" t="str">
        <f ca="1">IF(AND(B283="",D283=""),"",IF(S283="Anulată","",TRIM(IF(COUNTIF($B$5:$B$304,B283)&gt;1,"Număr dublat. ","")&amp;IF(OR(C283="",D283="",H283="",J283="",K283=""),"Date incomplete. ","")&amp;IF(COUNTIF('Linii comandă'!$B$5:$B$1004,B283)=0,"Nicio linie de comandă. ","")&amp;IF(AND(L283&lt;&gt;"Da",C283&lt;&gt;"",TODAY()-C283&gt;ZileConf),"Neconfirmată de "&amp;(TODAY()-C283)&amp;" zile. ","")&amp;IF(S283="Întârziată","Termenul de livrare a trecut: "&amp;RIGHT("0"&amp;DAY(J283),2)&amp;"."&amp;RIGHT("0"&amp;MONTH(J283),2)&amp;"."&amp;YEAR(J283)&amp;". ","")&amp;IF(S283="Livrată – de facturat","Emite factura. ",""))))</f>
        <v/>
      </c>
    </row>
    <row r="284" spans="2:20" x14ac:dyDescent="0.2">
      <c r="B284" s="10" t="str">
        <f>IF(D284="","",MAX($B$5:B283)+1)</f>
        <v/>
      </c>
      <c r="C284" s="11"/>
      <c r="D284" s="12"/>
      <c r="E284" s="12"/>
      <c r="F284" s="12"/>
      <c r="G284" s="12"/>
      <c r="H284" s="12"/>
      <c r="I284" s="10"/>
      <c r="J284" s="11"/>
      <c r="K284" s="13"/>
      <c r="L284" s="10"/>
      <c r="M284" s="11"/>
      <c r="N284" s="14" t="str">
        <f>IF(B284="","",SUMIF('Linii comandă'!$B$5:$B$1004,B284,'Linii comandă'!$K$5:$K$1004))</f>
        <v/>
      </c>
      <c r="O284" s="14" t="str">
        <f>IF(B284="","",SUMIF('Linii comandă'!$B$5:$B$1004,B284,'Linii comandă'!$L$5:$L$1004))</f>
        <v/>
      </c>
      <c r="P284" s="14" t="str">
        <f t="shared" si="8"/>
        <v/>
      </c>
      <c r="Q284" s="15" t="str">
        <f>IF(OR(B284="",COUNTIF('Linii comandă'!$B$5:$B$1004,B284)=0),"",IF(SUMIF('Linii comandă'!$B$5:$B$1004,B284,'Linii comandă'!$N$5:$N$1004)&lt;=0,"Completă",IF(SUMIF('Linii comandă'!$B$5:$B$1004,B284,'Linii comandă'!$M$5:$M$1004)&gt;0,"Parțială","Nelivrată")))</f>
        <v/>
      </c>
      <c r="R284" s="10"/>
      <c r="S284" s="15" t="str">
        <f t="shared" ca="1" si="9"/>
        <v/>
      </c>
      <c r="T284" s="16" t="str">
        <f ca="1">IF(AND(B284="",D284=""),"",IF(S284="Anulată","",TRIM(IF(COUNTIF($B$5:$B$304,B284)&gt;1,"Număr dublat. ","")&amp;IF(OR(C284="",D284="",H284="",J284="",K284=""),"Date incomplete. ","")&amp;IF(COUNTIF('Linii comandă'!$B$5:$B$1004,B284)=0,"Nicio linie de comandă. ","")&amp;IF(AND(L284&lt;&gt;"Da",C284&lt;&gt;"",TODAY()-C284&gt;ZileConf),"Neconfirmată de "&amp;(TODAY()-C284)&amp;" zile. ","")&amp;IF(S284="Întârziată","Termenul de livrare a trecut: "&amp;RIGHT("0"&amp;DAY(J284),2)&amp;"."&amp;RIGHT("0"&amp;MONTH(J284),2)&amp;"."&amp;YEAR(J284)&amp;". ","")&amp;IF(S284="Livrată – de facturat","Emite factura. ",""))))</f>
        <v/>
      </c>
    </row>
    <row r="285" spans="2:20" x14ac:dyDescent="0.2">
      <c r="B285" s="10" t="str">
        <f>IF(D285="","",MAX($B$5:B284)+1)</f>
        <v/>
      </c>
      <c r="C285" s="11"/>
      <c r="D285" s="12"/>
      <c r="E285" s="12"/>
      <c r="F285" s="12"/>
      <c r="G285" s="12"/>
      <c r="H285" s="12"/>
      <c r="I285" s="10"/>
      <c r="J285" s="11"/>
      <c r="K285" s="13"/>
      <c r="L285" s="10"/>
      <c r="M285" s="11"/>
      <c r="N285" s="14" t="str">
        <f>IF(B285="","",SUMIF('Linii comandă'!$B$5:$B$1004,B285,'Linii comandă'!$K$5:$K$1004))</f>
        <v/>
      </c>
      <c r="O285" s="14" t="str">
        <f>IF(B285="","",SUMIF('Linii comandă'!$B$5:$B$1004,B285,'Linii comandă'!$L$5:$L$1004))</f>
        <v/>
      </c>
      <c r="P285" s="14" t="str">
        <f t="shared" si="8"/>
        <v/>
      </c>
      <c r="Q285" s="15" t="str">
        <f>IF(OR(B285="",COUNTIF('Linii comandă'!$B$5:$B$1004,B285)=0),"",IF(SUMIF('Linii comandă'!$B$5:$B$1004,B285,'Linii comandă'!$N$5:$N$1004)&lt;=0,"Completă",IF(SUMIF('Linii comandă'!$B$5:$B$1004,B285,'Linii comandă'!$M$5:$M$1004)&gt;0,"Parțială","Nelivrată")))</f>
        <v/>
      </c>
      <c r="R285" s="10"/>
      <c r="S285" s="15" t="str">
        <f t="shared" ca="1" si="9"/>
        <v/>
      </c>
      <c r="T285" s="16" t="str">
        <f ca="1">IF(AND(B285="",D285=""),"",IF(S285="Anulată","",TRIM(IF(COUNTIF($B$5:$B$304,B285)&gt;1,"Număr dublat. ","")&amp;IF(OR(C285="",D285="",H285="",J285="",K285=""),"Date incomplete. ","")&amp;IF(COUNTIF('Linii comandă'!$B$5:$B$1004,B285)=0,"Nicio linie de comandă. ","")&amp;IF(AND(L285&lt;&gt;"Da",C285&lt;&gt;"",TODAY()-C285&gt;ZileConf),"Neconfirmată de "&amp;(TODAY()-C285)&amp;" zile. ","")&amp;IF(S285="Întârziată","Termenul de livrare a trecut: "&amp;RIGHT("0"&amp;DAY(J285),2)&amp;"."&amp;RIGHT("0"&amp;MONTH(J285),2)&amp;"."&amp;YEAR(J285)&amp;". ","")&amp;IF(S285="Livrată – de facturat","Emite factura. ",""))))</f>
        <v/>
      </c>
    </row>
    <row r="286" spans="2:20" x14ac:dyDescent="0.2">
      <c r="B286" s="10" t="str">
        <f>IF(D286="","",MAX($B$5:B285)+1)</f>
        <v/>
      </c>
      <c r="C286" s="11"/>
      <c r="D286" s="12"/>
      <c r="E286" s="12"/>
      <c r="F286" s="12"/>
      <c r="G286" s="12"/>
      <c r="H286" s="12"/>
      <c r="I286" s="10"/>
      <c r="J286" s="11"/>
      <c r="K286" s="13"/>
      <c r="L286" s="10"/>
      <c r="M286" s="11"/>
      <c r="N286" s="14" t="str">
        <f>IF(B286="","",SUMIF('Linii comandă'!$B$5:$B$1004,B286,'Linii comandă'!$K$5:$K$1004))</f>
        <v/>
      </c>
      <c r="O286" s="14" t="str">
        <f>IF(B286="","",SUMIF('Linii comandă'!$B$5:$B$1004,B286,'Linii comandă'!$L$5:$L$1004))</f>
        <v/>
      </c>
      <c r="P286" s="14" t="str">
        <f t="shared" si="8"/>
        <v/>
      </c>
      <c r="Q286" s="15" t="str">
        <f>IF(OR(B286="",COUNTIF('Linii comandă'!$B$5:$B$1004,B286)=0),"",IF(SUMIF('Linii comandă'!$B$5:$B$1004,B286,'Linii comandă'!$N$5:$N$1004)&lt;=0,"Completă",IF(SUMIF('Linii comandă'!$B$5:$B$1004,B286,'Linii comandă'!$M$5:$M$1004)&gt;0,"Parțială","Nelivrată")))</f>
        <v/>
      </c>
      <c r="R286" s="10"/>
      <c r="S286" s="15" t="str">
        <f t="shared" ca="1" si="9"/>
        <v/>
      </c>
      <c r="T286" s="16" t="str">
        <f ca="1">IF(AND(B286="",D286=""),"",IF(S286="Anulată","",TRIM(IF(COUNTIF($B$5:$B$304,B286)&gt;1,"Număr dublat. ","")&amp;IF(OR(C286="",D286="",H286="",J286="",K286=""),"Date incomplete. ","")&amp;IF(COUNTIF('Linii comandă'!$B$5:$B$1004,B286)=0,"Nicio linie de comandă. ","")&amp;IF(AND(L286&lt;&gt;"Da",C286&lt;&gt;"",TODAY()-C286&gt;ZileConf),"Neconfirmată de "&amp;(TODAY()-C286)&amp;" zile. ","")&amp;IF(S286="Întârziată","Termenul de livrare a trecut: "&amp;RIGHT("0"&amp;DAY(J286),2)&amp;"."&amp;RIGHT("0"&amp;MONTH(J286),2)&amp;"."&amp;YEAR(J286)&amp;". ","")&amp;IF(S286="Livrată – de facturat","Emite factura. ",""))))</f>
        <v/>
      </c>
    </row>
    <row r="287" spans="2:20" x14ac:dyDescent="0.2">
      <c r="B287" s="10" t="str">
        <f>IF(D287="","",MAX($B$5:B286)+1)</f>
        <v/>
      </c>
      <c r="C287" s="11"/>
      <c r="D287" s="12"/>
      <c r="E287" s="12"/>
      <c r="F287" s="12"/>
      <c r="G287" s="12"/>
      <c r="H287" s="12"/>
      <c r="I287" s="10"/>
      <c r="J287" s="11"/>
      <c r="K287" s="13"/>
      <c r="L287" s="10"/>
      <c r="M287" s="11"/>
      <c r="N287" s="14" t="str">
        <f>IF(B287="","",SUMIF('Linii comandă'!$B$5:$B$1004,B287,'Linii comandă'!$K$5:$K$1004))</f>
        <v/>
      </c>
      <c r="O287" s="14" t="str">
        <f>IF(B287="","",SUMIF('Linii comandă'!$B$5:$B$1004,B287,'Linii comandă'!$L$5:$L$1004))</f>
        <v/>
      </c>
      <c r="P287" s="14" t="str">
        <f t="shared" si="8"/>
        <v/>
      </c>
      <c r="Q287" s="15" t="str">
        <f>IF(OR(B287="",COUNTIF('Linii comandă'!$B$5:$B$1004,B287)=0),"",IF(SUMIF('Linii comandă'!$B$5:$B$1004,B287,'Linii comandă'!$N$5:$N$1004)&lt;=0,"Completă",IF(SUMIF('Linii comandă'!$B$5:$B$1004,B287,'Linii comandă'!$M$5:$M$1004)&gt;0,"Parțială","Nelivrată")))</f>
        <v/>
      </c>
      <c r="R287" s="10"/>
      <c r="S287" s="15" t="str">
        <f t="shared" ca="1" si="9"/>
        <v/>
      </c>
      <c r="T287" s="16" t="str">
        <f ca="1">IF(AND(B287="",D287=""),"",IF(S287="Anulată","",TRIM(IF(COUNTIF($B$5:$B$304,B287)&gt;1,"Număr dublat. ","")&amp;IF(OR(C287="",D287="",H287="",J287="",K287=""),"Date incomplete. ","")&amp;IF(COUNTIF('Linii comandă'!$B$5:$B$1004,B287)=0,"Nicio linie de comandă. ","")&amp;IF(AND(L287&lt;&gt;"Da",C287&lt;&gt;"",TODAY()-C287&gt;ZileConf),"Neconfirmată de "&amp;(TODAY()-C287)&amp;" zile. ","")&amp;IF(S287="Întârziată","Termenul de livrare a trecut: "&amp;RIGHT("0"&amp;DAY(J287),2)&amp;"."&amp;RIGHT("0"&amp;MONTH(J287),2)&amp;"."&amp;YEAR(J287)&amp;". ","")&amp;IF(S287="Livrată – de facturat","Emite factura. ",""))))</f>
        <v/>
      </c>
    </row>
    <row r="288" spans="2:20" x14ac:dyDescent="0.2">
      <c r="B288" s="10" t="str">
        <f>IF(D288="","",MAX($B$5:B287)+1)</f>
        <v/>
      </c>
      <c r="C288" s="11"/>
      <c r="D288" s="12"/>
      <c r="E288" s="12"/>
      <c r="F288" s="12"/>
      <c r="G288" s="12"/>
      <c r="H288" s="12"/>
      <c r="I288" s="10"/>
      <c r="J288" s="11"/>
      <c r="K288" s="13"/>
      <c r="L288" s="10"/>
      <c r="M288" s="11"/>
      <c r="N288" s="14" t="str">
        <f>IF(B288="","",SUMIF('Linii comandă'!$B$5:$B$1004,B288,'Linii comandă'!$K$5:$K$1004))</f>
        <v/>
      </c>
      <c r="O288" s="14" t="str">
        <f>IF(B288="","",SUMIF('Linii comandă'!$B$5:$B$1004,B288,'Linii comandă'!$L$5:$L$1004))</f>
        <v/>
      </c>
      <c r="P288" s="14" t="str">
        <f t="shared" si="8"/>
        <v/>
      </c>
      <c r="Q288" s="15" t="str">
        <f>IF(OR(B288="",COUNTIF('Linii comandă'!$B$5:$B$1004,B288)=0),"",IF(SUMIF('Linii comandă'!$B$5:$B$1004,B288,'Linii comandă'!$N$5:$N$1004)&lt;=0,"Completă",IF(SUMIF('Linii comandă'!$B$5:$B$1004,B288,'Linii comandă'!$M$5:$M$1004)&gt;0,"Parțială","Nelivrată")))</f>
        <v/>
      </c>
      <c r="R288" s="10"/>
      <c r="S288" s="15" t="str">
        <f t="shared" ca="1" si="9"/>
        <v/>
      </c>
      <c r="T288" s="16" t="str">
        <f ca="1">IF(AND(B288="",D288=""),"",IF(S288="Anulată","",TRIM(IF(COUNTIF($B$5:$B$304,B288)&gt;1,"Număr dublat. ","")&amp;IF(OR(C288="",D288="",H288="",J288="",K288=""),"Date incomplete. ","")&amp;IF(COUNTIF('Linii comandă'!$B$5:$B$1004,B288)=0,"Nicio linie de comandă. ","")&amp;IF(AND(L288&lt;&gt;"Da",C288&lt;&gt;"",TODAY()-C288&gt;ZileConf),"Neconfirmată de "&amp;(TODAY()-C288)&amp;" zile. ","")&amp;IF(S288="Întârziată","Termenul de livrare a trecut: "&amp;RIGHT("0"&amp;DAY(J288),2)&amp;"."&amp;RIGHT("0"&amp;MONTH(J288),2)&amp;"."&amp;YEAR(J288)&amp;". ","")&amp;IF(S288="Livrată – de facturat","Emite factura. ",""))))</f>
        <v/>
      </c>
    </row>
    <row r="289" spans="2:20" x14ac:dyDescent="0.2">
      <c r="B289" s="10" t="str">
        <f>IF(D289="","",MAX($B$5:B288)+1)</f>
        <v/>
      </c>
      <c r="C289" s="11"/>
      <c r="D289" s="12"/>
      <c r="E289" s="12"/>
      <c r="F289" s="12"/>
      <c r="G289" s="12"/>
      <c r="H289" s="12"/>
      <c r="I289" s="10"/>
      <c r="J289" s="11"/>
      <c r="K289" s="13"/>
      <c r="L289" s="10"/>
      <c r="M289" s="11"/>
      <c r="N289" s="14" t="str">
        <f>IF(B289="","",SUMIF('Linii comandă'!$B$5:$B$1004,B289,'Linii comandă'!$K$5:$K$1004))</f>
        <v/>
      </c>
      <c r="O289" s="14" t="str">
        <f>IF(B289="","",SUMIF('Linii comandă'!$B$5:$B$1004,B289,'Linii comandă'!$L$5:$L$1004))</f>
        <v/>
      </c>
      <c r="P289" s="14" t="str">
        <f t="shared" si="8"/>
        <v/>
      </c>
      <c r="Q289" s="15" t="str">
        <f>IF(OR(B289="",COUNTIF('Linii comandă'!$B$5:$B$1004,B289)=0),"",IF(SUMIF('Linii comandă'!$B$5:$B$1004,B289,'Linii comandă'!$N$5:$N$1004)&lt;=0,"Completă",IF(SUMIF('Linii comandă'!$B$5:$B$1004,B289,'Linii comandă'!$M$5:$M$1004)&gt;0,"Parțială","Nelivrată")))</f>
        <v/>
      </c>
      <c r="R289" s="10"/>
      <c r="S289" s="15" t="str">
        <f t="shared" ca="1" si="9"/>
        <v/>
      </c>
      <c r="T289" s="16" t="str">
        <f ca="1">IF(AND(B289="",D289=""),"",IF(S289="Anulată","",TRIM(IF(COUNTIF($B$5:$B$304,B289)&gt;1,"Număr dublat. ","")&amp;IF(OR(C289="",D289="",H289="",J289="",K289=""),"Date incomplete. ","")&amp;IF(COUNTIF('Linii comandă'!$B$5:$B$1004,B289)=0,"Nicio linie de comandă. ","")&amp;IF(AND(L289&lt;&gt;"Da",C289&lt;&gt;"",TODAY()-C289&gt;ZileConf),"Neconfirmată de "&amp;(TODAY()-C289)&amp;" zile. ","")&amp;IF(S289="Întârziată","Termenul de livrare a trecut: "&amp;RIGHT("0"&amp;DAY(J289),2)&amp;"."&amp;RIGHT("0"&amp;MONTH(J289),2)&amp;"."&amp;YEAR(J289)&amp;". ","")&amp;IF(S289="Livrată – de facturat","Emite factura. ",""))))</f>
        <v/>
      </c>
    </row>
    <row r="290" spans="2:20" x14ac:dyDescent="0.2">
      <c r="B290" s="10" t="str">
        <f>IF(D290="","",MAX($B$5:B289)+1)</f>
        <v/>
      </c>
      <c r="C290" s="11"/>
      <c r="D290" s="12"/>
      <c r="E290" s="12"/>
      <c r="F290" s="12"/>
      <c r="G290" s="12"/>
      <c r="H290" s="12"/>
      <c r="I290" s="10"/>
      <c r="J290" s="11"/>
      <c r="K290" s="13"/>
      <c r="L290" s="10"/>
      <c r="M290" s="11"/>
      <c r="N290" s="14" t="str">
        <f>IF(B290="","",SUMIF('Linii comandă'!$B$5:$B$1004,B290,'Linii comandă'!$K$5:$K$1004))</f>
        <v/>
      </c>
      <c r="O290" s="14" t="str">
        <f>IF(B290="","",SUMIF('Linii comandă'!$B$5:$B$1004,B290,'Linii comandă'!$L$5:$L$1004))</f>
        <v/>
      </c>
      <c r="P290" s="14" t="str">
        <f t="shared" si="8"/>
        <v/>
      </c>
      <c r="Q290" s="15" t="str">
        <f>IF(OR(B290="",COUNTIF('Linii comandă'!$B$5:$B$1004,B290)=0),"",IF(SUMIF('Linii comandă'!$B$5:$B$1004,B290,'Linii comandă'!$N$5:$N$1004)&lt;=0,"Completă",IF(SUMIF('Linii comandă'!$B$5:$B$1004,B290,'Linii comandă'!$M$5:$M$1004)&gt;0,"Parțială","Nelivrată")))</f>
        <v/>
      </c>
      <c r="R290" s="10"/>
      <c r="S290" s="15" t="str">
        <f t="shared" ca="1" si="9"/>
        <v/>
      </c>
      <c r="T290" s="16" t="str">
        <f ca="1">IF(AND(B290="",D290=""),"",IF(S290="Anulată","",TRIM(IF(COUNTIF($B$5:$B$304,B290)&gt;1,"Număr dublat. ","")&amp;IF(OR(C290="",D290="",H290="",J290="",K290=""),"Date incomplete. ","")&amp;IF(COUNTIF('Linii comandă'!$B$5:$B$1004,B290)=0,"Nicio linie de comandă. ","")&amp;IF(AND(L290&lt;&gt;"Da",C290&lt;&gt;"",TODAY()-C290&gt;ZileConf),"Neconfirmată de "&amp;(TODAY()-C290)&amp;" zile. ","")&amp;IF(S290="Întârziată","Termenul de livrare a trecut: "&amp;RIGHT("0"&amp;DAY(J290),2)&amp;"."&amp;RIGHT("0"&amp;MONTH(J290),2)&amp;"."&amp;YEAR(J290)&amp;". ","")&amp;IF(S290="Livrată – de facturat","Emite factura. ",""))))</f>
        <v/>
      </c>
    </row>
    <row r="291" spans="2:20" x14ac:dyDescent="0.2">
      <c r="B291" s="10" t="str">
        <f>IF(D291="","",MAX($B$5:B290)+1)</f>
        <v/>
      </c>
      <c r="C291" s="11"/>
      <c r="D291" s="12"/>
      <c r="E291" s="12"/>
      <c r="F291" s="12"/>
      <c r="G291" s="12"/>
      <c r="H291" s="12"/>
      <c r="I291" s="10"/>
      <c r="J291" s="11"/>
      <c r="K291" s="13"/>
      <c r="L291" s="10"/>
      <c r="M291" s="11"/>
      <c r="N291" s="14" t="str">
        <f>IF(B291="","",SUMIF('Linii comandă'!$B$5:$B$1004,B291,'Linii comandă'!$K$5:$K$1004))</f>
        <v/>
      </c>
      <c r="O291" s="14" t="str">
        <f>IF(B291="","",SUMIF('Linii comandă'!$B$5:$B$1004,B291,'Linii comandă'!$L$5:$L$1004))</f>
        <v/>
      </c>
      <c r="P291" s="14" t="str">
        <f t="shared" si="8"/>
        <v/>
      </c>
      <c r="Q291" s="15" t="str">
        <f>IF(OR(B291="",COUNTIF('Linii comandă'!$B$5:$B$1004,B291)=0),"",IF(SUMIF('Linii comandă'!$B$5:$B$1004,B291,'Linii comandă'!$N$5:$N$1004)&lt;=0,"Completă",IF(SUMIF('Linii comandă'!$B$5:$B$1004,B291,'Linii comandă'!$M$5:$M$1004)&gt;0,"Parțială","Nelivrată")))</f>
        <v/>
      </c>
      <c r="R291" s="10"/>
      <c r="S291" s="15" t="str">
        <f t="shared" ca="1" si="9"/>
        <v/>
      </c>
      <c r="T291" s="16" t="str">
        <f ca="1">IF(AND(B291="",D291=""),"",IF(S291="Anulată","",TRIM(IF(COUNTIF($B$5:$B$304,B291)&gt;1,"Număr dublat. ","")&amp;IF(OR(C291="",D291="",H291="",J291="",K291=""),"Date incomplete. ","")&amp;IF(COUNTIF('Linii comandă'!$B$5:$B$1004,B291)=0,"Nicio linie de comandă. ","")&amp;IF(AND(L291&lt;&gt;"Da",C291&lt;&gt;"",TODAY()-C291&gt;ZileConf),"Neconfirmată de "&amp;(TODAY()-C291)&amp;" zile. ","")&amp;IF(S291="Întârziată","Termenul de livrare a trecut: "&amp;RIGHT("0"&amp;DAY(J291),2)&amp;"."&amp;RIGHT("0"&amp;MONTH(J291),2)&amp;"."&amp;YEAR(J291)&amp;". ","")&amp;IF(S291="Livrată – de facturat","Emite factura. ",""))))</f>
        <v/>
      </c>
    </row>
    <row r="292" spans="2:20" x14ac:dyDescent="0.2">
      <c r="B292" s="10" t="str">
        <f>IF(D292="","",MAX($B$5:B291)+1)</f>
        <v/>
      </c>
      <c r="C292" s="11"/>
      <c r="D292" s="12"/>
      <c r="E292" s="12"/>
      <c r="F292" s="12"/>
      <c r="G292" s="12"/>
      <c r="H292" s="12"/>
      <c r="I292" s="10"/>
      <c r="J292" s="11"/>
      <c r="K292" s="13"/>
      <c r="L292" s="10"/>
      <c r="M292" s="11"/>
      <c r="N292" s="14" t="str">
        <f>IF(B292="","",SUMIF('Linii comandă'!$B$5:$B$1004,B292,'Linii comandă'!$K$5:$K$1004))</f>
        <v/>
      </c>
      <c r="O292" s="14" t="str">
        <f>IF(B292="","",SUMIF('Linii comandă'!$B$5:$B$1004,B292,'Linii comandă'!$L$5:$L$1004))</f>
        <v/>
      </c>
      <c r="P292" s="14" t="str">
        <f t="shared" si="8"/>
        <v/>
      </c>
      <c r="Q292" s="15" t="str">
        <f>IF(OR(B292="",COUNTIF('Linii comandă'!$B$5:$B$1004,B292)=0),"",IF(SUMIF('Linii comandă'!$B$5:$B$1004,B292,'Linii comandă'!$N$5:$N$1004)&lt;=0,"Completă",IF(SUMIF('Linii comandă'!$B$5:$B$1004,B292,'Linii comandă'!$M$5:$M$1004)&gt;0,"Parțială","Nelivrată")))</f>
        <v/>
      </c>
      <c r="R292" s="10"/>
      <c r="S292" s="15" t="str">
        <f t="shared" ca="1" si="9"/>
        <v/>
      </c>
      <c r="T292" s="16" t="str">
        <f ca="1">IF(AND(B292="",D292=""),"",IF(S292="Anulată","",TRIM(IF(COUNTIF($B$5:$B$304,B292)&gt;1,"Număr dublat. ","")&amp;IF(OR(C292="",D292="",H292="",J292="",K292=""),"Date incomplete. ","")&amp;IF(COUNTIF('Linii comandă'!$B$5:$B$1004,B292)=0,"Nicio linie de comandă. ","")&amp;IF(AND(L292&lt;&gt;"Da",C292&lt;&gt;"",TODAY()-C292&gt;ZileConf),"Neconfirmată de "&amp;(TODAY()-C292)&amp;" zile. ","")&amp;IF(S292="Întârziată","Termenul de livrare a trecut: "&amp;RIGHT("0"&amp;DAY(J292),2)&amp;"."&amp;RIGHT("0"&amp;MONTH(J292),2)&amp;"."&amp;YEAR(J292)&amp;". ","")&amp;IF(S292="Livrată – de facturat","Emite factura. ",""))))</f>
        <v/>
      </c>
    </row>
    <row r="293" spans="2:20" x14ac:dyDescent="0.2">
      <c r="B293" s="10" t="str">
        <f>IF(D293="","",MAX($B$5:B292)+1)</f>
        <v/>
      </c>
      <c r="C293" s="11"/>
      <c r="D293" s="12"/>
      <c r="E293" s="12"/>
      <c r="F293" s="12"/>
      <c r="G293" s="12"/>
      <c r="H293" s="12"/>
      <c r="I293" s="10"/>
      <c r="J293" s="11"/>
      <c r="K293" s="13"/>
      <c r="L293" s="10"/>
      <c r="M293" s="11"/>
      <c r="N293" s="14" t="str">
        <f>IF(B293="","",SUMIF('Linii comandă'!$B$5:$B$1004,B293,'Linii comandă'!$K$5:$K$1004))</f>
        <v/>
      </c>
      <c r="O293" s="14" t="str">
        <f>IF(B293="","",SUMIF('Linii comandă'!$B$5:$B$1004,B293,'Linii comandă'!$L$5:$L$1004))</f>
        <v/>
      </c>
      <c r="P293" s="14" t="str">
        <f t="shared" si="8"/>
        <v/>
      </c>
      <c r="Q293" s="15" t="str">
        <f>IF(OR(B293="",COUNTIF('Linii comandă'!$B$5:$B$1004,B293)=0),"",IF(SUMIF('Linii comandă'!$B$5:$B$1004,B293,'Linii comandă'!$N$5:$N$1004)&lt;=0,"Completă",IF(SUMIF('Linii comandă'!$B$5:$B$1004,B293,'Linii comandă'!$M$5:$M$1004)&gt;0,"Parțială","Nelivrată")))</f>
        <v/>
      </c>
      <c r="R293" s="10"/>
      <c r="S293" s="15" t="str">
        <f t="shared" ca="1" si="9"/>
        <v/>
      </c>
      <c r="T293" s="16" t="str">
        <f ca="1">IF(AND(B293="",D293=""),"",IF(S293="Anulată","",TRIM(IF(COUNTIF($B$5:$B$304,B293)&gt;1,"Număr dublat. ","")&amp;IF(OR(C293="",D293="",H293="",J293="",K293=""),"Date incomplete. ","")&amp;IF(COUNTIF('Linii comandă'!$B$5:$B$1004,B293)=0,"Nicio linie de comandă. ","")&amp;IF(AND(L293&lt;&gt;"Da",C293&lt;&gt;"",TODAY()-C293&gt;ZileConf),"Neconfirmată de "&amp;(TODAY()-C293)&amp;" zile. ","")&amp;IF(S293="Întârziată","Termenul de livrare a trecut: "&amp;RIGHT("0"&amp;DAY(J293),2)&amp;"."&amp;RIGHT("0"&amp;MONTH(J293),2)&amp;"."&amp;YEAR(J293)&amp;". ","")&amp;IF(S293="Livrată – de facturat","Emite factura. ",""))))</f>
        <v/>
      </c>
    </row>
    <row r="294" spans="2:20" x14ac:dyDescent="0.2">
      <c r="B294" s="10" t="str">
        <f>IF(D294="","",MAX($B$5:B293)+1)</f>
        <v/>
      </c>
      <c r="C294" s="11"/>
      <c r="D294" s="12"/>
      <c r="E294" s="12"/>
      <c r="F294" s="12"/>
      <c r="G294" s="12"/>
      <c r="H294" s="12"/>
      <c r="I294" s="10"/>
      <c r="J294" s="11"/>
      <c r="K294" s="13"/>
      <c r="L294" s="10"/>
      <c r="M294" s="11"/>
      <c r="N294" s="14" t="str">
        <f>IF(B294="","",SUMIF('Linii comandă'!$B$5:$B$1004,B294,'Linii comandă'!$K$5:$K$1004))</f>
        <v/>
      </c>
      <c r="O294" s="14" t="str">
        <f>IF(B294="","",SUMIF('Linii comandă'!$B$5:$B$1004,B294,'Linii comandă'!$L$5:$L$1004))</f>
        <v/>
      </c>
      <c r="P294" s="14" t="str">
        <f t="shared" si="8"/>
        <v/>
      </c>
      <c r="Q294" s="15" t="str">
        <f>IF(OR(B294="",COUNTIF('Linii comandă'!$B$5:$B$1004,B294)=0),"",IF(SUMIF('Linii comandă'!$B$5:$B$1004,B294,'Linii comandă'!$N$5:$N$1004)&lt;=0,"Completă",IF(SUMIF('Linii comandă'!$B$5:$B$1004,B294,'Linii comandă'!$M$5:$M$1004)&gt;0,"Parțială","Nelivrată")))</f>
        <v/>
      </c>
      <c r="R294" s="10"/>
      <c r="S294" s="15" t="str">
        <f t="shared" ca="1" si="9"/>
        <v/>
      </c>
      <c r="T294" s="16" t="str">
        <f ca="1">IF(AND(B294="",D294=""),"",IF(S294="Anulată","",TRIM(IF(COUNTIF($B$5:$B$304,B294)&gt;1,"Număr dublat. ","")&amp;IF(OR(C294="",D294="",H294="",J294="",K294=""),"Date incomplete. ","")&amp;IF(COUNTIF('Linii comandă'!$B$5:$B$1004,B294)=0,"Nicio linie de comandă. ","")&amp;IF(AND(L294&lt;&gt;"Da",C294&lt;&gt;"",TODAY()-C294&gt;ZileConf),"Neconfirmată de "&amp;(TODAY()-C294)&amp;" zile. ","")&amp;IF(S294="Întârziată","Termenul de livrare a trecut: "&amp;RIGHT("0"&amp;DAY(J294),2)&amp;"."&amp;RIGHT("0"&amp;MONTH(J294),2)&amp;"."&amp;YEAR(J294)&amp;". ","")&amp;IF(S294="Livrată – de facturat","Emite factura. ",""))))</f>
        <v/>
      </c>
    </row>
    <row r="295" spans="2:20" x14ac:dyDescent="0.2">
      <c r="B295" s="10" t="str">
        <f>IF(D295="","",MAX($B$5:B294)+1)</f>
        <v/>
      </c>
      <c r="C295" s="11"/>
      <c r="D295" s="12"/>
      <c r="E295" s="12"/>
      <c r="F295" s="12"/>
      <c r="G295" s="12"/>
      <c r="H295" s="12"/>
      <c r="I295" s="10"/>
      <c r="J295" s="11"/>
      <c r="K295" s="13"/>
      <c r="L295" s="10"/>
      <c r="M295" s="11"/>
      <c r="N295" s="14" t="str">
        <f>IF(B295="","",SUMIF('Linii comandă'!$B$5:$B$1004,B295,'Linii comandă'!$K$5:$K$1004))</f>
        <v/>
      </c>
      <c r="O295" s="14" t="str">
        <f>IF(B295="","",SUMIF('Linii comandă'!$B$5:$B$1004,B295,'Linii comandă'!$L$5:$L$1004))</f>
        <v/>
      </c>
      <c r="P295" s="14" t="str">
        <f t="shared" si="8"/>
        <v/>
      </c>
      <c r="Q295" s="15" t="str">
        <f>IF(OR(B295="",COUNTIF('Linii comandă'!$B$5:$B$1004,B295)=0),"",IF(SUMIF('Linii comandă'!$B$5:$B$1004,B295,'Linii comandă'!$N$5:$N$1004)&lt;=0,"Completă",IF(SUMIF('Linii comandă'!$B$5:$B$1004,B295,'Linii comandă'!$M$5:$M$1004)&gt;0,"Parțială","Nelivrată")))</f>
        <v/>
      </c>
      <c r="R295" s="10"/>
      <c r="S295" s="15" t="str">
        <f t="shared" ca="1" si="9"/>
        <v/>
      </c>
      <c r="T295" s="16" t="str">
        <f ca="1">IF(AND(B295="",D295=""),"",IF(S295="Anulată","",TRIM(IF(COUNTIF($B$5:$B$304,B295)&gt;1,"Număr dublat. ","")&amp;IF(OR(C295="",D295="",H295="",J295="",K295=""),"Date incomplete. ","")&amp;IF(COUNTIF('Linii comandă'!$B$5:$B$1004,B295)=0,"Nicio linie de comandă. ","")&amp;IF(AND(L295&lt;&gt;"Da",C295&lt;&gt;"",TODAY()-C295&gt;ZileConf),"Neconfirmată de "&amp;(TODAY()-C295)&amp;" zile. ","")&amp;IF(S295="Întârziată","Termenul de livrare a trecut: "&amp;RIGHT("0"&amp;DAY(J295),2)&amp;"."&amp;RIGHT("0"&amp;MONTH(J295),2)&amp;"."&amp;YEAR(J295)&amp;". ","")&amp;IF(S295="Livrată – de facturat","Emite factura. ",""))))</f>
        <v/>
      </c>
    </row>
    <row r="296" spans="2:20" x14ac:dyDescent="0.2">
      <c r="B296" s="10" t="str">
        <f>IF(D296="","",MAX($B$5:B295)+1)</f>
        <v/>
      </c>
      <c r="C296" s="11"/>
      <c r="D296" s="12"/>
      <c r="E296" s="12"/>
      <c r="F296" s="12"/>
      <c r="G296" s="12"/>
      <c r="H296" s="12"/>
      <c r="I296" s="10"/>
      <c r="J296" s="11"/>
      <c r="K296" s="13"/>
      <c r="L296" s="10"/>
      <c r="M296" s="11"/>
      <c r="N296" s="14" t="str">
        <f>IF(B296="","",SUMIF('Linii comandă'!$B$5:$B$1004,B296,'Linii comandă'!$K$5:$K$1004))</f>
        <v/>
      </c>
      <c r="O296" s="14" t="str">
        <f>IF(B296="","",SUMIF('Linii comandă'!$B$5:$B$1004,B296,'Linii comandă'!$L$5:$L$1004))</f>
        <v/>
      </c>
      <c r="P296" s="14" t="str">
        <f t="shared" si="8"/>
        <v/>
      </c>
      <c r="Q296" s="15" t="str">
        <f>IF(OR(B296="",COUNTIF('Linii comandă'!$B$5:$B$1004,B296)=0),"",IF(SUMIF('Linii comandă'!$B$5:$B$1004,B296,'Linii comandă'!$N$5:$N$1004)&lt;=0,"Completă",IF(SUMIF('Linii comandă'!$B$5:$B$1004,B296,'Linii comandă'!$M$5:$M$1004)&gt;0,"Parțială","Nelivrată")))</f>
        <v/>
      </c>
      <c r="R296" s="10"/>
      <c r="S296" s="15" t="str">
        <f t="shared" ca="1" si="9"/>
        <v/>
      </c>
      <c r="T296" s="16" t="str">
        <f ca="1">IF(AND(B296="",D296=""),"",IF(S296="Anulată","",TRIM(IF(COUNTIF($B$5:$B$304,B296)&gt;1,"Număr dublat. ","")&amp;IF(OR(C296="",D296="",H296="",J296="",K296=""),"Date incomplete. ","")&amp;IF(COUNTIF('Linii comandă'!$B$5:$B$1004,B296)=0,"Nicio linie de comandă. ","")&amp;IF(AND(L296&lt;&gt;"Da",C296&lt;&gt;"",TODAY()-C296&gt;ZileConf),"Neconfirmată de "&amp;(TODAY()-C296)&amp;" zile. ","")&amp;IF(S296="Întârziată","Termenul de livrare a trecut: "&amp;RIGHT("0"&amp;DAY(J296),2)&amp;"."&amp;RIGHT("0"&amp;MONTH(J296),2)&amp;"."&amp;YEAR(J296)&amp;". ","")&amp;IF(S296="Livrată – de facturat","Emite factura. ",""))))</f>
        <v/>
      </c>
    </row>
    <row r="297" spans="2:20" x14ac:dyDescent="0.2">
      <c r="B297" s="10" t="str">
        <f>IF(D297="","",MAX($B$5:B296)+1)</f>
        <v/>
      </c>
      <c r="C297" s="11"/>
      <c r="D297" s="12"/>
      <c r="E297" s="12"/>
      <c r="F297" s="12"/>
      <c r="G297" s="12"/>
      <c r="H297" s="12"/>
      <c r="I297" s="10"/>
      <c r="J297" s="11"/>
      <c r="K297" s="13"/>
      <c r="L297" s="10"/>
      <c r="M297" s="11"/>
      <c r="N297" s="14" t="str">
        <f>IF(B297="","",SUMIF('Linii comandă'!$B$5:$B$1004,B297,'Linii comandă'!$K$5:$K$1004))</f>
        <v/>
      </c>
      <c r="O297" s="14" t="str">
        <f>IF(B297="","",SUMIF('Linii comandă'!$B$5:$B$1004,B297,'Linii comandă'!$L$5:$L$1004))</f>
        <v/>
      </c>
      <c r="P297" s="14" t="str">
        <f t="shared" si="8"/>
        <v/>
      </c>
      <c r="Q297" s="15" t="str">
        <f>IF(OR(B297="",COUNTIF('Linii comandă'!$B$5:$B$1004,B297)=0),"",IF(SUMIF('Linii comandă'!$B$5:$B$1004,B297,'Linii comandă'!$N$5:$N$1004)&lt;=0,"Completă",IF(SUMIF('Linii comandă'!$B$5:$B$1004,B297,'Linii comandă'!$M$5:$M$1004)&gt;0,"Parțială","Nelivrată")))</f>
        <v/>
      </c>
      <c r="R297" s="10"/>
      <c r="S297" s="15" t="str">
        <f t="shared" ca="1" si="9"/>
        <v/>
      </c>
      <c r="T297" s="16" t="str">
        <f ca="1">IF(AND(B297="",D297=""),"",IF(S297="Anulată","",TRIM(IF(COUNTIF($B$5:$B$304,B297)&gt;1,"Număr dublat. ","")&amp;IF(OR(C297="",D297="",H297="",J297="",K297=""),"Date incomplete. ","")&amp;IF(COUNTIF('Linii comandă'!$B$5:$B$1004,B297)=0,"Nicio linie de comandă. ","")&amp;IF(AND(L297&lt;&gt;"Da",C297&lt;&gt;"",TODAY()-C297&gt;ZileConf),"Neconfirmată de "&amp;(TODAY()-C297)&amp;" zile. ","")&amp;IF(S297="Întârziată","Termenul de livrare a trecut: "&amp;RIGHT("0"&amp;DAY(J297),2)&amp;"."&amp;RIGHT("0"&amp;MONTH(J297),2)&amp;"."&amp;YEAR(J297)&amp;". ","")&amp;IF(S297="Livrată – de facturat","Emite factura. ",""))))</f>
        <v/>
      </c>
    </row>
    <row r="298" spans="2:20" x14ac:dyDescent="0.2">
      <c r="B298" s="10" t="str">
        <f>IF(D298="","",MAX($B$5:B297)+1)</f>
        <v/>
      </c>
      <c r="C298" s="11"/>
      <c r="D298" s="12"/>
      <c r="E298" s="12"/>
      <c r="F298" s="12"/>
      <c r="G298" s="12"/>
      <c r="H298" s="12"/>
      <c r="I298" s="10"/>
      <c r="J298" s="11"/>
      <c r="K298" s="13"/>
      <c r="L298" s="10"/>
      <c r="M298" s="11"/>
      <c r="N298" s="14" t="str">
        <f>IF(B298="","",SUMIF('Linii comandă'!$B$5:$B$1004,B298,'Linii comandă'!$K$5:$K$1004))</f>
        <v/>
      </c>
      <c r="O298" s="14" t="str">
        <f>IF(B298="","",SUMIF('Linii comandă'!$B$5:$B$1004,B298,'Linii comandă'!$L$5:$L$1004))</f>
        <v/>
      </c>
      <c r="P298" s="14" t="str">
        <f t="shared" si="8"/>
        <v/>
      </c>
      <c r="Q298" s="15" t="str">
        <f>IF(OR(B298="",COUNTIF('Linii comandă'!$B$5:$B$1004,B298)=0),"",IF(SUMIF('Linii comandă'!$B$5:$B$1004,B298,'Linii comandă'!$N$5:$N$1004)&lt;=0,"Completă",IF(SUMIF('Linii comandă'!$B$5:$B$1004,B298,'Linii comandă'!$M$5:$M$1004)&gt;0,"Parțială","Nelivrată")))</f>
        <v/>
      </c>
      <c r="R298" s="10"/>
      <c r="S298" s="15" t="str">
        <f t="shared" ca="1" si="9"/>
        <v/>
      </c>
      <c r="T298" s="16" t="str">
        <f ca="1">IF(AND(B298="",D298=""),"",IF(S298="Anulată","",TRIM(IF(COUNTIF($B$5:$B$304,B298)&gt;1,"Număr dublat. ","")&amp;IF(OR(C298="",D298="",H298="",J298="",K298=""),"Date incomplete. ","")&amp;IF(COUNTIF('Linii comandă'!$B$5:$B$1004,B298)=0,"Nicio linie de comandă. ","")&amp;IF(AND(L298&lt;&gt;"Da",C298&lt;&gt;"",TODAY()-C298&gt;ZileConf),"Neconfirmată de "&amp;(TODAY()-C298)&amp;" zile. ","")&amp;IF(S298="Întârziată","Termenul de livrare a trecut: "&amp;RIGHT("0"&amp;DAY(J298),2)&amp;"."&amp;RIGHT("0"&amp;MONTH(J298),2)&amp;"."&amp;YEAR(J298)&amp;". ","")&amp;IF(S298="Livrată – de facturat","Emite factura. ",""))))</f>
        <v/>
      </c>
    </row>
    <row r="299" spans="2:20" x14ac:dyDescent="0.2">
      <c r="B299" s="10" t="str">
        <f>IF(D299="","",MAX($B$5:B298)+1)</f>
        <v/>
      </c>
      <c r="C299" s="11"/>
      <c r="D299" s="12"/>
      <c r="E299" s="12"/>
      <c r="F299" s="12"/>
      <c r="G299" s="12"/>
      <c r="H299" s="12"/>
      <c r="I299" s="10"/>
      <c r="J299" s="11"/>
      <c r="K299" s="13"/>
      <c r="L299" s="10"/>
      <c r="M299" s="11"/>
      <c r="N299" s="14" t="str">
        <f>IF(B299="","",SUMIF('Linii comandă'!$B$5:$B$1004,B299,'Linii comandă'!$K$5:$K$1004))</f>
        <v/>
      </c>
      <c r="O299" s="14" t="str">
        <f>IF(B299="","",SUMIF('Linii comandă'!$B$5:$B$1004,B299,'Linii comandă'!$L$5:$L$1004))</f>
        <v/>
      </c>
      <c r="P299" s="14" t="str">
        <f t="shared" si="8"/>
        <v/>
      </c>
      <c r="Q299" s="15" t="str">
        <f>IF(OR(B299="",COUNTIF('Linii comandă'!$B$5:$B$1004,B299)=0),"",IF(SUMIF('Linii comandă'!$B$5:$B$1004,B299,'Linii comandă'!$N$5:$N$1004)&lt;=0,"Completă",IF(SUMIF('Linii comandă'!$B$5:$B$1004,B299,'Linii comandă'!$M$5:$M$1004)&gt;0,"Parțială","Nelivrată")))</f>
        <v/>
      </c>
      <c r="R299" s="10"/>
      <c r="S299" s="15" t="str">
        <f t="shared" ca="1" si="9"/>
        <v/>
      </c>
      <c r="T299" s="16" t="str">
        <f ca="1">IF(AND(B299="",D299=""),"",IF(S299="Anulată","",TRIM(IF(COUNTIF($B$5:$B$304,B299)&gt;1,"Număr dublat. ","")&amp;IF(OR(C299="",D299="",H299="",J299="",K299=""),"Date incomplete. ","")&amp;IF(COUNTIF('Linii comandă'!$B$5:$B$1004,B299)=0,"Nicio linie de comandă. ","")&amp;IF(AND(L299&lt;&gt;"Da",C299&lt;&gt;"",TODAY()-C299&gt;ZileConf),"Neconfirmată de "&amp;(TODAY()-C299)&amp;" zile. ","")&amp;IF(S299="Întârziată","Termenul de livrare a trecut: "&amp;RIGHT("0"&amp;DAY(J299),2)&amp;"."&amp;RIGHT("0"&amp;MONTH(J299),2)&amp;"."&amp;YEAR(J299)&amp;". ","")&amp;IF(S299="Livrată – de facturat","Emite factura. ",""))))</f>
        <v/>
      </c>
    </row>
    <row r="300" spans="2:20" x14ac:dyDescent="0.2">
      <c r="B300" s="10" t="str">
        <f>IF(D300="","",MAX($B$5:B299)+1)</f>
        <v/>
      </c>
      <c r="C300" s="11"/>
      <c r="D300" s="12"/>
      <c r="E300" s="12"/>
      <c r="F300" s="12"/>
      <c r="G300" s="12"/>
      <c r="H300" s="12"/>
      <c r="I300" s="10"/>
      <c r="J300" s="11"/>
      <c r="K300" s="13"/>
      <c r="L300" s="10"/>
      <c r="M300" s="11"/>
      <c r="N300" s="14" t="str">
        <f>IF(B300="","",SUMIF('Linii comandă'!$B$5:$B$1004,B300,'Linii comandă'!$K$5:$K$1004))</f>
        <v/>
      </c>
      <c r="O300" s="14" t="str">
        <f>IF(B300="","",SUMIF('Linii comandă'!$B$5:$B$1004,B300,'Linii comandă'!$L$5:$L$1004))</f>
        <v/>
      </c>
      <c r="P300" s="14" t="str">
        <f t="shared" si="8"/>
        <v/>
      </c>
      <c r="Q300" s="15" t="str">
        <f>IF(OR(B300="",COUNTIF('Linii comandă'!$B$5:$B$1004,B300)=0),"",IF(SUMIF('Linii comandă'!$B$5:$B$1004,B300,'Linii comandă'!$N$5:$N$1004)&lt;=0,"Completă",IF(SUMIF('Linii comandă'!$B$5:$B$1004,B300,'Linii comandă'!$M$5:$M$1004)&gt;0,"Parțială","Nelivrată")))</f>
        <v/>
      </c>
      <c r="R300" s="10"/>
      <c r="S300" s="15" t="str">
        <f t="shared" ca="1" si="9"/>
        <v/>
      </c>
      <c r="T300" s="16" t="str">
        <f ca="1">IF(AND(B300="",D300=""),"",IF(S300="Anulată","",TRIM(IF(COUNTIF($B$5:$B$304,B300)&gt;1,"Număr dublat. ","")&amp;IF(OR(C300="",D300="",H300="",J300="",K300=""),"Date incomplete. ","")&amp;IF(COUNTIF('Linii comandă'!$B$5:$B$1004,B300)=0,"Nicio linie de comandă. ","")&amp;IF(AND(L300&lt;&gt;"Da",C300&lt;&gt;"",TODAY()-C300&gt;ZileConf),"Neconfirmată de "&amp;(TODAY()-C300)&amp;" zile. ","")&amp;IF(S300="Întârziată","Termenul de livrare a trecut: "&amp;RIGHT("0"&amp;DAY(J300),2)&amp;"."&amp;RIGHT("0"&amp;MONTH(J300),2)&amp;"."&amp;YEAR(J300)&amp;". ","")&amp;IF(S300="Livrată – de facturat","Emite factura. ",""))))</f>
        <v/>
      </c>
    </row>
    <row r="301" spans="2:20" x14ac:dyDescent="0.2">
      <c r="B301" s="10" t="str">
        <f>IF(D301="","",MAX($B$5:B300)+1)</f>
        <v/>
      </c>
      <c r="C301" s="11"/>
      <c r="D301" s="12"/>
      <c r="E301" s="12"/>
      <c r="F301" s="12"/>
      <c r="G301" s="12"/>
      <c r="H301" s="12"/>
      <c r="I301" s="10"/>
      <c r="J301" s="11"/>
      <c r="K301" s="13"/>
      <c r="L301" s="10"/>
      <c r="M301" s="11"/>
      <c r="N301" s="14" t="str">
        <f>IF(B301="","",SUMIF('Linii comandă'!$B$5:$B$1004,B301,'Linii comandă'!$K$5:$K$1004))</f>
        <v/>
      </c>
      <c r="O301" s="14" t="str">
        <f>IF(B301="","",SUMIF('Linii comandă'!$B$5:$B$1004,B301,'Linii comandă'!$L$5:$L$1004))</f>
        <v/>
      </c>
      <c r="P301" s="14" t="str">
        <f t="shared" si="8"/>
        <v/>
      </c>
      <c r="Q301" s="15" t="str">
        <f>IF(OR(B301="",COUNTIF('Linii comandă'!$B$5:$B$1004,B301)=0),"",IF(SUMIF('Linii comandă'!$B$5:$B$1004,B301,'Linii comandă'!$N$5:$N$1004)&lt;=0,"Completă",IF(SUMIF('Linii comandă'!$B$5:$B$1004,B301,'Linii comandă'!$M$5:$M$1004)&gt;0,"Parțială","Nelivrată")))</f>
        <v/>
      </c>
      <c r="R301" s="10"/>
      <c r="S301" s="15" t="str">
        <f t="shared" ca="1" si="9"/>
        <v/>
      </c>
      <c r="T301" s="16" t="str">
        <f ca="1">IF(AND(B301="",D301=""),"",IF(S301="Anulată","",TRIM(IF(COUNTIF($B$5:$B$304,B301)&gt;1,"Număr dublat. ","")&amp;IF(OR(C301="",D301="",H301="",J301="",K301=""),"Date incomplete. ","")&amp;IF(COUNTIF('Linii comandă'!$B$5:$B$1004,B301)=0,"Nicio linie de comandă. ","")&amp;IF(AND(L301&lt;&gt;"Da",C301&lt;&gt;"",TODAY()-C301&gt;ZileConf),"Neconfirmată de "&amp;(TODAY()-C301)&amp;" zile. ","")&amp;IF(S301="Întârziată","Termenul de livrare a trecut: "&amp;RIGHT("0"&amp;DAY(J301),2)&amp;"."&amp;RIGHT("0"&amp;MONTH(J301),2)&amp;"."&amp;YEAR(J301)&amp;". ","")&amp;IF(S301="Livrată – de facturat","Emite factura. ",""))))</f>
        <v/>
      </c>
    </row>
    <row r="302" spans="2:20" x14ac:dyDescent="0.2">
      <c r="B302" s="10" t="str">
        <f>IF(D302="","",MAX($B$5:B301)+1)</f>
        <v/>
      </c>
      <c r="C302" s="11"/>
      <c r="D302" s="12"/>
      <c r="E302" s="12"/>
      <c r="F302" s="12"/>
      <c r="G302" s="12"/>
      <c r="H302" s="12"/>
      <c r="I302" s="10"/>
      <c r="J302" s="11"/>
      <c r="K302" s="13"/>
      <c r="L302" s="10"/>
      <c r="M302" s="11"/>
      <c r="N302" s="14" t="str">
        <f>IF(B302="","",SUMIF('Linii comandă'!$B$5:$B$1004,B302,'Linii comandă'!$K$5:$K$1004))</f>
        <v/>
      </c>
      <c r="O302" s="14" t="str">
        <f>IF(B302="","",SUMIF('Linii comandă'!$B$5:$B$1004,B302,'Linii comandă'!$L$5:$L$1004))</f>
        <v/>
      </c>
      <c r="P302" s="14" t="str">
        <f t="shared" si="8"/>
        <v/>
      </c>
      <c r="Q302" s="15" t="str">
        <f>IF(OR(B302="",COUNTIF('Linii comandă'!$B$5:$B$1004,B302)=0),"",IF(SUMIF('Linii comandă'!$B$5:$B$1004,B302,'Linii comandă'!$N$5:$N$1004)&lt;=0,"Completă",IF(SUMIF('Linii comandă'!$B$5:$B$1004,B302,'Linii comandă'!$M$5:$M$1004)&gt;0,"Parțială","Nelivrată")))</f>
        <v/>
      </c>
      <c r="R302" s="10"/>
      <c r="S302" s="15" t="str">
        <f t="shared" ca="1" si="9"/>
        <v/>
      </c>
      <c r="T302" s="16" t="str">
        <f ca="1">IF(AND(B302="",D302=""),"",IF(S302="Anulată","",TRIM(IF(COUNTIF($B$5:$B$304,B302)&gt;1,"Număr dublat. ","")&amp;IF(OR(C302="",D302="",H302="",J302="",K302=""),"Date incomplete. ","")&amp;IF(COUNTIF('Linii comandă'!$B$5:$B$1004,B302)=0,"Nicio linie de comandă. ","")&amp;IF(AND(L302&lt;&gt;"Da",C302&lt;&gt;"",TODAY()-C302&gt;ZileConf),"Neconfirmată de "&amp;(TODAY()-C302)&amp;" zile. ","")&amp;IF(S302="Întârziată","Termenul de livrare a trecut: "&amp;RIGHT("0"&amp;DAY(J302),2)&amp;"."&amp;RIGHT("0"&amp;MONTH(J302),2)&amp;"."&amp;YEAR(J302)&amp;". ","")&amp;IF(S302="Livrată – de facturat","Emite factura. ",""))))</f>
        <v/>
      </c>
    </row>
    <row r="303" spans="2:20" x14ac:dyDescent="0.2">
      <c r="B303" s="10" t="str">
        <f>IF(D303="","",MAX($B$5:B302)+1)</f>
        <v/>
      </c>
      <c r="C303" s="11"/>
      <c r="D303" s="12"/>
      <c r="E303" s="12"/>
      <c r="F303" s="12"/>
      <c r="G303" s="12"/>
      <c r="H303" s="12"/>
      <c r="I303" s="10"/>
      <c r="J303" s="11"/>
      <c r="K303" s="13"/>
      <c r="L303" s="10"/>
      <c r="M303" s="11"/>
      <c r="N303" s="14" t="str">
        <f>IF(B303="","",SUMIF('Linii comandă'!$B$5:$B$1004,B303,'Linii comandă'!$K$5:$K$1004))</f>
        <v/>
      </c>
      <c r="O303" s="14" t="str">
        <f>IF(B303="","",SUMIF('Linii comandă'!$B$5:$B$1004,B303,'Linii comandă'!$L$5:$L$1004))</f>
        <v/>
      </c>
      <c r="P303" s="14" t="str">
        <f t="shared" si="8"/>
        <v/>
      </c>
      <c r="Q303" s="15" t="str">
        <f>IF(OR(B303="",COUNTIF('Linii comandă'!$B$5:$B$1004,B303)=0),"",IF(SUMIF('Linii comandă'!$B$5:$B$1004,B303,'Linii comandă'!$N$5:$N$1004)&lt;=0,"Completă",IF(SUMIF('Linii comandă'!$B$5:$B$1004,B303,'Linii comandă'!$M$5:$M$1004)&gt;0,"Parțială","Nelivrată")))</f>
        <v/>
      </c>
      <c r="R303" s="10"/>
      <c r="S303" s="15" t="str">
        <f t="shared" ca="1" si="9"/>
        <v/>
      </c>
      <c r="T303" s="16" t="str">
        <f ca="1">IF(AND(B303="",D303=""),"",IF(S303="Anulată","",TRIM(IF(COUNTIF($B$5:$B$304,B303)&gt;1,"Număr dublat. ","")&amp;IF(OR(C303="",D303="",H303="",J303="",K303=""),"Date incomplete. ","")&amp;IF(COUNTIF('Linii comandă'!$B$5:$B$1004,B303)=0,"Nicio linie de comandă. ","")&amp;IF(AND(L303&lt;&gt;"Da",C303&lt;&gt;"",TODAY()-C303&gt;ZileConf),"Neconfirmată de "&amp;(TODAY()-C303)&amp;" zile. ","")&amp;IF(S303="Întârziată","Termenul de livrare a trecut: "&amp;RIGHT("0"&amp;DAY(J303),2)&amp;"."&amp;RIGHT("0"&amp;MONTH(J303),2)&amp;"."&amp;YEAR(J303)&amp;". ","")&amp;IF(S303="Livrată – de facturat","Emite factura. ",""))))</f>
        <v/>
      </c>
    </row>
    <row r="304" spans="2:20" x14ac:dyDescent="0.2">
      <c r="B304" s="10" t="str">
        <f>IF(D304="","",MAX($B$5:B303)+1)</f>
        <v/>
      </c>
      <c r="C304" s="11"/>
      <c r="D304" s="12"/>
      <c r="E304" s="12"/>
      <c r="F304" s="12"/>
      <c r="G304" s="12"/>
      <c r="H304" s="12"/>
      <c r="I304" s="10"/>
      <c r="J304" s="11"/>
      <c r="K304" s="13"/>
      <c r="L304" s="10"/>
      <c r="M304" s="11"/>
      <c r="N304" s="14" t="str">
        <f>IF(B304="","",SUMIF('Linii comandă'!$B$5:$B$1004,B304,'Linii comandă'!$K$5:$K$1004))</f>
        <v/>
      </c>
      <c r="O304" s="14" t="str">
        <f>IF(B304="","",SUMIF('Linii comandă'!$B$5:$B$1004,B304,'Linii comandă'!$L$5:$L$1004))</f>
        <v/>
      </c>
      <c r="P304" s="14" t="str">
        <f t="shared" si="8"/>
        <v/>
      </c>
      <c r="Q304" s="15" t="str">
        <f>IF(OR(B304="",COUNTIF('Linii comandă'!$B$5:$B$1004,B304)=0),"",IF(SUMIF('Linii comandă'!$B$5:$B$1004,B304,'Linii comandă'!$N$5:$N$1004)&lt;=0,"Completă",IF(SUMIF('Linii comandă'!$B$5:$B$1004,B304,'Linii comandă'!$M$5:$M$1004)&gt;0,"Parțială","Nelivrată")))</f>
        <v/>
      </c>
      <c r="R304" s="10"/>
      <c r="S304" s="15" t="str">
        <f t="shared" ca="1" si="9"/>
        <v/>
      </c>
      <c r="T304" s="16" t="str">
        <f ca="1">IF(AND(B304="",D304=""),"",IF(S304="Anulată","",TRIM(IF(COUNTIF($B$5:$B$304,B304)&gt;1,"Număr dublat. ","")&amp;IF(OR(C304="",D304="",H304="",J304="",K304=""),"Date incomplete. ","")&amp;IF(COUNTIF('Linii comandă'!$B$5:$B$1004,B304)=0,"Nicio linie de comandă. ","")&amp;IF(AND(L304&lt;&gt;"Da",C304&lt;&gt;"",TODAY()-C304&gt;ZileConf),"Neconfirmată de "&amp;(TODAY()-C304)&amp;" zile. ","")&amp;IF(S304="Întârziată","Termenul de livrare a trecut: "&amp;RIGHT("0"&amp;DAY(J304),2)&amp;"."&amp;RIGHT("0"&amp;MONTH(J304),2)&amp;"."&amp;YEAR(J304)&amp;". ","")&amp;IF(S304="Livrată – de facturat","Emite factura. ",""))))</f>
        <v/>
      </c>
    </row>
    <row r="1000" spans="702:702" ht="15" x14ac:dyDescent="0.25">
      <c r="ZZ1000"/>
    </row>
  </sheetData>
  <conditionalFormatting sqref="B5:R304">
    <cfRule type="expression" dxfId="6" priority="6" stopIfTrue="1">
      <formula>$T5&lt;&gt;""</formula>
    </cfRule>
  </conditionalFormatting>
  <conditionalFormatting sqref="S5:S304">
    <cfRule type="cellIs" dxfId="5" priority="1" stopIfTrue="1" operator="equal">
      <formula>"Facturată"</formula>
    </cfRule>
    <cfRule type="cellIs" dxfId="4" priority="2" stopIfTrue="1" operator="equal">
      <formula>"Întârziată"</formula>
    </cfRule>
    <cfRule type="cellIs" dxfId="3" priority="3" stopIfTrue="1" operator="equal">
      <formula>"Neconfirmată"</formula>
    </cfRule>
    <cfRule type="cellIs" dxfId="2" priority="4" stopIfTrue="1" operator="equal">
      <formula>"Livrată – de facturat"</formula>
    </cfRule>
    <cfRule type="cellIs" dxfId="1" priority="5" stopIfTrue="1" operator="equal">
      <formula>"Anulată"</formula>
    </cfRule>
  </conditionalFormatting>
  <dataValidations count="2">
    <dataValidation type="list" allowBlank="1" showInputMessage="1" showErrorMessage="1" sqref="K5:K304" xr:uid="{3EA83AAB-45A4-4E2E-A373-2C2C4E678E57}">
      <formula1>ListaPlata</formula1>
    </dataValidation>
    <dataValidation type="list" allowBlank="1" showInputMessage="1" showErrorMessage="1" sqref="L5:L304" xr:uid="{A4163E25-70B8-4F1B-A628-844E9DB9FE85}">
      <formula1>ListaConf</formula1>
    </dataValidation>
  </dataValidations>
  <pageMargins left="0.7" right="0.7" top="0.75" bottom="0.75" header="0.3" footer="0.3"/>
  <pageSetup scale="46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1FFC-015E-4384-818F-31441D582208}">
  <dimension ref="A1:O1004"/>
  <sheetViews>
    <sheetView showGridLines="0" topLeftCell="B1" workbookViewId="0">
      <pane ySplit="4" topLeftCell="A5" activePane="bottomLeft" state="frozen"/>
      <selection activeCell="B1" sqref="B1"/>
      <selection pane="bottomLeft" activeCell="B5" sqref="B5"/>
    </sheetView>
  </sheetViews>
  <sheetFormatPr baseColWidth="10" defaultRowHeight="12.75" x14ac:dyDescent="0.2"/>
  <cols>
    <col min="1" max="1" width="0" style="1" hidden="1" customWidth="1"/>
    <col min="2" max="2" width="9.7109375" style="1" customWidth="1"/>
    <col min="3" max="3" width="6.7109375" style="1" customWidth="1"/>
    <col min="4" max="4" width="7.7109375" style="1" customWidth="1"/>
    <col min="5" max="5" width="34.7109375" style="1" customWidth="1"/>
    <col min="6" max="6" width="6.7109375" style="1" customWidth="1"/>
    <col min="7" max="7" width="10.7109375" style="1" customWidth="1"/>
    <col min="8" max="8" width="11.7109375" style="1" customWidth="1"/>
    <col min="9" max="9" width="9.7109375" style="1" customWidth="1"/>
    <col min="10" max="10" width="8.7109375" style="1" customWidth="1"/>
    <col min="11" max="11" width="11.7109375" style="1" customWidth="1"/>
    <col min="12" max="13" width="10.7109375" style="1" customWidth="1"/>
    <col min="14" max="14" width="9.7109375" style="1" customWidth="1"/>
    <col min="15" max="15" width="30.7109375" style="1" customWidth="1"/>
    <col min="16" max="16384" width="11.42578125" style="1"/>
  </cols>
  <sheetData>
    <row r="1" spans="1:15" ht="21" x14ac:dyDescent="0.35">
      <c r="B1" s="2" t="s">
        <v>98</v>
      </c>
    </row>
    <row r="2" spans="1:15" x14ac:dyDescent="0.2">
      <c r="B2" s="3" t="s">
        <v>99</v>
      </c>
    </row>
    <row r="4" spans="1:15" ht="30" customHeight="1" x14ac:dyDescent="0.2">
      <c r="B4" s="7" t="s">
        <v>52</v>
      </c>
      <c r="C4" s="7" t="s">
        <v>100</v>
      </c>
      <c r="D4" s="7" t="s">
        <v>24</v>
      </c>
      <c r="E4" s="7" t="s">
        <v>25</v>
      </c>
      <c r="F4" s="7" t="s">
        <v>26</v>
      </c>
      <c r="G4" s="7" t="s">
        <v>101</v>
      </c>
      <c r="H4" s="7" t="s">
        <v>102</v>
      </c>
      <c r="I4" s="7" t="s">
        <v>103</v>
      </c>
      <c r="J4" s="7" t="s">
        <v>28</v>
      </c>
      <c r="K4" s="7" t="s">
        <v>104</v>
      </c>
      <c r="L4" s="7" t="s">
        <v>62</v>
      </c>
      <c r="M4" s="7" t="s">
        <v>105</v>
      </c>
      <c r="N4" s="7" t="s">
        <v>106</v>
      </c>
      <c r="O4" s="7" t="s">
        <v>67</v>
      </c>
    </row>
    <row r="5" spans="1:15" x14ac:dyDescent="0.2">
      <c r="A5" s="1" t="str">
        <f t="shared" ref="A5:A68" si="0">IF(B5="","",B5&amp;"|"&amp;C5)</f>
        <v>315|1</v>
      </c>
      <c r="B5" s="17">
        <v>315</v>
      </c>
      <c r="C5" s="18">
        <f>IF(B5="","",COUNTIF(INDEX($B:$B,5):B5,B5))</f>
        <v>1</v>
      </c>
      <c r="D5" s="17" t="s">
        <v>29</v>
      </c>
      <c r="E5" s="19" t="str">
        <f t="shared" ref="E5:E68" si="1">IF(D5="","",IFERROR(VLOOKUP(D5,Catalog,2,FALSE),""))</f>
        <v>Cablu CYY-F 3x2,5</v>
      </c>
      <c r="F5" s="18" t="str">
        <f t="shared" ref="F5:F68" si="2">IF(D5="","",IFERROR(VLOOKUP(D5,Catalog,3,FALSE),""))</f>
        <v>m</v>
      </c>
      <c r="G5" s="6">
        <v>200</v>
      </c>
      <c r="H5" s="20">
        <f t="shared" ref="H5:H68" si="3">IF(D5="","",IFERROR(VLOOKUP(D5,Catalog,4,FALSE),""))</f>
        <v>4.8499999999999996</v>
      </c>
      <c r="I5" s="21"/>
      <c r="J5" s="22">
        <f t="shared" ref="J5:J68" si="4">IF(D5="","",IFERROR(VLOOKUP(D5,Catalog,5,FALSE),""))</f>
        <v>0.21</v>
      </c>
      <c r="K5" s="20">
        <f t="shared" ref="K5:K68" si="5">IF(OR(G5="",H5=""),"",ROUND(G5*H5*(1-N(I5)),2))</f>
        <v>970</v>
      </c>
      <c r="L5" s="20">
        <f t="shared" ref="L5:L68" si="6">IF(OR(K5="",J5=""),"",ROUND(K5*J5,2))</f>
        <v>203.7</v>
      </c>
      <c r="M5" s="6">
        <v>200</v>
      </c>
      <c r="N5" s="19">
        <f t="shared" ref="N5:N68" si="7">IF(G5="","",G5-N(M5))</f>
        <v>0</v>
      </c>
      <c r="O5" s="23" t="str">
        <f>IF(B5="","",TRIM(IF(COUNTIF('Registru comenzi'!$B$5:$B$304,B5)=0,"Comandă inexistentă în registru. ","")&amp;IF(AND(D5&lt;&gt;"",E5=""),"Cod necunoscut. ","")&amp;IF(N(G5)&lt;=0,"Lipsește cantitatea. ","")&amp;IF(N(M5)&gt;N(G5),"Livrat mai mult decât s-a comandat. ","")&amp;IF(N(I5)&gt;0.3,"Discount neobișnuit de mare. ","")))</f>
        <v/>
      </c>
    </row>
    <row r="6" spans="1:15" x14ac:dyDescent="0.2">
      <c r="A6" s="1" t="str">
        <f t="shared" si="0"/>
        <v>315|2</v>
      </c>
      <c r="B6" s="17">
        <v>315</v>
      </c>
      <c r="C6" s="18">
        <f>IF(B6="","",COUNTIF(INDEX($B:$B,5):B6,B6))</f>
        <v>2</v>
      </c>
      <c r="D6" s="17" t="s">
        <v>32</v>
      </c>
      <c r="E6" s="19" t="str">
        <f t="shared" si="1"/>
        <v>Tub flexibil PVC 20 mm</v>
      </c>
      <c r="F6" s="18" t="str">
        <f t="shared" si="2"/>
        <v>m</v>
      </c>
      <c r="G6" s="6">
        <v>100</v>
      </c>
      <c r="H6" s="20">
        <f t="shared" si="3"/>
        <v>1.9</v>
      </c>
      <c r="I6" s="21"/>
      <c r="J6" s="22">
        <f t="shared" si="4"/>
        <v>0.21</v>
      </c>
      <c r="K6" s="20">
        <f t="shared" si="5"/>
        <v>190</v>
      </c>
      <c r="L6" s="20">
        <f t="shared" si="6"/>
        <v>39.9</v>
      </c>
      <c r="M6" s="6">
        <v>100</v>
      </c>
      <c r="N6" s="19">
        <f t="shared" si="7"/>
        <v>0</v>
      </c>
      <c r="O6" s="23" t="str">
        <f>IF(B6="","",TRIM(IF(COUNTIF('Registru comenzi'!$B$5:$B$304,B6)=0,"Comandă inexistentă în registru. ","")&amp;IF(AND(D6&lt;&gt;"",E6=""),"Cod necunoscut. ","")&amp;IF(N(G6)&lt;=0,"Lipsește cantitatea. ","")&amp;IF(N(M6)&gt;N(G6),"Livrat mai mult decât s-a comandat. ","")&amp;IF(N(I6)&gt;0.3,"Discount neobișnuit de mare. ","")))</f>
        <v/>
      </c>
    </row>
    <row r="7" spans="1:15" x14ac:dyDescent="0.2">
      <c r="A7" s="1" t="str">
        <f t="shared" si="0"/>
        <v>315|3</v>
      </c>
      <c r="B7" s="17">
        <v>315</v>
      </c>
      <c r="C7" s="18">
        <f>IF(B7="","",COUNTIF(INDEX($B:$B,5):B7,B7))</f>
        <v>3</v>
      </c>
      <c r="D7" s="17" t="s">
        <v>34</v>
      </c>
      <c r="E7" s="19" t="str">
        <f t="shared" si="1"/>
        <v>Doză aparat îngropată</v>
      </c>
      <c r="F7" s="18" t="str">
        <f t="shared" si="2"/>
        <v>buc</v>
      </c>
      <c r="G7" s="6">
        <v>60</v>
      </c>
      <c r="H7" s="20">
        <f t="shared" si="3"/>
        <v>1.2</v>
      </c>
      <c r="I7" s="21"/>
      <c r="J7" s="22">
        <f t="shared" si="4"/>
        <v>0.21</v>
      </c>
      <c r="K7" s="20">
        <f t="shared" si="5"/>
        <v>72</v>
      </c>
      <c r="L7" s="20">
        <f t="shared" si="6"/>
        <v>15.12</v>
      </c>
      <c r="M7" s="6">
        <v>60</v>
      </c>
      <c r="N7" s="19">
        <f t="shared" si="7"/>
        <v>0</v>
      </c>
      <c r="O7" s="23" t="str">
        <f>IF(B7="","",TRIM(IF(COUNTIF('Registru comenzi'!$B$5:$B$304,B7)=0,"Comandă inexistentă în registru. ","")&amp;IF(AND(D7&lt;&gt;"",E7=""),"Cod necunoscut. ","")&amp;IF(N(G7)&lt;=0,"Lipsește cantitatea. ","")&amp;IF(N(M7)&gt;N(G7),"Livrat mai mult decât s-a comandat. ","")&amp;IF(N(I7)&gt;0.3,"Discount neobișnuit de mare. ","")))</f>
        <v/>
      </c>
    </row>
    <row r="8" spans="1:15" x14ac:dyDescent="0.2">
      <c r="A8" s="1" t="str">
        <f t="shared" si="0"/>
        <v>315|4</v>
      </c>
      <c r="B8" s="17">
        <v>315</v>
      </c>
      <c r="C8" s="18">
        <f>IF(B8="","",COUNTIF(INDEX($B:$B,5):B8,B8))</f>
        <v>4</v>
      </c>
      <c r="D8" s="17" t="s">
        <v>37</v>
      </c>
      <c r="E8" s="19" t="str">
        <f t="shared" si="1"/>
        <v>Întrerupător simplu Schneider Sedna</v>
      </c>
      <c r="F8" s="18" t="str">
        <f t="shared" si="2"/>
        <v>buc</v>
      </c>
      <c r="G8" s="6">
        <v>24</v>
      </c>
      <c r="H8" s="20">
        <f t="shared" si="3"/>
        <v>14.5</v>
      </c>
      <c r="I8" s="21"/>
      <c r="J8" s="22">
        <f t="shared" si="4"/>
        <v>0.21</v>
      </c>
      <c r="K8" s="20">
        <f t="shared" si="5"/>
        <v>348</v>
      </c>
      <c r="L8" s="20">
        <f t="shared" si="6"/>
        <v>73.08</v>
      </c>
      <c r="M8" s="6">
        <v>24</v>
      </c>
      <c r="N8" s="19">
        <f t="shared" si="7"/>
        <v>0</v>
      </c>
      <c r="O8" s="23" t="str">
        <f>IF(B8="","",TRIM(IF(COUNTIF('Registru comenzi'!$B$5:$B$304,B8)=0,"Comandă inexistentă în registru. ","")&amp;IF(AND(D8&lt;&gt;"",E8=""),"Cod necunoscut. ","")&amp;IF(N(G8)&lt;=0,"Lipsește cantitatea. ","")&amp;IF(N(M8)&gt;N(G8),"Livrat mai mult decât s-a comandat. ","")&amp;IF(N(I8)&gt;0.3,"Discount neobișnuit de mare. ","")))</f>
        <v/>
      </c>
    </row>
    <row r="9" spans="1:15" x14ac:dyDescent="0.2">
      <c r="A9" s="1" t="str">
        <f t="shared" si="0"/>
        <v>315|5</v>
      </c>
      <c r="B9" s="17">
        <v>315</v>
      </c>
      <c r="C9" s="18">
        <f>IF(B9="","",COUNTIF(INDEX($B:$B,5):B9,B9))</f>
        <v>5</v>
      </c>
      <c r="D9" s="17" t="s">
        <v>39</v>
      </c>
      <c r="E9" s="19" t="str">
        <f t="shared" si="1"/>
        <v>Priză dublă cu împământare</v>
      </c>
      <c r="F9" s="18" t="str">
        <f t="shared" si="2"/>
        <v>buc</v>
      </c>
      <c r="G9" s="6">
        <v>30</v>
      </c>
      <c r="H9" s="20">
        <f t="shared" si="3"/>
        <v>18.899999999999999</v>
      </c>
      <c r="I9" s="21"/>
      <c r="J9" s="22">
        <f t="shared" si="4"/>
        <v>0.21</v>
      </c>
      <c r="K9" s="20">
        <f t="shared" si="5"/>
        <v>567</v>
      </c>
      <c r="L9" s="20">
        <f t="shared" si="6"/>
        <v>119.07</v>
      </c>
      <c r="M9" s="6">
        <v>30</v>
      </c>
      <c r="N9" s="19">
        <f t="shared" si="7"/>
        <v>0</v>
      </c>
      <c r="O9" s="23" t="str">
        <f>IF(B9="","",TRIM(IF(COUNTIF('Registru comenzi'!$B$5:$B$304,B9)=0,"Comandă inexistentă în registru. ","")&amp;IF(AND(D9&lt;&gt;"",E9=""),"Cod necunoscut. ","")&amp;IF(N(G9)&lt;=0,"Lipsește cantitatea. ","")&amp;IF(N(M9)&gt;N(G9),"Livrat mai mult decât s-a comandat. ","")&amp;IF(N(I9)&gt;0.3,"Discount neobișnuit de mare. ","")))</f>
        <v/>
      </c>
    </row>
    <row r="10" spans="1:15" x14ac:dyDescent="0.2">
      <c r="A10" s="1" t="str">
        <f t="shared" si="0"/>
        <v>315|6</v>
      </c>
      <c r="B10" s="17">
        <v>315</v>
      </c>
      <c r="C10" s="18">
        <f>IF(B10="","",COUNTIF(INDEX($B:$B,5):B10,B10))</f>
        <v>6</v>
      </c>
      <c r="D10" s="17" t="s">
        <v>47</v>
      </c>
      <c r="E10" s="19" t="str">
        <f t="shared" si="1"/>
        <v>Manoperă montaj instalație electrică</v>
      </c>
      <c r="F10" s="18" t="str">
        <f t="shared" si="2"/>
        <v>ore</v>
      </c>
      <c r="G10" s="6">
        <v>16</v>
      </c>
      <c r="H10" s="20">
        <f t="shared" si="3"/>
        <v>85</v>
      </c>
      <c r="I10" s="21"/>
      <c r="J10" s="22">
        <f t="shared" si="4"/>
        <v>0.21</v>
      </c>
      <c r="K10" s="20">
        <f t="shared" si="5"/>
        <v>1360</v>
      </c>
      <c r="L10" s="20">
        <f t="shared" si="6"/>
        <v>285.60000000000002</v>
      </c>
      <c r="M10" s="6">
        <v>16</v>
      </c>
      <c r="N10" s="19">
        <f t="shared" si="7"/>
        <v>0</v>
      </c>
      <c r="O10" s="23" t="str">
        <f>IF(B10="","",TRIM(IF(COUNTIF('Registru comenzi'!$B$5:$B$304,B10)=0,"Comandă inexistentă în registru. ","")&amp;IF(AND(D10&lt;&gt;"",E10=""),"Cod necunoscut. ","")&amp;IF(N(G10)&lt;=0,"Lipsește cantitatea. ","")&amp;IF(N(M10)&gt;N(G10),"Livrat mai mult decât s-a comandat. ","")&amp;IF(N(I10)&gt;0.3,"Discount neobișnuit de mare. ","")))</f>
        <v/>
      </c>
    </row>
    <row r="11" spans="1:15" x14ac:dyDescent="0.2">
      <c r="A11" s="1" t="str">
        <f t="shared" si="0"/>
        <v>316|1</v>
      </c>
      <c r="B11" s="17">
        <v>316</v>
      </c>
      <c r="C11" s="18">
        <f>IF(B11="","",COUNTIF(INDEX($B:$B,5):B11,B11))</f>
        <v>1</v>
      </c>
      <c r="D11" s="17" t="s">
        <v>41</v>
      </c>
      <c r="E11" s="19" t="str">
        <f t="shared" si="1"/>
        <v>Tablou electric 12 module</v>
      </c>
      <c r="F11" s="18" t="str">
        <f t="shared" si="2"/>
        <v>buc</v>
      </c>
      <c r="G11" s="6">
        <v>10</v>
      </c>
      <c r="H11" s="20">
        <f t="shared" si="3"/>
        <v>145</v>
      </c>
      <c r="I11" s="21"/>
      <c r="J11" s="22">
        <f t="shared" si="4"/>
        <v>0.21</v>
      </c>
      <c r="K11" s="20">
        <f t="shared" si="5"/>
        <v>1450</v>
      </c>
      <c r="L11" s="20">
        <f t="shared" si="6"/>
        <v>304.5</v>
      </c>
      <c r="M11" s="6">
        <v>10</v>
      </c>
      <c r="N11" s="19">
        <f t="shared" si="7"/>
        <v>0</v>
      </c>
      <c r="O11" s="23" t="str">
        <f>IF(B11="","",TRIM(IF(COUNTIF('Registru comenzi'!$B$5:$B$304,B11)=0,"Comandă inexistentă în registru. ","")&amp;IF(AND(D11&lt;&gt;"",E11=""),"Cod necunoscut. ","")&amp;IF(N(G11)&lt;=0,"Lipsește cantitatea. ","")&amp;IF(N(M11)&gt;N(G11),"Livrat mai mult decât s-a comandat. ","")&amp;IF(N(I11)&gt;0.3,"Discount neobișnuit de mare. ","")))</f>
        <v/>
      </c>
    </row>
    <row r="12" spans="1:15" x14ac:dyDescent="0.2">
      <c r="A12" s="1" t="str">
        <f t="shared" si="0"/>
        <v>316|2</v>
      </c>
      <c r="B12" s="17">
        <v>316</v>
      </c>
      <c r="C12" s="18">
        <f>IF(B12="","",COUNTIF(INDEX($B:$B,5):B12,B12))</f>
        <v>2</v>
      </c>
      <c r="D12" s="17" t="s">
        <v>43</v>
      </c>
      <c r="E12" s="19" t="str">
        <f t="shared" si="1"/>
        <v>Siguranță automată 16A</v>
      </c>
      <c r="F12" s="18" t="str">
        <f t="shared" si="2"/>
        <v>buc</v>
      </c>
      <c r="G12" s="6">
        <v>40</v>
      </c>
      <c r="H12" s="20">
        <f t="shared" si="3"/>
        <v>22.4</v>
      </c>
      <c r="I12" s="21"/>
      <c r="J12" s="22">
        <f t="shared" si="4"/>
        <v>0.21</v>
      </c>
      <c r="K12" s="20">
        <f t="shared" si="5"/>
        <v>896</v>
      </c>
      <c r="L12" s="20">
        <f t="shared" si="6"/>
        <v>188.16</v>
      </c>
      <c r="M12" s="6">
        <v>40</v>
      </c>
      <c r="N12" s="19">
        <f t="shared" si="7"/>
        <v>0</v>
      </c>
      <c r="O12" s="23" t="str">
        <f>IF(B12="","",TRIM(IF(COUNTIF('Registru comenzi'!$B$5:$B$304,B12)=0,"Comandă inexistentă în registru. ","")&amp;IF(AND(D12&lt;&gt;"",E12=""),"Cod necunoscut. ","")&amp;IF(N(G12)&lt;=0,"Lipsește cantitatea. ","")&amp;IF(N(M12)&gt;N(G12),"Livrat mai mult decât s-a comandat. ","")&amp;IF(N(I12)&gt;0.3,"Discount neobișnuit de mare. ","")))</f>
        <v/>
      </c>
    </row>
    <row r="13" spans="1:15" x14ac:dyDescent="0.2">
      <c r="A13" s="1" t="str">
        <f t="shared" si="0"/>
        <v>317|1</v>
      </c>
      <c r="B13" s="17">
        <v>317</v>
      </c>
      <c r="C13" s="18">
        <f>IF(B13="","",COUNTIF(INDEX($B:$B,5):B13,B13))</f>
        <v>1</v>
      </c>
      <c r="D13" s="17" t="s">
        <v>45</v>
      </c>
      <c r="E13" s="19" t="str">
        <f t="shared" si="1"/>
        <v>Corp iluminat LED 36W</v>
      </c>
      <c r="F13" s="18" t="str">
        <f t="shared" si="2"/>
        <v>buc</v>
      </c>
      <c r="G13" s="6">
        <v>20</v>
      </c>
      <c r="H13" s="20">
        <f t="shared" si="3"/>
        <v>89</v>
      </c>
      <c r="I13" s="21"/>
      <c r="J13" s="22">
        <f t="shared" si="4"/>
        <v>0.21</v>
      </c>
      <c r="K13" s="20">
        <f t="shared" si="5"/>
        <v>1780</v>
      </c>
      <c r="L13" s="20">
        <f t="shared" si="6"/>
        <v>373.8</v>
      </c>
      <c r="M13" s="6">
        <v>20</v>
      </c>
      <c r="N13" s="19">
        <f t="shared" si="7"/>
        <v>0</v>
      </c>
      <c r="O13" s="23" t="str">
        <f>IF(B13="","",TRIM(IF(COUNTIF('Registru comenzi'!$B$5:$B$304,B13)=0,"Comandă inexistentă în registru. ","")&amp;IF(AND(D13&lt;&gt;"",E13=""),"Cod necunoscut. ","")&amp;IF(N(G13)&lt;=0,"Lipsește cantitatea. ","")&amp;IF(N(M13)&gt;N(G13),"Livrat mai mult decât s-a comandat. ","")&amp;IF(N(I13)&gt;0.3,"Discount neobișnuit de mare. ","")))</f>
        <v/>
      </c>
    </row>
    <row r="14" spans="1:15" x14ac:dyDescent="0.2">
      <c r="A14" s="1" t="str">
        <f t="shared" si="0"/>
        <v>317|2</v>
      </c>
      <c r="B14" s="17">
        <v>317</v>
      </c>
      <c r="C14" s="18">
        <f>IF(B14="","",COUNTIF(INDEX($B:$B,5):B14,B14))</f>
        <v>2</v>
      </c>
      <c r="D14" s="17" t="s">
        <v>43</v>
      </c>
      <c r="E14" s="19" t="str">
        <f t="shared" si="1"/>
        <v>Siguranță automată 16A</v>
      </c>
      <c r="F14" s="18" t="str">
        <f t="shared" si="2"/>
        <v>buc</v>
      </c>
      <c r="G14" s="6">
        <v>20</v>
      </c>
      <c r="H14" s="20">
        <f t="shared" si="3"/>
        <v>22.4</v>
      </c>
      <c r="I14" s="21"/>
      <c r="J14" s="22">
        <f t="shared" si="4"/>
        <v>0.21</v>
      </c>
      <c r="K14" s="20">
        <f t="shared" si="5"/>
        <v>448</v>
      </c>
      <c r="L14" s="20">
        <f t="shared" si="6"/>
        <v>94.08</v>
      </c>
      <c r="M14" s="6">
        <v>0</v>
      </c>
      <c r="N14" s="19">
        <f t="shared" si="7"/>
        <v>20</v>
      </c>
      <c r="O14" s="23" t="str">
        <f>IF(B14="","",TRIM(IF(COUNTIF('Registru comenzi'!$B$5:$B$304,B14)=0,"Comandă inexistentă în registru. ","")&amp;IF(AND(D14&lt;&gt;"",E14=""),"Cod necunoscut. ","")&amp;IF(N(G14)&lt;=0,"Lipsește cantitatea. ","")&amp;IF(N(M14)&gt;N(G14),"Livrat mai mult decât s-a comandat. ","")&amp;IF(N(I14)&gt;0.3,"Discount neobișnuit de mare. ","")))</f>
        <v/>
      </c>
    </row>
    <row r="15" spans="1:15" x14ac:dyDescent="0.2">
      <c r="A15" s="1" t="str">
        <f t="shared" si="0"/>
        <v>318|1</v>
      </c>
      <c r="B15" s="17">
        <v>318</v>
      </c>
      <c r="C15" s="18">
        <f>IF(B15="","",COUNTIF(INDEX($B:$B,5):B15,B15))</f>
        <v>1</v>
      </c>
      <c r="D15" s="17" t="s">
        <v>41</v>
      </c>
      <c r="E15" s="19" t="str">
        <f t="shared" si="1"/>
        <v>Tablou electric 12 module</v>
      </c>
      <c r="F15" s="18" t="str">
        <f t="shared" si="2"/>
        <v>buc</v>
      </c>
      <c r="G15" s="6">
        <v>4</v>
      </c>
      <c r="H15" s="20">
        <f t="shared" si="3"/>
        <v>145</v>
      </c>
      <c r="I15" s="21"/>
      <c r="J15" s="22">
        <f t="shared" si="4"/>
        <v>0.21</v>
      </c>
      <c r="K15" s="20">
        <f t="shared" si="5"/>
        <v>580</v>
      </c>
      <c r="L15" s="20">
        <f t="shared" si="6"/>
        <v>121.8</v>
      </c>
      <c r="M15" s="6">
        <v>0</v>
      </c>
      <c r="N15" s="19">
        <f t="shared" si="7"/>
        <v>4</v>
      </c>
      <c r="O15" s="23" t="str">
        <f>IF(B15="","",TRIM(IF(COUNTIF('Registru comenzi'!$B$5:$B$304,B15)=0,"Comandă inexistentă în registru. ","")&amp;IF(AND(D15&lt;&gt;"",E15=""),"Cod necunoscut. ","")&amp;IF(N(G15)&lt;=0,"Lipsește cantitatea. ","")&amp;IF(N(M15)&gt;N(G15),"Livrat mai mult decât s-a comandat. ","")&amp;IF(N(I15)&gt;0.3,"Discount neobișnuit de mare. ","")))</f>
        <v/>
      </c>
    </row>
    <row r="16" spans="1:15" x14ac:dyDescent="0.2">
      <c r="A16" s="1" t="str">
        <f t="shared" si="0"/>
        <v>318|2</v>
      </c>
      <c r="B16" s="17">
        <v>318</v>
      </c>
      <c r="C16" s="18">
        <f>IF(B16="","",COUNTIF(INDEX($B:$B,5):B16,B16))</f>
        <v>2</v>
      </c>
      <c r="D16" s="17" t="s">
        <v>43</v>
      </c>
      <c r="E16" s="19" t="str">
        <f t="shared" si="1"/>
        <v>Siguranță automată 16A</v>
      </c>
      <c r="F16" s="18" t="str">
        <f t="shared" si="2"/>
        <v>buc</v>
      </c>
      <c r="G16" s="6">
        <v>48</v>
      </c>
      <c r="H16" s="20">
        <f t="shared" si="3"/>
        <v>22.4</v>
      </c>
      <c r="I16" s="21"/>
      <c r="J16" s="22">
        <f t="shared" si="4"/>
        <v>0.21</v>
      </c>
      <c r="K16" s="20">
        <f t="shared" si="5"/>
        <v>1075.2</v>
      </c>
      <c r="L16" s="20">
        <f t="shared" si="6"/>
        <v>225.79</v>
      </c>
      <c r="M16" s="6">
        <v>0</v>
      </c>
      <c r="N16" s="19">
        <f t="shared" si="7"/>
        <v>48</v>
      </c>
      <c r="O16" s="23" t="str">
        <f>IF(B16="","",TRIM(IF(COUNTIF('Registru comenzi'!$B$5:$B$304,B16)=0,"Comandă inexistentă în registru. ","")&amp;IF(AND(D16&lt;&gt;"",E16=""),"Cod necunoscut. ","")&amp;IF(N(G16)&lt;=0,"Lipsește cantitatea. ","")&amp;IF(N(M16)&gt;N(G16),"Livrat mai mult decât s-a comandat. ","")&amp;IF(N(I16)&gt;0.3,"Discount neobișnuit de mare. ","")))</f>
        <v/>
      </c>
    </row>
    <row r="17" spans="1:15" x14ac:dyDescent="0.2">
      <c r="A17" s="1" t="str">
        <f t="shared" si="0"/>
        <v>318|3</v>
      </c>
      <c r="B17" s="17">
        <v>318</v>
      </c>
      <c r="C17" s="18">
        <f>IF(B17="","",COUNTIF(INDEX($B:$B,5):B17,B17))</f>
        <v>3</v>
      </c>
      <c r="D17" s="17" t="s">
        <v>29</v>
      </c>
      <c r="E17" s="19" t="str">
        <f t="shared" si="1"/>
        <v>Cablu CYY-F 3x2,5</v>
      </c>
      <c r="F17" s="18" t="str">
        <f t="shared" si="2"/>
        <v>m</v>
      </c>
      <c r="G17" s="6">
        <v>300</v>
      </c>
      <c r="H17" s="20">
        <f t="shared" si="3"/>
        <v>4.8499999999999996</v>
      </c>
      <c r="I17" s="21"/>
      <c r="J17" s="22">
        <f t="shared" si="4"/>
        <v>0.21</v>
      </c>
      <c r="K17" s="20">
        <f t="shared" si="5"/>
        <v>1455</v>
      </c>
      <c r="L17" s="20">
        <f t="shared" si="6"/>
        <v>305.55</v>
      </c>
      <c r="M17" s="6">
        <v>0</v>
      </c>
      <c r="N17" s="19">
        <f t="shared" si="7"/>
        <v>300</v>
      </c>
      <c r="O17" s="23" t="str">
        <f>IF(B17="","",TRIM(IF(COUNTIF('Registru comenzi'!$B$5:$B$304,B17)=0,"Comandă inexistentă în registru. ","")&amp;IF(AND(D17&lt;&gt;"",E17=""),"Cod necunoscut. ","")&amp;IF(N(G17)&lt;=0,"Lipsește cantitatea. ","")&amp;IF(N(M17)&gt;N(G17),"Livrat mai mult decât s-a comandat. ","")&amp;IF(N(I17)&gt;0.3,"Discount neobișnuit de mare. ","")))</f>
        <v/>
      </c>
    </row>
    <row r="18" spans="1:15" x14ac:dyDescent="0.2">
      <c r="A18" s="1" t="str">
        <f t="shared" si="0"/>
        <v>319|1</v>
      </c>
      <c r="B18" s="17">
        <v>319</v>
      </c>
      <c r="C18" s="18">
        <f>IF(B18="","",COUNTIF(INDEX($B:$B,5):B18,B18))</f>
        <v>1</v>
      </c>
      <c r="D18" s="17" t="s">
        <v>39</v>
      </c>
      <c r="E18" s="19" t="str">
        <f t="shared" si="1"/>
        <v>Priză dublă cu împământare</v>
      </c>
      <c r="F18" s="18" t="str">
        <f t="shared" si="2"/>
        <v>buc</v>
      </c>
      <c r="G18" s="6">
        <v>40</v>
      </c>
      <c r="H18" s="20">
        <f t="shared" si="3"/>
        <v>18.899999999999999</v>
      </c>
      <c r="I18" s="21">
        <v>0.05</v>
      </c>
      <c r="J18" s="22">
        <f t="shared" si="4"/>
        <v>0.21</v>
      </c>
      <c r="K18" s="20">
        <f t="shared" si="5"/>
        <v>718.2</v>
      </c>
      <c r="L18" s="20">
        <f t="shared" si="6"/>
        <v>150.82</v>
      </c>
      <c r="M18" s="6">
        <v>0</v>
      </c>
      <c r="N18" s="19">
        <f t="shared" si="7"/>
        <v>40</v>
      </c>
      <c r="O18" s="23" t="str">
        <f>IF(B18="","",TRIM(IF(COUNTIF('Registru comenzi'!$B$5:$B$304,B18)=0,"Comandă inexistentă în registru. ","")&amp;IF(AND(D18&lt;&gt;"",E18=""),"Cod necunoscut. ","")&amp;IF(N(G18)&lt;=0,"Lipsește cantitatea. ","")&amp;IF(N(M18)&gt;N(G18),"Livrat mai mult decât s-a comandat. ","")&amp;IF(N(I18)&gt;0.3,"Discount neobișnuit de mare. ","")))</f>
        <v/>
      </c>
    </row>
    <row r="19" spans="1:15" x14ac:dyDescent="0.2">
      <c r="A19" s="1" t="str">
        <f t="shared" si="0"/>
        <v>319|2</v>
      </c>
      <c r="B19" s="17">
        <v>319</v>
      </c>
      <c r="C19" s="18">
        <f>IF(B19="","",COUNTIF(INDEX($B:$B,5):B19,B19))</f>
        <v>2</v>
      </c>
      <c r="D19" s="17" t="s">
        <v>37</v>
      </c>
      <c r="E19" s="19" t="str">
        <f t="shared" si="1"/>
        <v>Întrerupător simplu Schneider Sedna</v>
      </c>
      <c r="F19" s="18" t="str">
        <f t="shared" si="2"/>
        <v>buc</v>
      </c>
      <c r="G19" s="6">
        <v>40</v>
      </c>
      <c r="H19" s="20">
        <f t="shared" si="3"/>
        <v>14.5</v>
      </c>
      <c r="I19" s="21">
        <v>0.05</v>
      </c>
      <c r="J19" s="22">
        <f t="shared" si="4"/>
        <v>0.21</v>
      </c>
      <c r="K19" s="20">
        <f t="shared" si="5"/>
        <v>551</v>
      </c>
      <c r="L19" s="20">
        <f t="shared" si="6"/>
        <v>115.71</v>
      </c>
      <c r="M19" s="6">
        <v>0</v>
      </c>
      <c r="N19" s="19">
        <f t="shared" si="7"/>
        <v>40</v>
      </c>
      <c r="O19" s="23" t="str">
        <f>IF(B19="","",TRIM(IF(COUNTIF('Registru comenzi'!$B$5:$B$304,B19)=0,"Comandă inexistentă în registru. ","")&amp;IF(AND(D19&lt;&gt;"",E19=""),"Cod necunoscut. ","")&amp;IF(N(G19)&lt;=0,"Lipsește cantitatea. ","")&amp;IF(N(M19)&gt;N(G19),"Livrat mai mult decât s-a comandat. ","")&amp;IF(N(I19)&gt;0.3,"Discount neobișnuit de mare. ","")))</f>
        <v/>
      </c>
    </row>
    <row r="20" spans="1:15" x14ac:dyDescent="0.2">
      <c r="A20" s="1" t="str">
        <f t="shared" si="0"/>
        <v>319|3</v>
      </c>
      <c r="B20" s="17">
        <v>319</v>
      </c>
      <c r="C20" s="18">
        <f>IF(B20="","",COUNTIF(INDEX($B:$B,5):B20,B20))</f>
        <v>3</v>
      </c>
      <c r="D20" s="17" t="s">
        <v>34</v>
      </c>
      <c r="E20" s="19" t="str">
        <f t="shared" si="1"/>
        <v>Doză aparat îngropată</v>
      </c>
      <c r="F20" s="18" t="str">
        <f t="shared" si="2"/>
        <v>buc</v>
      </c>
      <c r="G20" s="6">
        <v>80</v>
      </c>
      <c r="H20" s="20">
        <f t="shared" si="3"/>
        <v>1.2</v>
      </c>
      <c r="I20" s="21"/>
      <c r="J20" s="22">
        <f t="shared" si="4"/>
        <v>0.21</v>
      </c>
      <c r="K20" s="20">
        <f t="shared" si="5"/>
        <v>96</v>
      </c>
      <c r="L20" s="20">
        <f t="shared" si="6"/>
        <v>20.16</v>
      </c>
      <c r="M20" s="6">
        <v>0</v>
      </c>
      <c r="N20" s="19">
        <f t="shared" si="7"/>
        <v>80</v>
      </c>
      <c r="O20" s="23" t="str">
        <f>IF(B20="","",TRIM(IF(COUNTIF('Registru comenzi'!$B$5:$B$304,B20)=0,"Comandă inexistentă în registru. ","")&amp;IF(AND(D20&lt;&gt;"",E20=""),"Cod necunoscut. ","")&amp;IF(N(G20)&lt;=0,"Lipsește cantitatea. ","")&amp;IF(N(M20)&gt;N(G20),"Livrat mai mult decât s-a comandat. ","")&amp;IF(N(I20)&gt;0.3,"Discount neobișnuit de mare. ","")))</f>
        <v/>
      </c>
    </row>
    <row r="21" spans="1:15" x14ac:dyDescent="0.2">
      <c r="A21" s="1" t="str">
        <f t="shared" si="0"/>
        <v/>
      </c>
      <c r="B21" s="17"/>
      <c r="C21" s="18" t="str">
        <f>IF(B21="","",COUNTIF(INDEX($B:$B,5):B21,B21))</f>
        <v/>
      </c>
      <c r="D21" s="17"/>
      <c r="E21" s="19" t="str">
        <f t="shared" si="1"/>
        <v/>
      </c>
      <c r="F21" s="18" t="str">
        <f t="shared" si="2"/>
        <v/>
      </c>
      <c r="G21" s="6"/>
      <c r="H21" s="20" t="str">
        <f t="shared" si="3"/>
        <v/>
      </c>
      <c r="I21" s="21"/>
      <c r="J21" s="22" t="str">
        <f t="shared" si="4"/>
        <v/>
      </c>
      <c r="K21" s="20" t="str">
        <f t="shared" si="5"/>
        <v/>
      </c>
      <c r="L21" s="20" t="str">
        <f t="shared" si="6"/>
        <v/>
      </c>
      <c r="M21" s="6"/>
      <c r="N21" s="19" t="str">
        <f t="shared" si="7"/>
        <v/>
      </c>
      <c r="O21" s="23" t="str">
        <f>IF(B21="","",TRIM(IF(COUNTIF('Registru comenzi'!$B$5:$B$304,B21)=0,"Comandă inexistentă în registru. ","")&amp;IF(AND(D21&lt;&gt;"",E21=""),"Cod necunoscut. ","")&amp;IF(N(G21)&lt;=0,"Lipsește cantitatea. ","")&amp;IF(N(M21)&gt;N(G21),"Livrat mai mult decât s-a comandat. ","")&amp;IF(N(I21)&gt;0.3,"Discount neobișnuit de mare. ","")))</f>
        <v/>
      </c>
    </row>
    <row r="22" spans="1:15" x14ac:dyDescent="0.2">
      <c r="A22" s="1" t="str">
        <f t="shared" si="0"/>
        <v/>
      </c>
      <c r="B22" s="17"/>
      <c r="C22" s="18" t="str">
        <f>IF(B22="","",COUNTIF(INDEX($B:$B,5):B22,B22))</f>
        <v/>
      </c>
      <c r="D22" s="17"/>
      <c r="E22" s="19" t="str">
        <f t="shared" si="1"/>
        <v/>
      </c>
      <c r="F22" s="18" t="str">
        <f t="shared" si="2"/>
        <v/>
      </c>
      <c r="G22" s="6"/>
      <c r="H22" s="20" t="str">
        <f t="shared" si="3"/>
        <v/>
      </c>
      <c r="I22" s="21"/>
      <c r="J22" s="22" t="str">
        <f t="shared" si="4"/>
        <v/>
      </c>
      <c r="K22" s="20" t="str">
        <f t="shared" si="5"/>
        <v/>
      </c>
      <c r="L22" s="20" t="str">
        <f t="shared" si="6"/>
        <v/>
      </c>
      <c r="M22" s="6"/>
      <c r="N22" s="19" t="str">
        <f t="shared" si="7"/>
        <v/>
      </c>
      <c r="O22" s="23" t="str">
        <f>IF(B22="","",TRIM(IF(COUNTIF('Registru comenzi'!$B$5:$B$304,B22)=0,"Comandă inexistentă în registru. ","")&amp;IF(AND(D22&lt;&gt;"",E22=""),"Cod necunoscut. ","")&amp;IF(N(G22)&lt;=0,"Lipsește cantitatea. ","")&amp;IF(N(M22)&gt;N(G22),"Livrat mai mult decât s-a comandat. ","")&amp;IF(N(I22)&gt;0.3,"Discount neobișnuit de mare. ","")))</f>
        <v/>
      </c>
    </row>
    <row r="23" spans="1:15" x14ac:dyDescent="0.2">
      <c r="A23" s="1" t="str">
        <f t="shared" si="0"/>
        <v/>
      </c>
      <c r="B23" s="17"/>
      <c r="C23" s="18" t="str">
        <f>IF(B23="","",COUNTIF(INDEX($B:$B,5):B23,B23))</f>
        <v/>
      </c>
      <c r="D23" s="17"/>
      <c r="E23" s="19" t="str">
        <f t="shared" si="1"/>
        <v/>
      </c>
      <c r="F23" s="18" t="str">
        <f t="shared" si="2"/>
        <v/>
      </c>
      <c r="G23" s="6"/>
      <c r="H23" s="20" t="str">
        <f t="shared" si="3"/>
        <v/>
      </c>
      <c r="I23" s="21"/>
      <c r="J23" s="22" t="str">
        <f t="shared" si="4"/>
        <v/>
      </c>
      <c r="K23" s="20" t="str">
        <f t="shared" si="5"/>
        <v/>
      </c>
      <c r="L23" s="20" t="str">
        <f t="shared" si="6"/>
        <v/>
      </c>
      <c r="M23" s="6"/>
      <c r="N23" s="19" t="str">
        <f t="shared" si="7"/>
        <v/>
      </c>
      <c r="O23" s="23" t="str">
        <f>IF(B23="","",TRIM(IF(COUNTIF('Registru comenzi'!$B$5:$B$304,B23)=0,"Comandă inexistentă în registru. ","")&amp;IF(AND(D23&lt;&gt;"",E23=""),"Cod necunoscut. ","")&amp;IF(N(G23)&lt;=0,"Lipsește cantitatea. ","")&amp;IF(N(M23)&gt;N(G23),"Livrat mai mult decât s-a comandat. ","")&amp;IF(N(I23)&gt;0.3,"Discount neobișnuit de mare. ","")))</f>
        <v/>
      </c>
    </row>
    <row r="24" spans="1:15" x14ac:dyDescent="0.2">
      <c r="A24" s="1" t="str">
        <f t="shared" si="0"/>
        <v/>
      </c>
      <c r="B24" s="17"/>
      <c r="C24" s="18" t="str">
        <f>IF(B24="","",COUNTIF(INDEX($B:$B,5):B24,B24))</f>
        <v/>
      </c>
      <c r="D24" s="17"/>
      <c r="E24" s="19" t="str">
        <f t="shared" si="1"/>
        <v/>
      </c>
      <c r="F24" s="18" t="str">
        <f t="shared" si="2"/>
        <v/>
      </c>
      <c r="G24" s="6"/>
      <c r="H24" s="20" t="str">
        <f t="shared" si="3"/>
        <v/>
      </c>
      <c r="I24" s="21"/>
      <c r="J24" s="22" t="str">
        <f t="shared" si="4"/>
        <v/>
      </c>
      <c r="K24" s="20" t="str">
        <f t="shared" si="5"/>
        <v/>
      </c>
      <c r="L24" s="20" t="str">
        <f t="shared" si="6"/>
        <v/>
      </c>
      <c r="M24" s="6"/>
      <c r="N24" s="19" t="str">
        <f t="shared" si="7"/>
        <v/>
      </c>
      <c r="O24" s="23" t="str">
        <f>IF(B24="","",TRIM(IF(COUNTIF('Registru comenzi'!$B$5:$B$304,B24)=0,"Comandă inexistentă în registru. ","")&amp;IF(AND(D24&lt;&gt;"",E24=""),"Cod necunoscut. ","")&amp;IF(N(G24)&lt;=0,"Lipsește cantitatea. ","")&amp;IF(N(M24)&gt;N(G24),"Livrat mai mult decât s-a comandat. ","")&amp;IF(N(I24)&gt;0.3,"Discount neobișnuit de mare. ","")))</f>
        <v/>
      </c>
    </row>
    <row r="25" spans="1:15" x14ac:dyDescent="0.2">
      <c r="A25" s="1" t="str">
        <f t="shared" si="0"/>
        <v/>
      </c>
      <c r="B25" s="17"/>
      <c r="C25" s="18" t="str">
        <f>IF(B25="","",COUNTIF(INDEX($B:$B,5):B25,B25))</f>
        <v/>
      </c>
      <c r="D25" s="17"/>
      <c r="E25" s="19" t="str">
        <f t="shared" si="1"/>
        <v/>
      </c>
      <c r="F25" s="18" t="str">
        <f t="shared" si="2"/>
        <v/>
      </c>
      <c r="G25" s="6"/>
      <c r="H25" s="20" t="str">
        <f t="shared" si="3"/>
        <v/>
      </c>
      <c r="I25" s="21"/>
      <c r="J25" s="22" t="str">
        <f t="shared" si="4"/>
        <v/>
      </c>
      <c r="K25" s="20" t="str">
        <f t="shared" si="5"/>
        <v/>
      </c>
      <c r="L25" s="20" t="str">
        <f t="shared" si="6"/>
        <v/>
      </c>
      <c r="M25" s="6"/>
      <c r="N25" s="19" t="str">
        <f t="shared" si="7"/>
        <v/>
      </c>
      <c r="O25" s="23" t="str">
        <f>IF(B25="","",TRIM(IF(COUNTIF('Registru comenzi'!$B$5:$B$304,B25)=0,"Comandă inexistentă în registru. ","")&amp;IF(AND(D25&lt;&gt;"",E25=""),"Cod necunoscut. ","")&amp;IF(N(G25)&lt;=0,"Lipsește cantitatea. ","")&amp;IF(N(M25)&gt;N(G25),"Livrat mai mult decât s-a comandat. ","")&amp;IF(N(I25)&gt;0.3,"Discount neobișnuit de mare. ","")))</f>
        <v/>
      </c>
    </row>
    <row r="26" spans="1:15" x14ac:dyDescent="0.2">
      <c r="A26" s="1" t="str">
        <f t="shared" si="0"/>
        <v/>
      </c>
      <c r="B26" s="17"/>
      <c r="C26" s="18" t="str">
        <f>IF(B26="","",COUNTIF(INDEX($B:$B,5):B26,B26))</f>
        <v/>
      </c>
      <c r="D26" s="17"/>
      <c r="E26" s="19" t="str">
        <f t="shared" si="1"/>
        <v/>
      </c>
      <c r="F26" s="18" t="str">
        <f t="shared" si="2"/>
        <v/>
      </c>
      <c r="G26" s="6"/>
      <c r="H26" s="20" t="str">
        <f t="shared" si="3"/>
        <v/>
      </c>
      <c r="I26" s="21"/>
      <c r="J26" s="22" t="str">
        <f t="shared" si="4"/>
        <v/>
      </c>
      <c r="K26" s="20" t="str">
        <f t="shared" si="5"/>
        <v/>
      </c>
      <c r="L26" s="20" t="str">
        <f t="shared" si="6"/>
        <v/>
      </c>
      <c r="M26" s="6"/>
      <c r="N26" s="19" t="str">
        <f t="shared" si="7"/>
        <v/>
      </c>
      <c r="O26" s="23" t="str">
        <f>IF(B26="","",TRIM(IF(COUNTIF('Registru comenzi'!$B$5:$B$304,B26)=0,"Comandă inexistentă în registru. ","")&amp;IF(AND(D26&lt;&gt;"",E26=""),"Cod necunoscut. ","")&amp;IF(N(G26)&lt;=0,"Lipsește cantitatea. ","")&amp;IF(N(M26)&gt;N(G26),"Livrat mai mult decât s-a comandat. ","")&amp;IF(N(I26)&gt;0.3,"Discount neobișnuit de mare. ","")))</f>
        <v/>
      </c>
    </row>
    <row r="27" spans="1:15" x14ac:dyDescent="0.2">
      <c r="A27" s="1" t="str">
        <f t="shared" si="0"/>
        <v/>
      </c>
      <c r="B27" s="17"/>
      <c r="C27" s="18" t="str">
        <f>IF(B27="","",COUNTIF(INDEX($B:$B,5):B27,B27))</f>
        <v/>
      </c>
      <c r="D27" s="17"/>
      <c r="E27" s="19" t="str">
        <f t="shared" si="1"/>
        <v/>
      </c>
      <c r="F27" s="18" t="str">
        <f t="shared" si="2"/>
        <v/>
      </c>
      <c r="G27" s="6"/>
      <c r="H27" s="20" t="str">
        <f t="shared" si="3"/>
        <v/>
      </c>
      <c r="I27" s="21"/>
      <c r="J27" s="22" t="str">
        <f t="shared" si="4"/>
        <v/>
      </c>
      <c r="K27" s="20" t="str">
        <f t="shared" si="5"/>
        <v/>
      </c>
      <c r="L27" s="20" t="str">
        <f t="shared" si="6"/>
        <v/>
      </c>
      <c r="M27" s="6"/>
      <c r="N27" s="19" t="str">
        <f t="shared" si="7"/>
        <v/>
      </c>
      <c r="O27" s="23" t="str">
        <f>IF(B27="","",TRIM(IF(COUNTIF('Registru comenzi'!$B$5:$B$304,B27)=0,"Comandă inexistentă în registru. ","")&amp;IF(AND(D27&lt;&gt;"",E27=""),"Cod necunoscut. ","")&amp;IF(N(G27)&lt;=0,"Lipsește cantitatea. ","")&amp;IF(N(M27)&gt;N(G27),"Livrat mai mult decât s-a comandat. ","")&amp;IF(N(I27)&gt;0.3,"Discount neobișnuit de mare. ","")))</f>
        <v/>
      </c>
    </row>
    <row r="28" spans="1:15" x14ac:dyDescent="0.2">
      <c r="A28" s="1" t="str">
        <f t="shared" si="0"/>
        <v/>
      </c>
      <c r="B28" s="17"/>
      <c r="C28" s="18" t="str">
        <f>IF(B28="","",COUNTIF(INDEX($B:$B,5):B28,B28))</f>
        <v/>
      </c>
      <c r="D28" s="17"/>
      <c r="E28" s="19" t="str">
        <f t="shared" si="1"/>
        <v/>
      </c>
      <c r="F28" s="18" t="str">
        <f t="shared" si="2"/>
        <v/>
      </c>
      <c r="G28" s="6"/>
      <c r="H28" s="20" t="str">
        <f t="shared" si="3"/>
        <v/>
      </c>
      <c r="I28" s="21"/>
      <c r="J28" s="22" t="str">
        <f t="shared" si="4"/>
        <v/>
      </c>
      <c r="K28" s="20" t="str">
        <f t="shared" si="5"/>
        <v/>
      </c>
      <c r="L28" s="20" t="str">
        <f t="shared" si="6"/>
        <v/>
      </c>
      <c r="M28" s="6"/>
      <c r="N28" s="19" t="str">
        <f t="shared" si="7"/>
        <v/>
      </c>
      <c r="O28" s="23" t="str">
        <f>IF(B28="","",TRIM(IF(COUNTIF('Registru comenzi'!$B$5:$B$304,B28)=0,"Comandă inexistentă în registru. ","")&amp;IF(AND(D28&lt;&gt;"",E28=""),"Cod necunoscut. ","")&amp;IF(N(G28)&lt;=0,"Lipsește cantitatea. ","")&amp;IF(N(M28)&gt;N(G28),"Livrat mai mult decât s-a comandat. ","")&amp;IF(N(I28)&gt;0.3,"Discount neobișnuit de mare. ","")))</f>
        <v/>
      </c>
    </row>
    <row r="29" spans="1:15" x14ac:dyDescent="0.2">
      <c r="A29" s="1" t="str">
        <f t="shared" si="0"/>
        <v/>
      </c>
      <c r="B29" s="17"/>
      <c r="C29" s="18" t="str">
        <f>IF(B29="","",COUNTIF(INDEX($B:$B,5):B29,B29))</f>
        <v/>
      </c>
      <c r="D29" s="17"/>
      <c r="E29" s="19" t="str">
        <f t="shared" si="1"/>
        <v/>
      </c>
      <c r="F29" s="18" t="str">
        <f t="shared" si="2"/>
        <v/>
      </c>
      <c r="G29" s="6"/>
      <c r="H29" s="20" t="str">
        <f t="shared" si="3"/>
        <v/>
      </c>
      <c r="I29" s="21"/>
      <c r="J29" s="22" t="str">
        <f t="shared" si="4"/>
        <v/>
      </c>
      <c r="K29" s="20" t="str">
        <f t="shared" si="5"/>
        <v/>
      </c>
      <c r="L29" s="20" t="str">
        <f t="shared" si="6"/>
        <v/>
      </c>
      <c r="M29" s="6"/>
      <c r="N29" s="19" t="str">
        <f t="shared" si="7"/>
        <v/>
      </c>
      <c r="O29" s="23" t="str">
        <f>IF(B29="","",TRIM(IF(COUNTIF('Registru comenzi'!$B$5:$B$304,B29)=0,"Comandă inexistentă în registru. ","")&amp;IF(AND(D29&lt;&gt;"",E29=""),"Cod necunoscut. ","")&amp;IF(N(G29)&lt;=0,"Lipsește cantitatea. ","")&amp;IF(N(M29)&gt;N(G29),"Livrat mai mult decât s-a comandat. ","")&amp;IF(N(I29)&gt;0.3,"Discount neobișnuit de mare. ","")))</f>
        <v/>
      </c>
    </row>
    <row r="30" spans="1:15" x14ac:dyDescent="0.2">
      <c r="A30" s="1" t="str">
        <f t="shared" si="0"/>
        <v/>
      </c>
      <c r="B30" s="17"/>
      <c r="C30" s="18" t="str">
        <f>IF(B30="","",COUNTIF(INDEX($B:$B,5):B30,B30))</f>
        <v/>
      </c>
      <c r="D30" s="17"/>
      <c r="E30" s="19" t="str">
        <f t="shared" si="1"/>
        <v/>
      </c>
      <c r="F30" s="18" t="str">
        <f t="shared" si="2"/>
        <v/>
      </c>
      <c r="G30" s="6"/>
      <c r="H30" s="20" t="str">
        <f t="shared" si="3"/>
        <v/>
      </c>
      <c r="I30" s="21"/>
      <c r="J30" s="22" t="str">
        <f t="shared" si="4"/>
        <v/>
      </c>
      <c r="K30" s="20" t="str">
        <f t="shared" si="5"/>
        <v/>
      </c>
      <c r="L30" s="20" t="str">
        <f t="shared" si="6"/>
        <v/>
      </c>
      <c r="M30" s="6"/>
      <c r="N30" s="19" t="str">
        <f t="shared" si="7"/>
        <v/>
      </c>
      <c r="O30" s="23" t="str">
        <f>IF(B30="","",TRIM(IF(COUNTIF('Registru comenzi'!$B$5:$B$304,B30)=0,"Comandă inexistentă în registru. ","")&amp;IF(AND(D30&lt;&gt;"",E30=""),"Cod necunoscut. ","")&amp;IF(N(G30)&lt;=0,"Lipsește cantitatea. ","")&amp;IF(N(M30)&gt;N(G30),"Livrat mai mult decât s-a comandat. ","")&amp;IF(N(I30)&gt;0.3,"Discount neobișnuit de mare. ","")))</f>
        <v/>
      </c>
    </row>
    <row r="31" spans="1:15" x14ac:dyDescent="0.2">
      <c r="A31" s="1" t="str">
        <f t="shared" si="0"/>
        <v/>
      </c>
      <c r="B31" s="17"/>
      <c r="C31" s="18" t="str">
        <f>IF(B31="","",COUNTIF(INDEX($B:$B,5):B31,B31))</f>
        <v/>
      </c>
      <c r="D31" s="17"/>
      <c r="E31" s="19" t="str">
        <f t="shared" si="1"/>
        <v/>
      </c>
      <c r="F31" s="18" t="str">
        <f t="shared" si="2"/>
        <v/>
      </c>
      <c r="G31" s="6"/>
      <c r="H31" s="20" t="str">
        <f t="shared" si="3"/>
        <v/>
      </c>
      <c r="I31" s="21"/>
      <c r="J31" s="22" t="str">
        <f t="shared" si="4"/>
        <v/>
      </c>
      <c r="K31" s="20" t="str">
        <f t="shared" si="5"/>
        <v/>
      </c>
      <c r="L31" s="20" t="str">
        <f t="shared" si="6"/>
        <v/>
      </c>
      <c r="M31" s="6"/>
      <c r="N31" s="19" t="str">
        <f t="shared" si="7"/>
        <v/>
      </c>
      <c r="O31" s="23" t="str">
        <f>IF(B31="","",TRIM(IF(COUNTIF('Registru comenzi'!$B$5:$B$304,B31)=0,"Comandă inexistentă în registru. ","")&amp;IF(AND(D31&lt;&gt;"",E31=""),"Cod necunoscut. ","")&amp;IF(N(G31)&lt;=0,"Lipsește cantitatea. ","")&amp;IF(N(M31)&gt;N(G31),"Livrat mai mult decât s-a comandat. ","")&amp;IF(N(I31)&gt;0.3,"Discount neobișnuit de mare. ","")))</f>
        <v/>
      </c>
    </row>
    <row r="32" spans="1:15" x14ac:dyDescent="0.2">
      <c r="A32" s="1" t="str">
        <f t="shared" si="0"/>
        <v/>
      </c>
      <c r="B32" s="17"/>
      <c r="C32" s="18" t="str">
        <f>IF(B32="","",COUNTIF(INDEX($B:$B,5):B32,B32))</f>
        <v/>
      </c>
      <c r="D32" s="17"/>
      <c r="E32" s="19" t="str">
        <f t="shared" si="1"/>
        <v/>
      </c>
      <c r="F32" s="18" t="str">
        <f t="shared" si="2"/>
        <v/>
      </c>
      <c r="G32" s="6"/>
      <c r="H32" s="20" t="str">
        <f t="shared" si="3"/>
        <v/>
      </c>
      <c r="I32" s="21"/>
      <c r="J32" s="22" t="str">
        <f t="shared" si="4"/>
        <v/>
      </c>
      <c r="K32" s="20" t="str">
        <f t="shared" si="5"/>
        <v/>
      </c>
      <c r="L32" s="20" t="str">
        <f t="shared" si="6"/>
        <v/>
      </c>
      <c r="M32" s="6"/>
      <c r="N32" s="19" t="str">
        <f t="shared" si="7"/>
        <v/>
      </c>
      <c r="O32" s="23" t="str">
        <f>IF(B32="","",TRIM(IF(COUNTIF('Registru comenzi'!$B$5:$B$304,B32)=0,"Comandă inexistentă în registru. ","")&amp;IF(AND(D32&lt;&gt;"",E32=""),"Cod necunoscut. ","")&amp;IF(N(G32)&lt;=0,"Lipsește cantitatea. ","")&amp;IF(N(M32)&gt;N(G32),"Livrat mai mult decât s-a comandat. ","")&amp;IF(N(I32)&gt;0.3,"Discount neobișnuit de mare. ","")))</f>
        <v/>
      </c>
    </row>
    <row r="33" spans="1:15" x14ac:dyDescent="0.2">
      <c r="A33" s="1" t="str">
        <f t="shared" si="0"/>
        <v/>
      </c>
      <c r="B33" s="17"/>
      <c r="C33" s="18" t="str">
        <f>IF(B33="","",COUNTIF(INDEX($B:$B,5):B33,B33))</f>
        <v/>
      </c>
      <c r="D33" s="17"/>
      <c r="E33" s="19" t="str">
        <f t="shared" si="1"/>
        <v/>
      </c>
      <c r="F33" s="18" t="str">
        <f t="shared" si="2"/>
        <v/>
      </c>
      <c r="G33" s="6"/>
      <c r="H33" s="20" t="str">
        <f t="shared" si="3"/>
        <v/>
      </c>
      <c r="I33" s="21"/>
      <c r="J33" s="22" t="str">
        <f t="shared" si="4"/>
        <v/>
      </c>
      <c r="K33" s="20" t="str">
        <f t="shared" si="5"/>
        <v/>
      </c>
      <c r="L33" s="20" t="str">
        <f t="shared" si="6"/>
        <v/>
      </c>
      <c r="M33" s="6"/>
      <c r="N33" s="19" t="str">
        <f t="shared" si="7"/>
        <v/>
      </c>
      <c r="O33" s="23" t="str">
        <f>IF(B33="","",TRIM(IF(COUNTIF('Registru comenzi'!$B$5:$B$304,B33)=0,"Comandă inexistentă în registru. ","")&amp;IF(AND(D33&lt;&gt;"",E33=""),"Cod necunoscut. ","")&amp;IF(N(G33)&lt;=0,"Lipsește cantitatea. ","")&amp;IF(N(M33)&gt;N(G33),"Livrat mai mult decât s-a comandat. ","")&amp;IF(N(I33)&gt;0.3,"Discount neobișnuit de mare. ","")))</f>
        <v/>
      </c>
    </row>
    <row r="34" spans="1:15" x14ac:dyDescent="0.2">
      <c r="A34" s="1" t="str">
        <f t="shared" si="0"/>
        <v/>
      </c>
      <c r="B34" s="17"/>
      <c r="C34" s="18" t="str">
        <f>IF(B34="","",COUNTIF(INDEX($B:$B,5):B34,B34))</f>
        <v/>
      </c>
      <c r="D34" s="17"/>
      <c r="E34" s="19" t="str">
        <f t="shared" si="1"/>
        <v/>
      </c>
      <c r="F34" s="18" t="str">
        <f t="shared" si="2"/>
        <v/>
      </c>
      <c r="G34" s="6"/>
      <c r="H34" s="20" t="str">
        <f t="shared" si="3"/>
        <v/>
      </c>
      <c r="I34" s="21"/>
      <c r="J34" s="22" t="str">
        <f t="shared" si="4"/>
        <v/>
      </c>
      <c r="K34" s="20" t="str">
        <f t="shared" si="5"/>
        <v/>
      </c>
      <c r="L34" s="20" t="str">
        <f t="shared" si="6"/>
        <v/>
      </c>
      <c r="M34" s="6"/>
      <c r="N34" s="19" t="str">
        <f t="shared" si="7"/>
        <v/>
      </c>
      <c r="O34" s="23" t="str">
        <f>IF(B34="","",TRIM(IF(COUNTIF('Registru comenzi'!$B$5:$B$304,B34)=0,"Comandă inexistentă în registru. ","")&amp;IF(AND(D34&lt;&gt;"",E34=""),"Cod necunoscut. ","")&amp;IF(N(G34)&lt;=0,"Lipsește cantitatea. ","")&amp;IF(N(M34)&gt;N(G34),"Livrat mai mult decât s-a comandat. ","")&amp;IF(N(I34)&gt;0.3,"Discount neobișnuit de mare. ","")))</f>
        <v/>
      </c>
    </row>
    <row r="35" spans="1:15" x14ac:dyDescent="0.2">
      <c r="A35" s="1" t="str">
        <f t="shared" si="0"/>
        <v/>
      </c>
      <c r="B35" s="17"/>
      <c r="C35" s="18" t="str">
        <f>IF(B35="","",COUNTIF(INDEX($B:$B,5):B35,B35))</f>
        <v/>
      </c>
      <c r="D35" s="17"/>
      <c r="E35" s="19" t="str">
        <f t="shared" si="1"/>
        <v/>
      </c>
      <c r="F35" s="18" t="str">
        <f t="shared" si="2"/>
        <v/>
      </c>
      <c r="G35" s="6"/>
      <c r="H35" s="20" t="str">
        <f t="shared" si="3"/>
        <v/>
      </c>
      <c r="I35" s="21"/>
      <c r="J35" s="22" t="str">
        <f t="shared" si="4"/>
        <v/>
      </c>
      <c r="K35" s="20" t="str">
        <f t="shared" si="5"/>
        <v/>
      </c>
      <c r="L35" s="20" t="str">
        <f t="shared" si="6"/>
        <v/>
      </c>
      <c r="M35" s="6"/>
      <c r="N35" s="19" t="str">
        <f t="shared" si="7"/>
        <v/>
      </c>
      <c r="O35" s="23" t="str">
        <f>IF(B35="","",TRIM(IF(COUNTIF('Registru comenzi'!$B$5:$B$304,B35)=0,"Comandă inexistentă în registru. ","")&amp;IF(AND(D35&lt;&gt;"",E35=""),"Cod necunoscut. ","")&amp;IF(N(G35)&lt;=0,"Lipsește cantitatea. ","")&amp;IF(N(M35)&gt;N(G35),"Livrat mai mult decât s-a comandat. ","")&amp;IF(N(I35)&gt;0.3,"Discount neobișnuit de mare. ","")))</f>
        <v/>
      </c>
    </row>
    <row r="36" spans="1:15" x14ac:dyDescent="0.2">
      <c r="A36" s="1" t="str">
        <f t="shared" si="0"/>
        <v/>
      </c>
      <c r="B36" s="17"/>
      <c r="C36" s="18" t="str">
        <f>IF(B36="","",COUNTIF(INDEX($B:$B,5):B36,B36))</f>
        <v/>
      </c>
      <c r="D36" s="17"/>
      <c r="E36" s="19" t="str">
        <f t="shared" si="1"/>
        <v/>
      </c>
      <c r="F36" s="18" t="str">
        <f t="shared" si="2"/>
        <v/>
      </c>
      <c r="G36" s="6"/>
      <c r="H36" s="20" t="str">
        <f t="shared" si="3"/>
        <v/>
      </c>
      <c r="I36" s="21"/>
      <c r="J36" s="22" t="str">
        <f t="shared" si="4"/>
        <v/>
      </c>
      <c r="K36" s="20" t="str">
        <f t="shared" si="5"/>
        <v/>
      </c>
      <c r="L36" s="20" t="str">
        <f t="shared" si="6"/>
        <v/>
      </c>
      <c r="M36" s="6"/>
      <c r="N36" s="19" t="str">
        <f t="shared" si="7"/>
        <v/>
      </c>
      <c r="O36" s="23" t="str">
        <f>IF(B36="","",TRIM(IF(COUNTIF('Registru comenzi'!$B$5:$B$304,B36)=0,"Comandă inexistentă în registru. ","")&amp;IF(AND(D36&lt;&gt;"",E36=""),"Cod necunoscut. ","")&amp;IF(N(G36)&lt;=0,"Lipsește cantitatea. ","")&amp;IF(N(M36)&gt;N(G36),"Livrat mai mult decât s-a comandat. ","")&amp;IF(N(I36)&gt;0.3,"Discount neobișnuit de mare. ","")))</f>
        <v/>
      </c>
    </row>
    <row r="37" spans="1:15" x14ac:dyDescent="0.2">
      <c r="A37" s="1" t="str">
        <f t="shared" si="0"/>
        <v/>
      </c>
      <c r="B37" s="17"/>
      <c r="C37" s="18" t="str">
        <f>IF(B37="","",COUNTIF(INDEX($B:$B,5):B37,B37))</f>
        <v/>
      </c>
      <c r="D37" s="17"/>
      <c r="E37" s="19" t="str">
        <f t="shared" si="1"/>
        <v/>
      </c>
      <c r="F37" s="18" t="str">
        <f t="shared" si="2"/>
        <v/>
      </c>
      <c r="G37" s="6"/>
      <c r="H37" s="20" t="str">
        <f t="shared" si="3"/>
        <v/>
      </c>
      <c r="I37" s="21"/>
      <c r="J37" s="22" t="str">
        <f t="shared" si="4"/>
        <v/>
      </c>
      <c r="K37" s="20" t="str">
        <f t="shared" si="5"/>
        <v/>
      </c>
      <c r="L37" s="20" t="str">
        <f t="shared" si="6"/>
        <v/>
      </c>
      <c r="M37" s="6"/>
      <c r="N37" s="19" t="str">
        <f t="shared" si="7"/>
        <v/>
      </c>
      <c r="O37" s="23" t="str">
        <f>IF(B37="","",TRIM(IF(COUNTIF('Registru comenzi'!$B$5:$B$304,B37)=0,"Comandă inexistentă în registru. ","")&amp;IF(AND(D37&lt;&gt;"",E37=""),"Cod necunoscut. ","")&amp;IF(N(G37)&lt;=0,"Lipsește cantitatea. ","")&amp;IF(N(M37)&gt;N(G37),"Livrat mai mult decât s-a comandat. ","")&amp;IF(N(I37)&gt;0.3,"Discount neobișnuit de mare. ","")))</f>
        <v/>
      </c>
    </row>
    <row r="38" spans="1:15" x14ac:dyDescent="0.2">
      <c r="A38" s="1" t="str">
        <f t="shared" si="0"/>
        <v/>
      </c>
      <c r="B38" s="17"/>
      <c r="C38" s="18" t="str">
        <f>IF(B38="","",COUNTIF(INDEX($B:$B,5):B38,B38))</f>
        <v/>
      </c>
      <c r="D38" s="17"/>
      <c r="E38" s="19" t="str">
        <f t="shared" si="1"/>
        <v/>
      </c>
      <c r="F38" s="18" t="str">
        <f t="shared" si="2"/>
        <v/>
      </c>
      <c r="G38" s="6"/>
      <c r="H38" s="20" t="str">
        <f t="shared" si="3"/>
        <v/>
      </c>
      <c r="I38" s="21"/>
      <c r="J38" s="22" t="str">
        <f t="shared" si="4"/>
        <v/>
      </c>
      <c r="K38" s="20" t="str">
        <f t="shared" si="5"/>
        <v/>
      </c>
      <c r="L38" s="20" t="str">
        <f t="shared" si="6"/>
        <v/>
      </c>
      <c r="M38" s="6"/>
      <c r="N38" s="19" t="str">
        <f t="shared" si="7"/>
        <v/>
      </c>
      <c r="O38" s="23" t="str">
        <f>IF(B38="","",TRIM(IF(COUNTIF('Registru comenzi'!$B$5:$B$304,B38)=0,"Comandă inexistentă în registru. ","")&amp;IF(AND(D38&lt;&gt;"",E38=""),"Cod necunoscut. ","")&amp;IF(N(G38)&lt;=0,"Lipsește cantitatea. ","")&amp;IF(N(M38)&gt;N(G38),"Livrat mai mult decât s-a comandat. ","")&amp;IF(N(I38)&gt;0.3,"Discount neobișnuit de mare. ","")))</f>
        <v/>
      </c>
    </row>
    <row r="39" spans="1:15" x14ac:dyDescent="0.2">
      <c r="A39" s="1" t="str">
        <f t="shared" si="0"/>
        <v/>
      </c>
      <c r="B39" s="17"/>
      <c r="C39" s="18" t="str">
        <f>IF(B39="","",COUNTIF(INDEX($B:$B,5):B39,B39))</f>
        <v/>
      </c>
      <c r="D39" s="17"/>
      <c r="E39" s="19" t="str">
        <f t="shared" si="1"/>
        <v/>
      </c>
      <c r="F39" s="18" t="str">
        <f t="shared" si="2"/>
        <v/>
      </c>
      <c r="G39" s="6"/>
      <c r="H39" s="20" t="str">
        <f t="shared" si="3"/>
        <v/>
      </c>
      <c r="I39" s="21"/>
      <c r="J39" s="22" t="str">
        <f t="shared" si="4"/>
        <v/>
      </c>
      <c r="K39" s="20" t="str">
        <f t="shared" si="5"/>
        <v/>
      </c>
      <c r="L39" s="20" t="str">
        <f t="shared" si="6"/>
        <v/>
      </c>
      <c r="M39" s="6"/>
      <c r="N39" s="19" t="str">
        <f t="shared" si="7"/>
        <v/>
      </c>
      <c r="O39" s="23" t="str">
        <f>IF(B39="","",TRIM(IF(COUNTIF('Registru comenzi'!$B$5:$B$304,B39)=0,"Comandă inexistentă în registru. ","")&amp;IF(AND(D39&lt;&gt;"",E39=""),"Cod necunoscut. ","")&amp;IF(N(G39)&lt;=0,"Lipsește cantitatea. ","")&amp;IF(N(M39)&gt;N(G39),"Livrat mai mult decât s-a comandat. ","")&amp;IF(N(I39)&gt;0.3,"Discount neobișnuit de mare. ","")))</f>
        <v/>
      </c>
    </row>
    <row r="40" spans="1:15" x14ac:dyDescent="0.2">
      <c r="A40" s="1" t="str">
        <f t="shared" si="0"/>
        <v/>
      </c>
      <c r="B40" s="17"/>
      <c r="C40" s="18" t="str">
        <f>IF(B40="","",COUNTIF(INDEX($B:$B,5):B40,B40))</f>
        <v/>
      </c>
      <c r="D40" s="17"/>
      <c r="E40" s="19" t="str">
        <f t="shared" si="1"/>
        <v/>
      </c>
      <c r="F40" s="18" t="str">
        <f t="shared" si="2"/>
        <v/>
      </c>
      <c r="G40" s="6"/>
      <c r="H40" s="20" t="str">
        <f t="shared" si="3"/>
        <v/>
      </c>
      <c r="I40" s="21"/>
      <c r="J40" s="22" t="str">
        <f t="shared" si="4"/>
        <v/>
      </c>
      <c r="K40" s="20" t="str">
        <f t="shared" si="5"/>
        <v/>
      </c>
      <c r="L40" s="20" t="str">
        <f t="shared" si="6"/>
        <v/>
      </c>
      <c r="M40" s="6"/>
      <c r="N40" s="19" t="str">
        <f t="shared" si="7"/>
        <v/>
      </c>
      <c r="O40" s="23" t="str">
        <f>IF(B40="","",TRIM(IF(COUNTIF('Registru comenzi'!$B$5:$B$304,B40)=0,"Comandă inexistentă în registru. ","")&amp;IF(AND(D40&lt;&gt;"",E40=""),"Cod necunoscut. ","")&amp;IF(N(G40)&lt;=0,"Lipsește cantitatea. ","")&amp;IF(N(M40)&gt;N(G40),"Livrat mai mult decât s-a comandat. ","")&amp;IF(N(I40)&gt;0.3,"Discount neobișnuit de mare. ","")))</f>
        <v/>
      </c>
    </row>
    <row r="41" spans="1:15" x14ac:dyDescent="0.2">
      <c r="A41" s="1" t="str">
        <f t="shared" si="0"/>
        <v/>
      </c>
      <c r="B41" s="17"/>
      <c r="C41" s="18" t="str">
        <f>IF(B41="","",COUNTIF(INDEX($B:$B,5):B41,B41))</f>
        <v/>
      </c>
      <c r="D41" s="17"/>
      <c r="E41" s="19" t="str">
        <f t="shared" si="1"/>
        <v/>
      </c>
      <c r="F41" s="18" t="str">
        <f t="shared" si="2"/>
        <v/>
      </c>
      <c r="G41" s="6"/>
      <c r="H41" s="20" t="str">
        <f t="shared" si="3"/>
        <v/>
      </c>
      <c r="I41" s="21"/>
      <c r="J41" s="22" t="str">
        <f t="shared" si="4"/>
        <v/>
      </c>
      <c r="K41" s="20" t="str">
        <f t="shared" si="5"/>
        <v/>
      </c>
      <c r="L41" s="20" t="str">
        <f t="shared" si="6"/>
        <v/>
      </c>
      <c r="M41" s="6"/>
      <c r="N41" s="19" t="str">
        <f t="shared" si="7"/>
        <v/>
      </c>
      <c r="O41" s="23" t="str">
        <f>IF(B41="","",TRIM(IF(COUNTIF('Registru comenzi'!$B$5:$B$304,B41)=0,"Comandă inexistentă în registru. ","")&amp;IF(AND(D41&lt;&gt;"",E41=""),"Cod necunoscut. ","")&amp;IF(N(G41)&lt;=0,"Lipsește cantitatea. ","")&amp;IF(N(M41)&gt;N(G41),"Livrat mai mult decât s-a comandat. ","")&amp;IF(N(I41)&gt;0.3,"Discount neobișnuit de mare. ","")))</f>
        <v/>
      </c>
    </row>
    <row r="42" spans="1:15" x14ac:dyDescent="0.2">
      <c r="A42" s="1" t="str">
        <f t="shared" si="0"/>
        <v/>
      </c>
      <c r="B42" s="17"/>
      <c r="C42" s="18" t="str">
        <f>IF(B42="","",COUNTIF(INDEX($B:$B,5):B42,B42))</f>
        <v/>
      </c>
      <c r="D42" s="17"/>
      <c r="E42" s="19" t="str">
        <f t="shared" si="1"/>
        <v/>
      </c>
      <c r="F42" s="18" t="str">
        <f t="shared" si="2"/>
        <v/>
      </c>
      <c r="G42" s="6"/>
      <c r="H42" s="20" t="str">
        <f t="shared" si="3"/>
        <v/>
      </c>
      <c r="I42" s="21"/>
      <c r="J42" s="22" t="str">
        <f t="shared" si="4"/>
        <v/>
      </c>
      <c r="K42" s="20" t="str">
        <f t="shared" si="5"/>
        <v/>
      </c>
      <c r="L42" s="20" t="str">
        <f t="shared" si="6"/>
        <v/>
      </c>
      <c r="M42" s="6"/>
      <c r="N42" s="19" t="str">
        <f t="shared" si="7"/>
        <v/>
      </c>
      <c r="O42" s="23" t="str">
        <f>IF(B42="","",TRIM(IF(COUNTIF('Registru comenzi'!$B$5:$B$304,B42)=0,"Comandă inexistentă în registru. ","")&amp;IF(AND(D42&lt;&gt;"",E42=""),"Cod necunoscut. ","")&amp;IF(N(G42)&lt;=0,"Lipsește cantitatea. ","")&amp;IF(N(M42)&gt;N(G42),"Livrat mai mult decât s-a comandat. ","")&amp;IF(N(I42)&gt;0.3,"Discount neobișnuit de mare. ","")))</f>
        <v/>
      </c>
    </row>
    <row r="43" spans="1:15" x14ac:dyDescent="0.2">
      <c r="A43" s="1" t="str">
        <f t="shared" si="0"/>
        <v/>
      </c>
      <c r="B43" s="17"/>
      <c r="C43" s="18" t="str">
        <f>IF(B43="","",COUNTIF(INDEX($B:$B,5):B43,B43))</f>
        <v/>
      </c>
      <c r="D43" s="17"/>
      <c r="E43" s="19" t="str">
        <f t="shared" si="1"/>
        <v/>
      </c>
      <c r="F43" s="18" t="str">
        <f t="shared" si="2"/>
        <v/>
      </c>
      <c r="G43" s="6"/>
      <c r="H43" s="20" t="str">
        <f t="shared" si="3"/>
        <v/>
      </c>
      <c r="I43" s="21"/>
      <c r="J43" s="22" t="str">
        <f t="shared" si="4"/>
        <v/>
      </c>
      <c r="K43" s="20" t="str">
        <f t="shared" si="5"/>
        <v/>
      </c>
      <c r="L43" s="20" t="str">
        <f t="shared" si="6"/>
        <v/>
      </c>
      <c r="M43" s="6"/>
      <c r="N43" s="19" t="str">
        <f t="shared" si="7"/>
        <v/>
      </c>
      <c r="O43" s="23" t="str">
        <f>IF(B43="","",TRIM(IF(COUNTIF('Registru comenzi'!$B$5:$B$304,B43)=0,"Comandă inexistentă în registru. ","")&amp;IF(AND(D43&lt;&gt;"",E43=""),"Cod necunoscut. ","")&amp;IF(N(G43)&lt;=0,"Lipsește cantitatea. ","")&amp;IF(N(M43)&gt;N(G43),"Livrat mai mult decât s-a comandat. ","")&amp;IF(N(I43)&gt;0.3,"Discount neobișnuit de mare. ","")))</f>
        <v/>
      </c>
    </row>
    <row r="44" spans="1:15" x14ac:dyDescent="0.2">
      <c r="A44" s="1" t="str">
        <f t="shared" si="0"/>
        <v/>
      </c>
      <c r="B44" s="17"/>
      <c r="C44" s="18" t="str">
        <f>IF(B44="","",COUNTIF(INDEX($B:$B,5):B44,B44))</f>
        <v/>
      </c>
      <c r="D44" s="17"/>
      <c r="E44" s="19" t="str">
        <f t="shared" si="1"/>
        <v/>
      </c>
      <c r="F44" s="18" t="str">
        <f t="shared" si="2"/>
        <v/>
      </c>
      <c r="G44" s="6"/>
      <c r="H44" s="20" t="str">
        <f t="shared" si="3"/>
        <v/>
      </c>
      <c r="I44" s="21"/>
      <c r="J44" s="22" t="str">
        <f t="shared" si="4"/>
        <v/>
      </c>
      <c r="K44" s="20" t="str">
        <f t="shared" si="5"/>
        <v/>
      </c>
      <c r="L44" s="20" t="str">
        <f t="shared" si="6"/>
        <v/>
      </c>
      <c r="M44" s="6"/>
      <c r="N44" s="19" t="str">
        <f t="shared" si="7"/>
        <v/>
      </c>
      <c r="O44" s="23" t="str">
        <f>IF(B44="","",TRIM(IF(COUNTIF('Registru comenzi'!$B$5:$B$304,B44)=0,"Comandă inexistentă în registru. ","")&amp;IF(AND(D44&lt;&gt;"",E44=""),"Cod necunoscut. ","")&amp;IF(N(G44)&lt;=0,"Lipsește cantitatea. ","")&amp;IF(N(M44)&gt;N(G44),"Livrat mai mult decât s-a comandat. ","")&amp;IF(N(I44)&gt;0.3,"Discount neobișnuit de mare. ","")))</f>
        <v/>
      </c>
    </row>
    <row r="45" spans="1:15" x14ac:dyDescent="0.2">
      <c r="A45" s="1" t="str">
        <f t="shared" si="0"/>
        <v/>
      </c>
      <c r="B45" s="17"/>
      <c r="C45" s="18" t="str">
        <f>IF(B45="","",COUNTIF(INDEX($B:$B,5):B45,B45))</f>
        <v/>
      </c>
      <c r="D45" s="17"/>
      <c r="E45" s="19" t="str">
        <f t="shared" si="1"/>
        <v/>
      </c>
      <c r="F45" s="18" t="str">
        <f t="shared" si="2"/>
        <v/>
      </c>
      <c r="G45" s="6"/>
      <c r="H45" s="20" t="str">
        <f t="shared" si="3"/>
        <v/>
      </c>
      <c r="I45" s="21"/>
      <c r="J45" s="22" t="str">
        <f t="shared" si="4"/>
        <v/>
      </c>
      <c r="K45" s="20" t="str">
        <f t="shared" si="5"/>
        <v/>
      </c>
      <c r="L45" s="20" t="str">
        <f t="shared" si="6"/>
        <v/>
      </c>
      <c r="M45" s="6"/>
      <c r="N45" s="19" t="str">
        <f t="shared" si="7"/>
        <v/>
      </c>
      <c r="O45" s="23" t="str">
        <f>IF(B45="","",TRIM(IF(COUNTIF('Registru comenzi'!$B$5:$B$304,B45)=0,"Comandă inexistentă în registru. ","")&amp;IF(AND(D45&lt;&gt;"",E45=""),"Cod necunoscut. ","")&amp;IF(N(G45)&lt;=0,"Lipsește cantitatea. ","")&amp;IF(N(M45)&gt;N(G45),"Livrat mai mult decât s-a comandat. ","")&amp;IF(N(I45)&gt;0.3,"Discount neobișnuit de mare. ","")))</f>
        <v/>
      </c>
    </row>
    <row r="46" spans="1:15" x14ac:dyDescent="0.2">
      <c r="A46" s="1" t="str">
        <f t="shared" si="0"/>
        <v/>
      </c>
      <c r="B46" s="17"/>
      <c r="C46" s="18" t="str">
        <f>IF(B46="","",COUNTIF(INDEX($B:$B,5):B46,B46))</f>
        <v/>
      </c>
      <c r="D46" s="17"/>
      <c r="E46" s="19" t="str">
        <f t="shared" si="1"/>
        <v/>
      </c>
      <c r="F46" s="18" t="str">
        <f t="shared" si="2"/>
        <v/>
      </c>
      <c r="G46" s="6"/>
      <c r="H46" s="20" t="str">
        <f t="shared" si="3"/>
        <v/>
      </c>
      <c r="I46" s="21"/>
      <c r="J46" s="22" t="str">
        <f t="shared" si="4"/>
        <v/>
      </c>
      <c r="K46" s="20" t="str">
        <f t="shared" si="5"/>
        <v/>
      </c>
      <c r="L46" s="20" t="str">
        <f t="shared" si="6"/>
        <v/>
      </c>
      <c r="M46" s="6"/>
      <c r="N46" s="19" t="str">
        <f t="shared" si="7"/>
        <v/>
      </c>
      <c r="O46" s="23" t="str">
        <f>IF(B46="","",TRIM(IF(COUNTIF('Registru comenzi'!$B$5:$B$304,B46)=0,"Comandă inexistentă în registru. ","")&amp;IF(AND(D46&lt;&gt;"",E46=""),"Cod necunoscut. ","")&amp;IF(N(G46)&lt;=0,"Lipsește cantitatea. ","")&amp;IF(N(M46)&gt;N(G46),"Livrat mai mult decât s-a comandat. ","")&amp;IF(N(I46)&gt;0.3,"Discount neobișnuit de mare. ","")))</f>
        <v/>
      </c>
    </row>
    <row r="47" spans="1:15" x14ac:dyDescent="0.2">
      <c r="A47" s="1" t="str">
        <f t="shared" si="0"/>
        <v/>
      </c>
      <c r="B47" s="17"/>
      <c r="C47" s="18" t="str">
        <f>IF(B47="","",COUNTIF(INDEX($B:$B,5):B47,B47))</f>
        <v/>
      </c>
      <c r="D47" s="17"/>
      <c r="E47" s="19" t="str">
        <f t="shared" si="1"/>
        <v/>
      </c>
      <c r="F47" s="18" t="str">
        <f t="shared" si="2"/>
        <v/>
      </c>
      <c r="G47" s="6"/>
      <c r="H47" s="20" t="str">
        <f t="shared" si="3"/>
        <v/>
      </c>
      <c r="I47" s="21"/>
      <c r="J47" s="22" t="str">
        <f t="shared" si="4"/>
        <v/>
      </c>
      <c r="K47" s="20" t="str">
        <f t="shared" si="5"/>
        <v/>
      </c>
      <c r="L47" s="20" t="str">
        <f t="shared" si="6"/>
        <v/>
      </c>
      <c r="M47" s="6"/>
      <c r="N47" s="19" t="str">
        <f t="shared" si="7"/>
        <v/>
      </c>
      <c r="O47" s="23" t="str">
        <f>IF(B47="","",TRIM(IF(COUNTIF('Registru comenzi'!$B$5:$B$304,B47)=0,"Comandă inexistentă în registru. ","")&amp;IF(AND(D47&lt;&gt;"",E47=""),"Cod necunoscut. ","")&amp;IF(N(G47)&lt;=0,"Lipsește cantitatea. ","")&amp;IF(N(M47)&gt;N(G47),"Livrat mai mult decât s-a comandat. ","")&amp;IF(N(I47)&gt;0.3,"Discount neobișnuit de mare. ","")))</f>
        <v/>
      </c>
    </row>
    <row r="48" spans="1:15" x14ac:dyDescent="0.2">
      <c r="A48" s="1" t="str">
        <f t="shared" si="0"/>
        <v/>
      </c>
      <c r="B48" s="17"/>
      <c r="C48" s="18" t="str">
        <f>IF(B48="","",COUNTIF(INDEX($B:$B,5):B48,B48))</f>
        <v/>
      </c>
      <c r="D48" s="17"/>
      <c r="E48" s="19" t="str">
        <f t="shared" si="1"/>
        <v/>
      </c>
      <c r="F48" s="18" t="str">
        <f t="shared" si="2"/>
        <v/>
      </c>
      <c r="G48" s="6"/>
      <c r="H48" s="20" t="str">
        <f t="shared" si="3"/>
        <v/>
      </c>
      <c r="I48" s="21"/>
      <c r="J48" s="22" t="str">
        <f t="shared" si="4"/>
        <v/>
      </c>
      <c r="K48" s="20" t="str">
        <f t="shared" si="5"/>
        <v/>
      </c>
      <c r="L48" s="20" t="str">
        <f t="shared" si="6"/>
        <v/>
      </c>
      <c r="M48" s="6"/>
      <c r="N48" s="19" t="str">
        <f t="shared" si="7"/>
        <v/>
      </c>
      <c r="O48" s="23" t="str">
        <f>IF(B48="","",TRIM(IF(COUNTIF('Registru comenzi'!$B$5:$B$304,B48)=0,"Comandă inexistentă în registru. ","")&amp;IF(AND(D48&lt;&gt;"",E48=""),"Cod necunoscut. ","")&amp;IF(N(G48)&lt;=0,"Lipsește cantitatea. ","")&amp;IF(N(M48)&gt;N(G48),"Livrat mai mult decât s-a comandat. ","")&amp;IF(N(I48)&gt;0.3,"Discount neobișnuit de mare. ","")))</f>
        <v/>
      </c>
    </row>
    <row r="49" spans="1:15" x14ac:dyDescent="0.2">
      <c r="A49" s="1" t="str">
        <f t="shared" si="0"/>
        <v/>
      </c>
      <c r="B49" s="17"/>
      <c r="C49" s="18" t="str">
        <f>IF(B49="","",COUNTIF(INDEX($B:$B,5):B49,B49))</f>
        <v/>
      </c>
      <c r="D49" s="17"/>
      <c r="E49" s="19" t="str">
        <f t="shared" si="1"/>
        <v/>
      </c>
      <c r="F49" s="18" t="str">
        <f t="shared" si="2"/>
        <v/>
      </c>
      <c r="G49" s="6"/>
      <c r="H49" s="20" t="str">
        <f t="shared" si="3"/>
        <v/>
      </c>
      <c r="I49" s="21"/>
      <c r="J49" s="22" t="str">
        <f t="shared" si="4"/>
        <v/>
      </c>
      <c r="K49" s="20" t="str">
        <f t="shared" si="5"/>
        <v/>
      </c>
      <c r="L49" s="20" t="str">
        <f t="shared" si="6"/>
        <v/>
      </c>
      <c r="M49" s="6"/>
      <c r="N49" s="19" t="str">
        <f t="shared" si="7"/>
        <v/>
      </c>
      <c r="O49" s="23" t="str">
        <f>IF(B49="","",TRIM(IF(COUNTIF('Registru comenzi'!$B$5:$B$304,B49)=0,"Comandă inexistentă în registru. ","")&amp;IF(AND(D49&lt;&gt;"",E49=""),"Cod necunoscut. ","")&amp;IF(N(G49)&lt;=0,"Lipsește cantitatea. ","")&amp;IF(N(M49)&gt;N(G49),"Livrat mai mult decât s-a comandat. ","")&amp;IF(N(I49)&gt;0.3,"Discount neobișnuit de mare. ","")))</f>
        <v/>
      </c>
    </row>
    <row r="50" spans="1:15" x14ac:dyDescent="0.2">
      <c r="A50" s="1" t="str">
        <f t="shared" si="0"/>
        <v/>
      </c>
      <c r="B50" s="17"/>
      <c r="C50" s="18" t="str">
        <f>IF(B50="","",COUNTIF(INDEX($B:$B,5):B50,B50))</f>
        <v/>
      </c>
      <c r="D50" s="17"/>
      <c r="E50" s="19" t="str">
        <f t="shared" si="1"/>
        <v/>
      </c>
      <c r="F50" s="18" t="str">
        <f t="shared" si="2"/>
        <v/>
      </c>
      <c r="G50" s="6"/>
      <c r="H50" s="20" t="str">
        <f t="shared" si="3"/>
        <v/>
      </c>
      <c r="I50" s="21"/>
      <c r="J50" s="22" t="str">
        <f t="shared" si="4"/>
        <v/>
      </c>
      <c r="K50" s="20" t="str">
        <f t="shared" si="5"/>
        <v/>
      </c>
      <c r="L50" s="20" t="str">
        <f t="shared" si="6"/>
        <v/>
      </c>
      <c r="M50" s="6"/>
      <c r="N50" s="19" t="str">
        <f t="shared" si="7"/>
        <v/>
      </c>
      <c r="O50" s="23" t="str">
        <f>IF(B50="","",TRIM(IF(COUNTIF('Registru comenzi'!$B$5:$B$304,B50)=0,"Comandă inexistentă în registru. ","")&amp;IF(AND(D50&lt;&gt;"",E50=""),"Cod necunoscut. ","")&amp;IF(N(G50)&lt;=0,"Lipsește cantitatea. ","")&amp;IF(N(M50)&gt;N(G50),"Livrat mai mult decât s-a comandat. ","")&amp;IF(N(I50)&gt;0.3,"Discount neobișnuit de mare. ","")))</f>
        <v/>
      </c>
    </row>
    <row r="51" spans="1:15" x14ac:dyDescent="0.2">
      <c r="A51" s="1" t="str">
        <f t="shared" si="0"/>
        <v/>
      </c>
      <c r="B51" s="17"/>
      <c r="C51" s="18" t="str">
        <f>IF(B51="","",COUNTIF(INDEX($B:$B,5):B51,B51))</f>
        <v/>
      </c>
      <c r="D51" s="17"/>
      <c r="E51" s="19" t="str">
        <f t="shared" si="1"/>
        <v/>
      </c>
      <c r="F51" s="18" t="str">
        <f t="shared" si="2"/>
        <v/>
      </c>
      <c r="G51" s="6"/>
      <c r="H51" s="20" t="str">
        <f t="shared" si="3"/>
        <v/>
      </c>
      <c r="I51" s="21"/>
      <c r="J51" s="22" t="str">
        <f t="shared" si="4"/>
        <v/>
      </c>
      <c r="K51" s="20" t="str">
        <f t="shared" si="5"/>
        <v/>
      </c>
      <c r="L51" s="20" t="str">
        <f t="shared" si="6"/>
        <v/>
      </c>
      <c r="M51" s="6"/>
      <c r="N51" s="19" t="str">
        <f t="shared" si="7"/>
        <v/>
      </c>
      <c r="O51" s="23" t="str">
        <f>IF(B51="","",TRIM(IF(COUNTIF('Registru comenzi'!$B$5:$B$304,B51)=0,"Comandă inexistentă în registru. ","")&amp;IF(AND(D51&lt;&gt;"",E51=""),"Cod necunoscut. ","")&amp;IF(N(G51)&lt;=0,"Lipsește cantitatea. ","")&amp;IF(N(M51)&gt;N(G51),"Livrat mai mult decât s-a comandat. ","")&amp;IF(N(I51)&gt;0.3,"Discount neobișnuit de mare. ","")))</f>
        <v/>
      </c>
    </row>
    <row r="52" spans="1:15" x14ac:dyDescent="0.2">
      <c r="A52" s="1" t="str">
        <f t="shared" si="0"/>
        <v/>
      </c>
      <c r="B52" s="17"/>
      <c r="C52" s="18" t="str">
        <f>IF(B52="","",COUNTIF(INDEX($B:$B,5):B52,B52))</f>
        <v/>
      </c>
      <c r="D52" s="17"/>
      <c r="E52" s="19" t="str">
        <f t="shared" si="1"/>
        <v/>
      </c>
      <c r="F52" s="18" t="str">
        <f t="shared" si="2"/>
        <v/>
      </c>
      <c r="G52" s="6"/>
      <c r="H52" s="20" t="str">
        <f t="shared" si="3"/>
        <v/>
      </c>
      <c r="I52" s="21"/>
      <c r="J52" s="22" t="str">
        <f t="shared" si="4"/>
        <v/>
      </c>
      <c r="K52" s="20" t="str">
        <f t="shared" si="5"/>
        <v/>
      </c>
      <c r="L52" s="20" t="str">
        <f t="shared" si="6"/>
        <v/>
      </c>
      <c r="M52" s="6"/>
      <c r="N52" s="19" t="str">
        <f t="shared" si="7"/>
        <v/>
      </c>
      <c r="O52" s="23" t="str">
        <f>IF(B52="","",TRIM(IF(COUNTIF('Registru comenzi'!$B$5:$B$304,B52)=0,"Comandă inexistentă în registru. ","")&amp;IF(AND(D52&lt;&gt;"",E52=""),"Cod necunoscut. ","")&amp;IF(N(G52)&lt;=0,"Lipsește cantitatea. ","")&amp;IF(N(M52)&gt;N(G52),"Livrat mai mult decât s-a comandat. ","")&amp;IF(N(I52)&gt;0.3,"Discount neobișnuit de mare. ","")))</f>
        <v/>
      </c>
    </row>
    <row r="53" spans="1:15" x14ac:dyDescent="0.2">
      <c r="A53" s="1" t="str">
        <f t="shared" si="0"/>
        <v/>
      </c>
      <c r="B53" s="17"/>
      <c r="C53" s="18" t="str">
        <f>IF(B53="","",COUNTIF(INDEX($B:$B,5):B53,B53))</f>
        <v/>
      </c>
      <c r="D53" s="17"/>
      <c r="E53" s="19" t="str">
        <f t="shared" si="1"/>
        <v/>
      </c>
      <c r="F53" s="18" t="str">
        <f t="shared" si="2"/>
        <v/>
      </c>
      <c r="G53" s="6"/>
      <c r="H53" s="20" t="str">
        <f t="shared" si="3"/>
        <v/>
      </c>
      <c r="I53" s="21"/>
      <c r="J53" s="22" t="str">
        <f t="shared" si="4"/>
        <v/>
      </c>
      <c r="K53" s="20" t="str">
        <f t="shared" si="5"/>
        <v/>
      </c>
      <c r="L53" s="20" t="str">
        <f t="shared" si="6"/>
        <v/>
      </c>
      <c r="M53" s="6"/>
      <c r="N53" s="19" t="str">
        <f t="shared" si="7"/>
        <v/>
      </c>
      <c r="O53" s="23" t="str">
        <f>IF(B53="","",TRIM(IF(COUNTIF('Registru comenzi'!$B$5:$B$304,B53)=0,"Comandă inexistentă în registru. ","")&amp;IF(AND(D53&lt;&gt;"",E53=""),"Cod necunoscut. ","")&amp;IF(N(G53)&lt;=0,"Lipsește cantitatea. ","")&amp;IF(N(M53)&gt;N(G53),"Livrat mai mult decât s-a comandat. ","")&amp;IF(N(I53)&gt;0.3,"Discount neobișnuit de mare. ","")))</f>
        <v/>
      </c>
    </row>
    <row r="54" spans="1:15" x14ac:dyDescent="0.2">
      <c r="A54" s="1" t="str">
        <f t="shared" si="0"/>
        <v/>
      </c>
      <c r="B54" s="17"/>
      <c r="C54" s="18" t="str">
        <f>IF(B54="","",COUNTIF(INDEX($B:$B,5):B54,B54))</f>
        <v/>
      </c>
      <c r="D54" s="17"/>
      <c r="E54" s="19" t="str">
        <f t="shared" si="1"/>
        <v/>
      </c>
      <c r="F54" s="18" t="str">
        <f t="shared" si="2"/>
        <v/>
      </c>
      <c r="G54" s="6"/>
      <c r="H54" s="20" t="str">
        <f t="shared" si="3"/>
        <v/>
      </c>
      <c r="I54" s="21"/>
      <c r="J54" s="22" t="str">
        <f t="shared" si="4"/>
        <v/>
      </c>
      <c r="K54" s="20" t="str">
        <f t="shared" si="5"/>
        <v/>
      </c>
      <c r="L54" s="20" t="str">
        <f t="shared" si="6"/>
        <v/>
      </c>
      <c r="M54" s="6"/>
      <c r="N54" s="19" t="str">
        <f t="shared" si="7"/>
        <v/>
      </c>
      <c r="O54" s="23" t="str">
        <f>IF(B54="","",TRIM(IF(COUNTIF('Registru comenzi'!$B$5:$B$304,B54)=0,"Comandă inexistentă în registru. ","")&amp;IF(AND(D54&lt;&gt;"",E54=""),"Cod necunoscut. ","")&amp;IF(N(G54)&lt;=0,"Lipsește cantitatea. ","")&amp;IF(N(M54)&gt;N(G54),"Livrat mai mult decât s-a comandat. ","")&amp;IF(N(I54)&gt;0.3,"Discount neobișnuit de mare. ","")))</f>
        <v/>
      </c>
    </row>
    <row r="55" spans="1:15" x14ac:dyDescent="0.2">
      <c r="A55" s="1" t="str">
        <f t="shared" si="0"/>
        <v/>
      </c>
      <c r="B55" s="17"/>
      <c r="C55" s="18" t="str">
        <f>IF(B55="","",COUNTIF(INDEX($B:$B,5):B55,B55))</f>
        <v/>
      </c>
      <c r="D55" s="17"/>
      <c r="E55" s="19" t="str">
        <f t="shared" si="1"/>
        <v/>
      </c>
      <c r="F55" s="18" t="str">
        <f t="shared" si="2"/>
        <v/>
      </c>
      <c r="G55" s="6"/>
      <c r="H55" s="20" t="str">
        <f t="shared" si="3"/>
        <v/>
      </c>
      <c r="I55" s="21"/>
      <c r="J55" s="22" t="str">
        <f t="shared" si="4"/>
        <v/>
      </c>
      <c r="K55" s="20" t="str">
        <f t="shared" si="5"/>
        <v/>
      </c>
      <c r="L55" s="20" t="str">
        <f t="shared" si="6"/>
        <v/>
      </c>
      <c r="M55" s="6"/>
      <c r="N55" s="19" t="str">
        <f t="shared" si="7"/>
        <v/>
      </c>
      <c r="O55" s="23" t="str">
        <f>IF(B55="","",TRIM(IF(COUNTIF('Registru comenzi'!$B$5:$B$304,B55)=0,"Comandă inexistentă în registru. ","")&amp;IF(AND(D55&lt;&gt;"",E55=""),"Cod necunoscut. ","")&amp;IF(N(G55)&lt;=0,"Lipsește cantitatea. ","")&amp;IF(N(M55)&gt;N(G55),"Livrat mai mult decât s-a comandat. ","")&amp;IF(N(I55)&gt;0.3,"Discount neobișnuit de mare. ","")))</f>
        <v/>
      </c>
    </row>
    <row r="56" spans="1:15" x14ac:dyDescent="0.2">
      <c r="A56" s="1" t="str">
        <f t="shared" si="0"/>
        <v/>
      </c>
      <c r="B56" s="17"/>
      <c r="C56" s="18" t="str">
        <f>IF(B56="","",COUNTIF(INDEX($B:$B,5):B56,B56))</f>
        <v/>
      </c>
      <c r="D56" s="17"/>
      <c r="E56" s="19" t="str">
        <f t="shared" si="1"/>
        <v/>
      </c>
      <c r="F56" s="18" t="str">
        <f t="shared" si="2"/>
        <v/>
      </c>
      <c r="G56" s="6"/>
      <c r="H56" s="20" t="str">
        <f t="shared" si="3"/>
        <v/>
      </c>
      <c r="I56" s="21"/>
      <c r="J56" s="22" t="str">
        <f t="shared" si="4"/>
        <v/>
      </c>
      <c r="K56" s="20" t="str">
        <f t="shared" si="5"/>
        <v/>
      </c>
      <c r="L56" s="20" t="str">
        <f t="shared" si="6"/>
        <v/>
      </c>
      <c r="M56" s="6"/>
      <c r="N56" s="19" t="str">
        <f t="shared" si="7"/>
        <v/>
      </c>
      <c r="O56" s="23" t="str">
        <f>IF(B56="","",TRIM(IF(COUNTIF('Registru comenzi'!$B$5:$B$304,B56)=0,"Comandă inexistentă în registru. ","")&amp;IF(AND(D56&lt;&gt;"",E56=""),"Cod necunoscut. ","")&amp;IF(N(G56)&lt;=0,"Lipsește cantitatea. ","")&amp;IF(N(M56)&gt;N(G56),"Livrat mai mult decât s-a comandat. ","")&amp;IF(N(I56)&gt;0.3,"Discount neobișnuit de mare. ","")))</f>
        <v/>
      </c>
    </row>
    <row r="57" spans="1:15" x14ac:dyDescent="0.2">
      <c r="A57" s="1" t="str">
        <f t="shared" si="0"/>
        <v/>
      </c>
      <c r="B57" s="17"/>
      <c r="C57" s="18" t="str">
        <f>IF(B57="","",COUNTIF(INDEX($B:$B,5):B57,B57))</f>
        <v/>
      </c>
      <c r="D57" s="17"/>
      <c r="E57" s="19" t="str">
        <f t="shared" si="1"/>
        <v/>
      </c>
      <c r="F57" s="18" t="str">
        <f t="shared" si="2"/>
        <v/>
      </c>
      <c r="G57" s="6"/>
      <c r="H57" s="20" t="str">
        <f t="shared" si="3"/>
        <v/>
      </c>
      <c r="I57" s="21"/>
      <c r="J57" s="22" t="str">
        <f t="shared" si="4"/>
        <v/>
      </c>
      <c r="K57" s="20" t="str">
        <f t="shared" si="5"/>
        <v/>
      </c>
      <c r="L57" s="20" t="str">
        <f t="shared" si="6"/>
        <v/>
      </c>
      <c r="M57" s="6"/>
      <c r="N57" s="19" t="str">
        <f t="shared" si="7"/>
        <v/>
      </c>
      <c r="O57" s="23" t="str">
        <f>IF(B57="","",TRIM(IF(COUNTIF('Registru comenzi'!$B$5:$B$304,B57)=0,"Comandă inexistentă în registru. ","")&amp;IF(AND(D57&lt;&gt;"",E57=""),"Cod necunoscut. ","")&amp;IF(N(G57)&lt;=0,"Lipsește cantitatea. ","")&amp;IF(N(M57)&gt;N(G57),"Livrat mai mult decât s-a comandat. ","")&amp;IF(N(I57)&gt;0.3,"Discount neobișnuit de mare. ","")))</f>
        <v/>
      </c>
    </row>
    <row r="58" spans="1:15" x14ac:dyDescent="0.2">
      <c r="A58" s="1" t="str">
        <f t="shared" si="0"/>
        <v/>
      </c>
      <c r="B58" s="17"/>
      <c r="C58" s="18" t="str">
        <f>IF(B58="","",COUNTIF(INDEX($B:$B,5):B58,B58))</f>
        <v/>
      </c>
      <c r="D58" s="17"/>
      <c r="E58" s="19" t="str">
        <f t="shared" si="1"/>
        <v/>
      </c>
      <c r="F58" s="18" t="str">
        <f t="shared" si="2"/>
        <v/>
      </c>
      <c r="G58" s="6"/>
      <c r="H58" s="20" t="str">
        <f t="shared" si="3"/>
        <v/>
      </c>
      <c r="I58" s="21"/>
      <c r="J58" s="22" t="str">
        <f t="shared" si="4"/>
        <v/>
      </c>
      <c r="K58" s="20" t="str">
        <f t="shared" si="5"/>
        <v/>
      </c>
      <c r="L58" s="20" t="str">
        <f t="shared" si="6"/>
        <v/>
      </c>
      <c r="M58" s="6"/>
      <c r="N58" s="19" t="str">
        <f t="shared" si="7"/>
        <v/>
      </c>
      <c r="O58" s="23" t="str">
        <f>IF(B58="","",TRIM(IF(COUNTIF('Registru comenzi'!$B$5:$B$304,B58)=0,"Comandă inexistentă în registru. ","")&amp;IF(AND(D58&lt;&gt;"",E58=""),"Cod necunoscut. ","")&amp;IF(N(G58)&lt;=0,"Lipsește cantitatea. ","")&amp;IF(N(M58)&gt;N(G58),"Livrat mai mult decât s-a comandat. ","")&amp;IF(N(I58)&gt;0.3,"Discount neobișnuit de mare. ","")))</f>
        <v/>
      </c>
    </row>
    <row r="59" spans="1:15" x14ac:dyDescent="0.2">
      <c r="A59" s="1" t="str">
        <f t="shared" si="0"/>
        <v/>
      </c>
      <c r="B59" s="17"/>
      <c r="C59" s="18" t="str">
        <f>IF(B59="","",COUNTIF(INDEX($B:$B,5):B59,B59))</f>
        <v/>
      </c>
      <c r="D59" s="17"/>
      <c r="E59" s="19" t="str">
        <f t="shared" si="1"/>
        <v/>
      </c>
      <c r="F59" s="18" t="str">
        <f t="shared" si="2"/>
        <v/>
      </c>
      <c r="G59" s="6"/>
      <c r="H59" s="20" t="str">
        <f t="shared" si="3"/>
        <v/>
      </c>
      <c r="I59" s="21"/>
      <c r="J59" s="22" t="str">
        <f t="shared" si="4"/>
        <v/>
      </c>
      <c r="K59" s="20" t="str">
        <f t="shared" si="5"/>
        <v/>
      </c>
      <c r="L59" s="20" t="str">
        <f t="shared" si="6"/>
        <v/>
      </c>
      <c r="M59" s="6"/>
      <c r="N59" s="19" t="str">
        <f t="shared" si="7"/>
        <v/>
      </c>
      <c r="O59" s="23" t="str">
        <f>IF(B59="","",TRIM(IF(COUNTIF('Registru comenzi'!$B$5:$B$304,B59)=0,"Comandă inexistentă în registru. ","")&amp;IF(AND(D59&lt;&gt;"",E59=""),"Cod necunoscut. ","")&amp;IF(N(G59)&lt;=0,"Lipsește cantitatea. ","")&amp;IF(N(M59)&gt;N(G59),"Livrat mai mult decât s-a comandat. ","")&amp;IF(N(I59)&gt;0.3,"Discount neobișnuit de mare. ","")))</f>
        <v/>
      </c>
    </row>
    <row r="60" spans="1:15" x14ac:dyDescent="0.2">
      <c r="A60" s="1" t="str">
        <f t="shared" si="0"/>
        <v/>
      </c>
      <c r="B60" s="17"/>
      <c r="C60" s="18" t="str">
        <f>IF(B60="","",COUNTIF(INDEX($B:$B,5):B60,B60))</f>
        <v/>
      </c>
      <c r="D60" s="17"/>
      <c r="E60" s="19" t="str">
        <f t="shared" si="1"/>
        <v/>
      </c>
      <c r="F60" s="18" t="str">
        <f t="shared" si="2"/>
        <v/>
      </c>
      <c r="G60" s="6"/>
      <c r="H60" s="20" t="str">
        <f t="shared" si="3"/>
        <v/>
      </c>
      <c r="I60" s="21"/>
      <c r="J60" s="22" t="str">
        <f t="shared" si="4"/>
        <v/>
      </c>
      <c r="K60" s="20" t="str">
        <f t="shared" si="5"/>
        <v/>
      </c>
      <c r="L60" s="20" t="str">
        <f t="shared" si="6"/>
        <v/>
      </c>
      <c r="M60" s="6"/>
      <c r="N60" s="19" t="str">
        <f t="shared" si="7"/>
        <v/>
      </c>
      <c r="O60" s="23" t="str">
        <f>IF(B60="","",TRIM(IF(COUNTIF('Registru comenzi'!$B$5:$B$304,B60)=0,"Comandă inexistentă în registru. ","")&amp;IF(AND(D60&lt;&gt;"",E60=""),"Cod necunoscut. ","")&amp;IF(N(G60)&lt;=0,"Lipsește cantitatea. ","")&amp;IF(N(M60)&gt;N(G60),"Livrat mai mult decât s-a comandat. ","")&amp;IF(N(I60)&gt;0.3,"Discount neobișnuit de mare. ","")))</f>
        <v/>
      </c>
    </row>
    <row r="61" spans="1:15" x14ac:dyDescent="0.2">
      <c r="A61" s="1" t="str">
        <f t="shared" si="0"/>
        <v/>
      </c>
      <c r="B61" s="17"/>
      <c r="C61" s="18" t="str">
        <f>IF(B61="","",COUNTIF(INDEX($B:$B,5):B61,B61))</f>
        <v/>
      </c>
      <c r="D61" s="17"/>
      <c r="E61" s="19" t="str">
        <f t="shared" si="1"/>
        <v/>
      </c>
      <c r="F61" s="18" t="str">
        <f t="shared" si="2"/>
        <v/>
      </c>
      <c r="G61" s="6"/>
      <c r="H61" s="20" t="str">
        <f t="shared" si="3"/>
        <v/>
      </c>
      <c r="I61" s="21"/>
      <c r="J61" s="22" t="str">
        <f t="shared" si="4"/>
        <v/>
      </c>
      <c r="K61" s="20" t="str">
        <f t="shared" si="5"/>
        <v/>
      </c>
      <c r="L61" s="20" t="str">
        <f t="shared" si="6"/>
        <v/>
      </c>
      <c r="M61" s="6"/>
      <c r="N61" s="19" t="str">
        <f t="shared" si="7"/>
        <v/>
      </c>
      <c r="O61" s="23" t="str">
        <f>IF(B61="","",TRIM(IF(COUNTIF('Registru comenzi'!$B$5:$B$304,B61)=0,"Comandă inexistentă în registru. ","")&amp;IF(AND(D61&lt;&gt;"",E61=""),"Cod necunoscut. ","")&amp;IF(N(G61)&lt;=0,"Lipsește cantitatea. ","")&amp;IF(N(M61)&gt;N(G61),"Livrat mai mult decât s-a comandat. ","")&amp;IF(N(I61)&gt;0.3,"Discount neobișnuit de mare. ","")))</f>
        <v/>
      </c>
    </row>
    <row r="62" spans="1:15" x14ac:dyDescent="0.2">
      <c r="A62" s="1" t="str">
        <f t="shared" si="0"/>
        <v/>
      </c>
      <c r="B62" s="17"/>
      <c r="C62" s="18" t="str">
        <f>IF(B62="","",COUNTIF(INDEX($B:$B,5):B62,B62))</f>
        <v/>
      </c>
      <c r="D62" s="17"/>
      <c r="E62" s="19" t="str">
        <f t="shared" si="1"/>
        <v/>
      </c>
      <c r="F62" s="18" t="str">
        <f t="shared" si="2"/>
        <v/>
      </c>
      <c r="G62" s="6"/>
      <c r="H62" s="20" t="str">
        <f t="shared" si="3"/>
        <v/>
      </c>
      <c r="I62" s="21"/>
      <c r="J62" s="22" t="str">
        <f t="shared" si="4"/>
        <v/>
      </c>
      <c r="K62" s="20" t="str">
        <f t="shared" si="5"/>
        <v/>
      </c>
      <c r="L62" s="20" t="str">
        <f t="shared" si="6"/>
        <v/>
      </c>
      <c r="M62" s="6"/>
      <c r="N62" s="19" t="str">
        <f t="shared" si="7"/>
        <v/>
      </c>
      <c r="O62" s="23" t="str">
        <f>IF(B62="","",TRIM(IF(COUNTIF('Registru comenzi'!$B$5:$B$304,B62)=0,"Comandă inexistentă în registru. ","")&amp;IF(AND(D62&lt;&gt;"",E62=""),"Cod necunoscut. ","")&amp;IF(N(G62)&lt;=0,"Lipsește cantitatea. ","")&amp;IF(N(M62)&gt;N(G62),"Livrat mai mult decât s-a comandat. ","")&amp;IF(N(I62)&gt;0.3,"Discount neobișnuit de mare. ","")))</f>
        <v/>
      </c>
    </row>
    <row r="63" spans="1:15" x14ac:dyDescent="0.2">
      <c r="A63" s="1" t="str">
        <f t="shared" si="0"/>
        <v/>
      </c>
      <c r="B63" s="17"/>
      <c r="C63" s="18" t="str">
        <f>IF(B63="","",COUNTIF(INDEX($B:$B,5):B63,B63))</f>
        <v/>
      </c>
      <c r="D63" s="17"/>
      <c r="E63" s="19" t="str">
        <f t="shared" si="1"/>
        <v/>
      </c>
      <c r="F63" s="18" t="str">
        <f t="shared" si="2"/>
        <v/>
      </c>
      <c r="G63" s="6"/>
      <c r="H63" s="20" t="str">
        <f t="shared" si="3"/>
        <v/>
      </c>
      <c r="I63" s="21"/>
      <c r="J63" s="22" t="str">
        <f t="shared" si="4"/>
        <v/>
      </c>
      <c r="K63" s="20" t="str">
        <f t="shared" si="5"/>
        <v/>
      </c>
      <c r="L63" s="20" t="str">
        <f t="shared" si="6"/>
        <v/>
      </c>
      <c r="M63" s="6"/>
      <c r="N63" s="19" t="str">
        <f t="shared" si="7"/>
        <v/>
      </c>
      <c r="O63" s="23" t="str">
        <f>IF(B63="","",TRIM(IF(COUNTIF('Registru comenzi'!$B$5:$B$304,B63)=0,"Comandă inexistentă în registru. ","")&amp;IF(AND(D63&lt;&gt;"",E63=""),"Cod necunoscut. ","")&amp;IF(N(G63)&lt;=0,"Lipsește cantitatea. ","")&amp;IF(N(M63)&gt;N(G63),"Livrat mai mult decât s-a comandat. ","")&amp;IF(N(I63)&gt;0.3,"Discount neobișnuit de mare. ","")))</f>
        <v/>
      </c>
    </row>
    <row r="64" spans="1:15" x14ac:dyDescent="0.2">
      <c r="A64" s="1" t="str">
        <f t="shared" si="0"/>
        <v/>
      </c>
      <c r="B64" s="17"/>
      <c r="C64" s="18" t="str">
        <f>IF(B64="","",COUNTIF(INDEX($B:$B,5):B64,B64))</f>
        <v/>
      </c>
      <c r="D64" s="17"/>
      <c r="E64" s="19" t="str">
        <f t="shared" si="1"/>
        <v/>
      </c>
      <c r="F64" s="18" t="str">
        <f t="shared" si="2"/>
        <v/>
      </c>
      <c r="G64" s="6"/>
      <c r="H64" s="20" t="str">
        <f t="shared" si="3"/>
        <v/>
      </c>
      <c r="I64" s="21"/>
      <c r="J64" s="22" t="str">
        <f t="shared" si="4"/>
        <v/>
      </c>
      <c r="K64" s="20" t="str">
        <f t="shared" si="5"/>
        <v/>
      </c>
      <c r="L64" s="20" t="str">
        <f t="shared" si="6"/>
        <v/>
      </c>
      <c r="M64" s="6"/>
      <c r="N64" s="19" t="str">
        <f t="shared" si="7"/>
        <v/>
      </c>
      <c r="O64" s="23" t="str">
        <f>IF(B64="","",TRIM(IF(COUNTIF('Registru comenzi'!$B$5:$B$304,B64)=0,"Comandă inexistentă în registru. ","")&amp;IF(AND(D64&lt;&gt;"",E64=""),"Cod necunoscut. ","")&amp;IF(N(G64)&lt;=0,"Lipsește cantitatea. ","")&amp;IF(N(M64)&gt;N(G64),"Livrat mai mult decât s-a comandat. ","")&amp;IF(N(I64)&gt;0.3,"Discount neobișnuit de mare. ","")))</f>
        <v/>
      </c>
    </row>
    <row r="65" spans="1:15" x14ac:dyDescent="0.2">
      <c r="A65" s="1" t="str">
        <f t="shared" si="0"/>
        <v/>
      </c>
      <c r="B65" s="17"/>
      <c r="C65" s="18" t="str">
        <f>IF(B65="","",COUNTIF(INDEX($B:$B,5):B65,B65))</f>
        <v/>
      </c>
      <c r="D65" s="17"/>
      <c r="E65" s="19" t="str">
        <f t="shared" si="1"/>
        <v/>
      </c>
      <c r="F65" s="18" t="str">
        <f t="shared" si="2"/>
        <v/>
      </c>
      <c r="G65" s="6"/>
      <c r="H65" s="20" t="str">
        <f t="shared" si="3"/>
        <v/>
      </c>
      <c r="I65" s="21"/>
      <c r="J65" s="22" t="str">
        <f t="shared" si="4"/>
        <v/>
      </c>
      <c r="K65" s="20" t="str">
        <f t="shared" si="5"/>
        <v/>
      </c>
      <c r="L65" s="20" t="str">
        <f t="shared" si="6"/>
        <v/>
      </c>
      <c r="M65" s="6"/>
      <c r="N65" s="19" t="str">
        <f t="shared" si="7"/>
        <v/>
      </c>
      <c r="O65" s="23" t="str">
        <f>IF(B65="","",TRIM(IF(COUNTIF('Registru comenzi'!$B$5:$B$304,B65)=0,"Comandă inexistentă în registru. ","")&amp;IF(AND(D65&lt;&gt;"",E65=""),"Cod necunoscut. ","")&amp;IF(N(G65)&lt;=0,"Lipsește cantitatea. ","")&amp;IF(N(M65)&gt;N(G65),"Livrat mai mult decât s-a comandat. ","")&amp;IF(N(I65)&gt;0.3,"Discount neobișnuit de mare. ","")))</f>
        <v/>
      </c>
    </row>
    <row r="66" spans="1:15" x14ac:dyDescent="0.2">
      <c r="A66" s="1" t="str">
        <f t="shared" si="0"/>
        <v/>
      </c>
      <c r="B66" s="17"/>
      <c r="C66" s="18" t="str">
        <f>IF(B66="","",COUNTIF(INDEX($B:$B,5):B66,B66))</f>
        <v/>
      </c>
      <c r="D66" s="17"/>
      <c r="E66" s="19" t="str">
        <f t="shared" si="1"/>
        <v/>
      </c>
      <c r="F66" s="18" t="str">
        <f t="shared" si="2"/>
        <v/>
      </c>
      <c r="G66" s="6"/>
      <c r="H66" s="20" t="str">
        <f t="shared" si="3"/>
        <v/>
      </c>
      <c r="I66" s="21"/>
      <c r="J66" s="22" t="str">
        <f t="shared" si="4"/>
        <v/>
      </c>
      <c r="K66" s="20" t="str">
        <f t="shared" si="5"/>
        <v/>
      </c>
      <c r="L66" s="20" t="str">
        <f t="shared" si="6"/>
        <v/>
      </c>
      <c r="M66" s="6"/>
      <c r="N66" s="19" t="str">
        <f t="shared" si="7"/>
        <v/>
      </c>
      <c r="O66" s="23" t="str">
        <f>IF(B66="","",TRIM(IF(COUNTIF('Registru comenzi'!$B$5:$B$304,B66)=0,"Comandă inexistentă în registru. ","")&amp;IF(AND(D66&lt;&gt;"",E66=""),"Cod necunoscut. ","")&amp;IF(N(G66)&lt;=0,"Lipsește cantitatea. ","")&amp;IF(N(M66)&gt;N(G66),"Livrat mai mult decât s-a comandat. ","")&amp;IF(N(I66)&gt;0.3,"Discount neobișnuit de mare. ","")))</f>
        <v/>
      </c>
    </row>
    <row r="67" spans="1:15" x14ac:dyDescent="0.2">
      <c r="A67" s="1" t="str">
        <f t="shared" si="0"/>
        <v/>
      </c>
      <c r="B67" s="17"/>
      <c r="C67" s="18" t="str">
        <f>IF(B67="","",COUNTIF(INDEX($B:$B,5):B67,B67))</f>
        <v/>
      </c>
      <c r="D67" s="17"/>
      <c r="E67" s="19" t="str">
        <f t="shared" si="1"/>
        <v/>
      </c>
      <c r="F67" s="18" t="str">
        <f t="shared" si="2"/>
        <v/>
      </c>
      <c r="G67" s="6"/>
      <c r="H67" s="20" t="str">
        <f t="shared" si="3"/>
        <v/>
      </c>
      <c r="I67" s="21"/>
      <c r="J67" s="22" t="str">
        <f t="shared" si="4"/>
        <v/>
      </c>
      <c r="K67" s="20" t="str">
        <f t="shared" si="5"/>
        <v/>
      </c>
      <c r="L67" s="20" t="str">
        <f t="shared" si="6"/>
        <v/>
      </c>
      <c r="M67" s="6"/>
      <c r="N67" s="19" t="str">
        <f t="shared" si="7"/>
        <v/>
      </c>
      <c r="O67" s="23" t="str">
        <f>IF(B67="","",TRIM(IF(COUNTIF('Registru comenzi'!$B$5:$B$304,B67)=0,"Comandă inexistentă în registru. ","")&amp;IF(AND(D67&lt;&gt;"",E67=""),"Cod necunoscut. ","")&amp;IF(N(G67)&lt;=0,"Lipsește cantitatea. ","")&amp;IF(N(M67)&gt;N(G67),"Livrat mai mult decât s-a comandat. ","")&amp;IF(N(I67)&gt;0.3,"Discount neobișnuit de mare. ","")))</f>
        <v/>
      </c>
    </row>
    <row r="68" spans="1:15" x14ac:dyDescent="0.2">
      <c r="A68" s="1" t="str">
        <f t="shared" si="0"/>
        <v/>
      </c>
      <c r="B68" s="17"/>
      <c r="C68" s="18" t="str">
        <f>IF(B68="","",COUNTIF(INDEX($B:$B,5):B68,B68))</f>
        <v/>
      </c>
      <c r="D68" s="17"/>
      <c r="E68" s="19" t="str">
        <f t="shared" si="1"/>
        <v/>
      </c>
      <c r="F68" s="18" t="str">
        <f t="shared" si="2"/>
        <v/>
      </c>
      <c r="G68" s="6"/>
      <c r="H68" s="20" t="str">
        <f t="shared" si="3"/>
        <v/>
      </c>
      <c r="I68" s="21"/>
      <c r="J68" s="22" t="str">
        <f t="shared" si="4"/>
        <v/>
      </c>
      <c r="K68" s="20" t="str">
        <f t="shared" si="5"/>
        <v/>
      </c>
      <c r="L68" s="20" t="str">
        <f t="shared" si="6"/>
        <v/>
      </c>
      <c r="M68" s="6"/>
      <c r="N68" s="19" t="str">
        <f t="shared" si="7"/>
        <v/>
      </c>
      <c r="O68" s="23" t="str">
        <f>IF(B68="","",TRIM(IF(COUNTIF('Registru comenzi'!$B$5:$B$304,B68)=0,"Comandă inexistentă în registru. ","")&amp;IF(AND(D68&lt;&gt;"",E68=""),"Cod necunoscut. ","")&amp;IF(N(G68)&lt;=0,"Lipsește cantitatea. ","")&amp;IF(N(M68)&gt;N(G68),"Livrat mai mult decât s-a comandat. ","")&amp;IF(N(I68)&gt;0.3,"Discount neobișnuit de mare. ","")))</f>
        <v/>
      </c>
    </row>
    <row r="69" spans="1:15" x14ac:dyDescent="0.2">
      <c r="A69" s="1" t="str">
        <f t="shared" ref="A69:A132" si="8">IF(B69="","",B69&amp;"|"&amp;C69)</f>
        <v/>
      </c>
      <c r="B69" s="17"/>
      <c r="C69" s="18" t="str">
        <f>IF(B69="","",COUNTIF(INDEX($B:$B,5):B69,B69))</f>
        <v/>
      </c>
      <c r="D69" s="17"/>
      <c r="E69" s="19" t="str">
        <f t="shared" ref="E69:E132" si="9">IF(D69="","",IFERROR(VLOOKUP(D69,Catalog,2,FALSE),""))</f>
        <v/>
      </c>
      <c r="F69" s="18" t="str">
        <f t="shared" ref="F69:F132" si="10">IF(D69="","",IFERROR(VLOOKUP(D69,Catalog,3,FALSE),""))</f>
        <v/>
      </c>
      <c r="G69" s="6"/>
      <c r="H69" s="20" t="str">
        <f t="shared" ref="H69:H132" si="11">IF(D69="","",IFERROR(VLOOKUP(D69,Catalog,4,FALSE),""))</f>
        <v/>
      </c>
      <c r="I69" s="21"/>
      <c r="J69" s="22" t="str">
        <f t="shared" ref="J69:J132" si="12">IF(D69="","",IFERROR(VLOOKUP(D69,Catalog,5,FALSE),""))</f>
        <v/>
      </c>
      <c r="K69" s="20" t="str">
        <f t="shared" ref="K69:K132" si="13">IF(OR(G69="",H69=""),"",ROUND(G69*H69*(1-N(I69)),2))</f>
        <v/>
      </c>
      <c r="L69" s="20" t="str">
        <f t="shared" ref="L69:L132" si="14">IF(OR(K69="",J69=""),"",ROUND(K69*J69,2))</f>
        <v/>
      </c>
      <c r="M69" s="6"/>
      <c r="N69" s="19" t="str">
        <f t="shared" ref="N69:N132" si="15">IF(G69="","",G69-N(M69))</f>
        <v/>
      </c>
      <c r="O69" s="23" t="str">
        <f>IF(B69="","",TRIM(IF(COUNTIF('Registru comenzi'!$B$5:$B$304,B69)=0,"Comandă inexistentă în registru. ","")&amp;IF(AND(D69&lt;&gt;"",E69=""),"Cod necunoscut. ","")&amp;IF(N(G69)&lt;=0,"Lipsește cantitatea. ","")&amp;IF(N(M69)&gt;N(G69),"Livrat mai mult decât s-a comandat. ","")&amp;IF(N(I69)&gt;0.3,"Discount neobișnuit de mare. ","")))</f>
        <v/>
      </c>
    </row>
    <row r="70" spans="1:15" x14ac:dyDescent="0.2">
      <c r="A70" s="1" t="str">
        <f t="shared" si="8"/>
        <v/>
      </c>
      <c r="B70" s="17"/>
      <c r="C70" s="18" t="str">
        <f>IF(B70="","",COUNTIF(INDEX($B:$B,5):B70,B70))</f>
        <v/>
      </c>
      <c r="D70" s="17"/>
      <c r="E70" s="19" t="str">
        <f t="shared" si="9"/>
        <v/>
      </c>
      <c r="F70" s="18" t="str">
        <f t="shared" si="10"/>
        <v/>
      </c>
      <c r="G70" s="6"/>
      <c r="H70" s="20" t="str">
        <f t="shared" si="11"/>
        <v/>
      </c>
      <c r="I70" s="21"/>
      <c r="J70" s="22" t="str">
        <f t="shared" si="12"/>
        <v/>
      </c>
      <c r="K70" s="20" t="str">
        <f t="shared" si="13"/>
        <v/>
      </c>
      <c r="L70" s="20" t="str">
        <f t="shared" si="14"/>
        <v/>
      </c>
      <c r="M70" s="6"/>
      <c r="N70" s="19" t="str">
        <f t="shared" si="15"/>
        <v/>
      </c>
      <c r="O70" s="23" t="str">
        <f>IF(B70="","",TRIM(IF(COUNTIF('Registru comenzi'!$B$5:$B$304,B70)=0,"Comandă inexistentă în registru. ","")&amp;IF(AND(D70&lt;&gt;"",E70=""),"Cod necunoscut. ","")&amp;IF(N(G70)&lt;=0,"Lipsește cantitatea. ","")&amp;IF(N(M70)&gt;N(G70),"Livrat mai mult decât s-a comandat. ","")&amp;IF(N(I70)&gt;0.3,"Discount neobișnuit de mare. ","")))</f>
        <v/>
      </c>
    </row>
    <row r="71" spans="1:15" x14ac:dyDescent="0.2">
      <c r="A71" s="1" t="str">
        <f t="shared" si="8"/>
        <v/>
      </c>
      <c r="B71" s="17"/>
      <c r="C71" s="18" t="str">
        <f>IF(B71="","",COUNTIF(INDEX($B:$B,5):B71,B71))</f>
        <v/>
      </c>
      <c r="D71" s="17"/>
      <c r="E71" s="19" t="str">
        <f t="shared" si="9"/>
        <v/>
      </c>
      <c r="F71" s="18" t="str">
        <f t="shared" si="10"/>
        <v/>
      </c>
      <c r="G71" s="6"/>
      <c r="H71" s="20" t="str">
        <f t="shared" si="11"/>
        <v/>
      </c>
      <c r="I71" s="21"/>
      <c r="J71" s="22" t="str">
        <f t="shared" si="12"/>
        <v/>
      </c>
      <c r="K71" s="20" t="str">
        <f t="shared" si="13"/>
        <v/>
      </c>
      <c r="L71" s="20" t="str">
        <f t="shared" si="14"/>
        <v/>
      </c>
      <c r="M71" s="6"/>
      <c r="N71" s="19" t="str">
        <f t="shared" si="15"/>
        <v/>
      </c>
      <c r="O71" s="23" t="str">
        <f>IF(B71="","",TRIM(IF(COUNTIF('Registru comenzi'!$B$5:$B$304,B71)=0,"Comandă inexistentă în registru. ","")&amp;IF(AND(D71&lt;&gt;"",E71=""),"Cod necunoscut. ","")&amp;IF(N(G71)&lt;=0,"Lipsește cantitatea. ","")&amp;IF(N(M71)&gt;N(G71),"Livrat mai mult decât s-a comandat. ","")&amp;IF(N(I71)&gt;0.3,"Discount neobișnuit de mare. ","")))</f>
        <v/>
      </c>
    </row>
    <row r="72" spans="1:15" x14ac:dyDescent="0.2">
      <c r="A72" s="1" t="str">
        <f t="shared" si="8"/>
        <v/>
      </c>
      <c r="B72" s="17"/>
      <c r="C72" s="18" t="str">
        <f>IF(B72="","",COUNTIF(INDEX($B:$B,5):B72,B72))</f>
        <v/>
      </c>
      <c r="D72" s="17"/>
      <c r="E72" s="19" t="str">
        <f t="shared" si="9"/>
        <v/>
      </c>
      <c r="F72" s="18" t="str">
        <f t="shared" si="10"/>
        <v/>
      </c>
      <c r="G72" s="6"/>
      <c r="H72" s="20" t="str">
        <f t="shared" si="11"/>
        <v/>
      </c>
      <c r="I72" s="21"/>
      <c r="J72" s="22" t="str">
        <f t="shared" si="12"/>
        <v/>
      </c>
      <c r="K72" s="20" t="str">
        <f t="shared" si="13"/>
        <v/>
      </c>
      <c r="L72" s="20" t="str">
        <f t="shared" si="14"/>
        <v/>
      </c>
      <c r="M72" s="6"/>
      <c r="N72" s="19" t="str">
        <f t="shared" si="15"/>
        <v/>
      </c>
      <c r="O72" s="23" t="str">
        <f>IF(B72="","",TRIM(IF(COUNTIF('Registru comenzi'!$B$5:$B$304,B72)=0,"Comandă inexistentă în registru. ","")&amp;IF(AND(D72&lt;&gt;"",E72=""),"Cod necunoscut. ","")&amp;IF(N(G72)&lt;=0,"Lipsește cantitatea. ","")&amp;IF(N(M72)&gt;N(G72),"Livrat mai mult decât s-a comandat. ","")&amp;IF(N(I72)&gt;0.3,"Discount neobișnuit de mare. ","")))</f>
        <v/>
      </c>
    </row>
    <row r="73" spans="1:15" x14ac:dyDescent="0.2">
      <c r="A73" s="1" t="str">
        <f t="shared" si="8"/>
        <v/>
      </c>
      <c r="B73" s="17"/>
      <c r="C73" s="18" t="str">
        <f>IF(B73="","",COUNTIF(INDEX($B:$B,5):B73,B73))</f>
        <v/>
      </c>
      <c r="D73" s="17"/>
      <c r="E73" s="19" t="str">
        <f t="shared" si="9"/>
        <v/>
      </c>
      <c r="F73" s="18" t="str">
        <f t="shared" si="10"/>
        <v/>
      </c>
      <c r="G73" s="6"/>
      <c r="H73" s="20" t="str">
        <f t="shared" si="11"/>
        <v/>
      </c>
      <c r="I73" s="21"/>
      <c r="J73" s="22" t="str">
        <f t="shared" si="12"/>
        <v/>
      </c>
      <c r="K73" s="20" t="str">
        <f t="shared" si="13"/>
        <v/>
      </c>
      <c r="L73" s="20" t="str">
        <f t="shared" si="14"/>
        <v/>
      </c>
      <c r="M73" s="6"/>
      <c r="N73" s="19" t="str">
        <f t="shared" si="15"/>
        <v/>
      </c>
      <c r="O73" s="23" t="str">
        <f>IF(B73="","",TRIM(IF(COUNTIF('Registru comenzi'!$B$5:$B$304,B73)=0,"Comandă inexistentă în registru. ","")&amp;IF(AND(D73&lt;&gt;"",E73=""),"Cod necunoscut. ","")&amp;IF(N(G73)&lt;=0,"Lipsește cantitatea. ","")&amp;IF(N(M73)&gt;N(G73),"Livrat mai mult decât s-a comandat. ","")&amp;IF(N(I73)&gt;0.3,"Discount neobișnuit de mare. ","")))</f>
        <v/>
      </c>
    </row>
    <row r="74" spans="1:15" x14ac:dyDescent="0.2">
      <c r="A74" s="1" t="str">
        <f t="shared" si="8"/>
        <v/>
      </c>
      <c r="B74" s="17"/>
      <c r="C74" s="18" t="str">
        <f>IF(B74="","",COUNTIF(INDEX($B:$B,5):B74,B74))</f>
        <v/>
      </c>
      <c r="D74" s="17"/>
      <c r="E74" s="19" t="str">
        <f t="shared" si="9"/>
        <v/>
      </c>
      <c r="F74" s="18" t="str">
        <f t="shared" si="10"/>
        <v/>
      </c>
      <c r="G74" s="6"/>
      <c r="H74" s="20" t="str">
        <f t="shared" si="11"/>
        <v/>
      </c>
      <c r="I74" s="21"/>
      <c r="J74" s="22" t="str">
        <f t="shared" si="12"/>
        <v/>
      </c>
      <c r="K74" s="20" t="str">
        <f t="shared" si="13"/>
        <v/>
      </c>
      <c r="L74" s="20" t="str">
        <f t="shared" si="14"/>
        <v/>
      </c>
      <c r="M74" s="6"/>
      <c r="N74" s="19" t="str">
        <f t="shared" si="15"/>
        <v/>
      </c>
      <c r="O74" s="23" t="str">
        <f>IF(B74="","",TRIM(IF(COUNTIF('Registru comenzi'!$B$5:$B$304,B74)=0,"Comandă inexistentă în registru. ","")&amp;IF(AND(D74&lt;&gt;"",E74=""),"Cod necunoscut. ","")&amp;IF(N(G74)&lt;=0,"Lipsește cantitatea. ","")&amp;IF(N(M74)&gt;N(G74),"Livrat mai mult decât s-a comandat. ","")&amp;IF(N(I74)&gt;0.3,"Discount neobișnuit de mare. ","")))</f>
        <v/>
      </c>
    </row>
    <row r="75" spans="1:15" x14ac:dyDescent="0.2">
      <c r="A75" s="1" t="str">
        <f t="shared" si="8"/>
        <v/>
      </c>
      <c r="B75" s="17"/>
      <c r="C75" s="18" t="str">
        <f>IF(B75="","",COUNTIF(INDEX($B:$B,5):B75,B75))</f>
        <v/>
      </c>
      <c r="D75" s="17"/>
      <c r="E75" s="19" t="str">
        <f t="shared" si="9"/>
        <v/>
      </c>
      <c r="F75" s="18" t="str">
        <f t="shared" si="10"/>
        <v/>
      </c>
      <c r="G75" s="6"/>
      <c r="H75" s="20" t="str">
        <f t="shared" si="11"/>
        <v/>
      </c>
      <c r="I75" s="21"/>
      <c r="J75" s="22" t="str">
        <f t="shared" si="12"/>
        <v/>
      </c>
      <c r="K75" s="20" t="str">
        <f t="shared" si="13"/>
        <v/>
      </c>
      <c r="L75" s="20" t="str">
        <f t="shared" si="14"/>
        <v/>
      </c>
      <c r="M75" s="6"/>
      <c r="N75" s="19" t="str">
        <f t="shared" si="15"/>
        <v/>
      </c>
      <c r="O75" s="23" t="str">
        <f>IF(B75="","",TRIM(IF(COUNTIF('Registru comenzi'!$B$5:$B$304,B75)=0,"Comandă inexistentă în registru. ","")&amp;IF(AND(D75&lt;&gt;"",E75=""),"Cod necunoscut. ","")&amp;IF(N(G75)&lt;=0,"Lipsește cantitatea. ","")&amp;IF(N(M75)&gt;N(G75),"Livrat mai mult decât s-a comandat. ","")&amp;IF(N(I75)&gt;0.3,"Discount neobișnuit de mare. ","")))</f>
        <v/>
      </c>
    </row>
    <row r="76" spans="1:15" x14ac:dyDescent="0.2">
      <c r="A76" s="1" t="str">
        <f t="shared" si="8"/>
        <v/>
      </c>
      <c r="B76" s="17"/>
      <c r="C76" s="18" t="str">
        <f>IF(B76="","",COUNTIF(INDEX($B:$B,5):B76,B76))</f>
        <v/>
      </c>
      <c r="D76" s="17"/>
      <c r="E76" s="19" t="str">
        <f t="shared" si="9"/>
        <v/>
      </c>
      <c r="F76" s="18" t="str">
        <f t="shared" si="10"/>
        <v/>
      </c>
      <c r="G76" s="6"/>
      <c r="H76" s="20" t="str">
        <f t="shared" si="11"/>
        <v/>
      </c>
      <c r="I76" s="21"/>
      <c r="J76" s="22" t="str">
        <f t="shared" si="12"/>
        <v/>
      </c>
      <c r="K76" s="20" t="str">
        <f t="shared" si="13"/>
        <v/>
      </c>
      <c r="L76" s="20" t="str">
        <f t="shared" si="14"/>
        <v/>
      </c>
      <c r="M76" s="6"/>
      <c r="N76" s="19" t="str">
        <f t="shared" si="15"/>
        <v/>
      </c>
      <c r="O76" s="23" t="str">
        <f>IF(B76="","",TRIM(IF(COUNTIF('Registru comenzi'!$B$5:$B$304,B76)=0,"Comandă inexistentă în registru. ","")&amp;IF(AND(D76&lt;&gt;"",E76=""),"Cod necunoscut. ","")&amp;IF(N(G76)&lt;=0,"Lipsește cantitatea. ","")&amp;IF(N(M76)&gt;N(G76),"Livrat mai mult decât s-a comandat. ","")&amp;IF(N(I76)&gt;0.3,"Discount neobișnuit de mare. ","")))</f>
        <v/>
      </c>
    </row>
    <row r="77" spans="1:15" x14ac:dyDescent="0.2">
      <c r="A77" s="1" t="str">
        <f t="shared" si="8"/>
        <v/>
      </c>
      <c r="B77" s="17"/>
      <c r="C77" s="18" t="str">
        <f>IF(B77="","",COUNTIF(INDEX($B:$B,5):B77,B77))</f>
        <v/>
      </c>
      <c r="D77" s="17"/>
      <c r="E77" s="19" t="str">
        <f t="shared" si="9"/>
        <v/>
      </c>
      <c r="F77" s="18" t="str">
        <f t="shared" si="10"/>
        <v/>
      </c>
      <c r="G77" s="6"/>
      <c r="H77" s="20" t="str">
        <f t="shared" si="11"/>
        <v/>
      </c>
      <c r="I77" s="21"/>
      <c r="J77" s="22" t="str">
        <f t="shared" si="12"/>
        <v/>
      </c>
      <c r="K77" s="20" t="str">
        <f t="shared" si="13"/>
        <v/>
      </c>
      <c r="L77" s="20" t="str">
        <f t="shared" si="14"/>
        <v/>
      </c>
      <c r="M77" s="6"/>
      <c r="N77" s="19" t="str">
        <f t="shared" si="15"/>
        <v/>
      </c>
      <c r="O77" s="23" t="str">
        <f>IF(B77="","",TRIM(IF(COUNTIF('Registru comenzi'!$B$5:$B$304,B77)=0,"Comandă inexistentă în registru. ","")&amp;IF(AND(D77&lt;&gt;"",E77=""),"Cod necunoscut. ","")&amp;IF(N(G77)&lt;=0,"Lipsește cantitatea. ","")&amp;IF(N(M77)&gt;N(G77),"Livrat mai mult decât s-a comandat. ","")&amp;IF(N(I77)&gt;0.3,"Discount neobișnuit de mare. ","")))</f>
        <v/>
      </c>
    </row>
    <row r="78" spans="1:15" x14ac:dyDescent="0.2">
      <c r="A78" s="1" t="str">
        <f t="shared" si="8"/>
        <v/>
      </c>
      <c r="B78" s="17"/>
      <c r="C78" s="18" t="str">
        <f>IF(B78="","",COUNTIF(INDEX($B:$B,5):B78,B78))</f>
        <v/>
      </c>
      <c r="D78" s="17"/>
      <c r="E78" s="19" t="str">
        <f t="shared" si="9"/>
        <v/>
      </c>
      <c r="F78" s="18" t="str">
        <f t="shared" si="10"/>
        <v/>
      </c>
      <c r="G78" s="6"/>
      <c r="H78" s="20" t="str">
        <f t="shared" si="11"/>
        <v/>
      </c>
      <c r="I78" s="21"/>
      <c r="J78" s="22" t="str">
        <f t="shared" si="12"/>
        <v/>
      </c>
      <c r="K78" s="20" t="str">
        <f t="shared" si="13"/>
        <v/>
      </c>
      <c r="L78" s="20" t="str">
        <f t="shared" si="14"/>
        <v/>
      </c>
      <c r="M78" s="6"/>
      <c r="N78" s="19" t="str">
        <f t="shared" si="15"/>
        <v/>
      </c>
      <c r="O78" s="23" t="str">
        <f>IF(B78="","",TRIM(IF(COUNTIF('Registru comenzi'!$B$5:$B$304,B78)=0,"Comandă inexistentă în registru. ","")&amp;IF(AND(D78&lt;&gt;"",E78=""),"Cod necunoscut. ","")&amp;IF(N(G78)&lt;=0,"Lipsește cantitatea. ","")&amp;IF(N(M78)&gt;N(G78),"Livrat mai mult decât s-a comandat. ","")&amp;IF(N(I78)&gt;0.3,"Discount neobișnuit de mare. ","")))</f>
        <v/>
      </c>
    </row>
    <row r="79" spans="1:15" x14ac:dyDescent="0.2">
      <c r="A79" s="1" t="str">
        <f t="shared" si="8"/>
        <v/>
      </c>
      <c r="B79" s="17"/>
      <c r="C79" s="18" t="str">
        <f>IF(B79="","",COUNTIF(INDEX($B:$B,5):B79,B79))</f>
        <v/>
      </c>
      <c r="D79" s="17"/>
      <c r="E79" s="19" t="str">
        <f t="shared" si="9"/>
        <v/>
      </c>
      <c r="F79" s="18" t="str">
        <f t="shared" si="10"/>
        <v/>
      </c>
      <c r="G79" s="6"/>
      <c r="H79" s="20" t="str">
        <f t="shared" si="11"/>
        <v/>
      </c>
      <c r="I79" s="21"/>
      <c r="J79" s="22" t="str">
        <f t="shared" si="12"/>
        <v/>
      </c>
      <c r="K79" s="20" t="str">
        <f t="shared" si="13"/>
        <v/>
      </c>
      <c r="L79" s="20" t="str">
        <f t="shared" si="14"/>
        <v/>
      </c>
      <c r="M79" s="6"/>
      <c r="N79" s="19" t="str">
        <f t="shared" si="15"/>
        <v/>
      </c>
      <c r="O79" s="23" t="str">
        <f>IF(B79="","",TRIM(IF(COUNTIF('Registru comenzi'!$B$5:$B$304,B79)=0,"Comandă inexistentă în registru. ","")&amp;IF(AND(D79&lt;&gt;"",E79=""),"Cod necunoscut. ","")&amp;IF(N(G79)&lt;=0,"Lipsește cantitatea. ","")&amp;IF(N(M79)&gt;N(G79),"Livrat mai mult decât s-a comandat. ","")&amp;IF(N(I79)&gt;0.3,"Discount neobișnuit de mare. ","")))</f>
        <v/>
      </c>
    </row>
    <row r="80" spans="1:15" x14ac:dyDescent="0.2">
      <c r="A80" s="1" t="str">
        <f t="shared" si="8"/>
        <v/>
      </c>
      <c r="B80" s="17"/>
      <c r="C80" s="18" t="str">
        <f>IF(B80="","",COUNTIF(INDEX($B:$B,5):B80,B80))</f>
        <v/>
      </c>
      <c r="D80" s="17"/>
      <c r="E80" s="19" t="str">
        <f t="shared" si="9"/>
        <v/>
      </c>
      <c r="F80" s="18" t="str">
        <f t="shared" si="10"/>
        <v/>
      </c>
      <c r="G80" s="6"/>
      <c r="H80" s="20" t="str">
        <f t="shared" si="11"/>
        <v/>
      </c>
      <c r="I80" s="21"/>
      <c r="J80" s="22" t="str">
        <f t="shared" si="12"/>
        <v/>
      </c>
      <c r="K80" s="20" t="str">
        <f t="shared" si="13"/>
        <v/>
      </c>
      <c r="L80" s="20" t="str">
        <f t="shared" si="14"/>
        <v/>
      </c>
      <c r="M80" s="6"/>
      <c r="N80" s="19" t="str">
        <f t="shared" si="15"/>
        <v/>
      </c>
      <c r="O80" s="23" t="str">
        <f>IF(B80="","",TRIM(IF(COUNTIF('Registru comenzi'!$B$5:$B$304,B80)=0,"Comandă inexistentă în registru. ","")&amp;IF(AND(D80&lt;&gt;"",E80=""),"Cod necunoscut. ","")&amp;IF(N(G80)&lt;=0,"Lipsește cantitatea. ","")&amp;IF(N(M80)&gt;N(G80),"Livrat mai mult decât s-a comandat. ","")&amp;IF(N(I80)&gt;0.3,"Discount neobișnuit de mare. ","")))</f>
        <v/>
      </c>
    </row>
    <row r="81" spans="1:15" x14ac:dyDescent="0.2">
      <c r="A81" s="1" t="str">
        <f t="shared" si="8"/>
        <v/>
      </c>
      <c r="B81" s="17"/>
      <c r="C81" s="18" t="str">
        <f>IF(B81="","",COUNTIF(INDEX($B:$B,5):B81,B81))</f>
        <v/>
      </c>
      <c r="D81" s="17"/>
      <c r="E81" s="19" t="str">
        <f t="shared" si="9"/>
        <v/>
      </c>
      <c r="F81" s="18" t="str">
        <f t="shared" si="10"/>
        <v/>
      </c>
      <c r="G81" s="6"/>
      <c r="H81" s="20" t="str">
        <f t="shared" si="11"/>
        <v/>
      </c>
      <c r="I81" s="21"/>
      <c r="J81" s="22" t="str">
        <f t="shared" si="12"/>
        <v/>
      </c>
      <c r="K81" s="20" t="str">
        <f t="shared" si="13"/>
        <v/>
      </c>
      <c r="L81" s="20" t="str">
        <f t="shared" si="14"/>
        <v/>
      </c>
      <c r="M81" s="6"/>
      <c r="N81" s="19" t="str">
        <f t="shared" si="15"/>
        <v/>
      </c>
      <c r="O81" s="23" t="str">
        <f>IF(B81="","",TRIM(IF(COUNTIF('Registru comenzi'!$B$5:$B$304,B81)=0,"Comandă inexistentă în registru. ","")&amp;IF(AND(D81&lt;&gt;"",E81=""),"Cod necunoscut. ","")&amp;IF(N(G81)&lt;=0,"Lipsește cantitatea. ","")&amp;IF(N(M81)&gt;N(G81),"Livrat mai mult decât s-a comandat. ","")&amp;IF(N(I81)&gt;0.3,"Discount neobișnuit de mare. ","")))</f>
        <v/>
      </c>
    </row>
    <row r="82" spans="1:15" x14ac:dyDescent="0.2">
      <c r="A82" s="1" t="str">
        <f t="shared" si="8"/>
        <v/>
      </c>
      <c r="B82" s="17"/>
      <c r="C82" s="18" t="str">
        <f>IF(B82="","",COUNTIF(INDEX($B:$B,5):B82,B82))</f>
        <v/>
      </c>
      <c r="D82" s="17"/>
      <c r="E82" s="19" t="str">
        <f t="shared" si="9"/>
        <v/>
      </c>
      <c r="F82" s="18" t="str">
        <f t="shared" si="10"/>
        <v/>
      </c>
      <c r="G82" s="6"/>
      <c r="H82" s="20" t="str">
        <f t="shared" si="11"/>
        <v/>
      </c>
      <c r="I82" s="21"/>
      <c r="J82" s="22" t="str">
        <f t="shared" si="12"/>
        <v/>
      </c>
      <c r="K82" s="20" t="str">
        <f t="shared" si="13"/>
        <v/>
      </c>
      <c r="L82" s="20" t="str">
        <f t="shared" si="14"/>
        <v/>
      </c>
      <c r="M82" s="6"/>
      <c r="N82" s="19" t="str">
        <f t="shared" si="15"/>
        <v/>
      </c>
      <c r="O82" s="23" t="str">
        <f>IF(B82="","",TRIM(IF(COUNTIF('Registru comenzi'!$B$5:$B$304,B82)=0,"Comandă inexistentă în registru. ","")&amp;IF(AND(D82&lt;&gt;"",E82=""),"Cod necunoscut. ","")&amp;IF(N(G82)&lt;=0,"Lipsește cantitatea. ","")&amp;IF(N(M82)&gt;N(G82),"Livrat mai mult decât s-a comandat. ","")&amp;IF(N(I82)&gt;0.3,"Discount neobișnuit de mare. ","")))</f>
        <v/>
      </c>
    </row>
    <row r="83" spans="1:15" x14ac:dyDescent="0.2">
      <c r="A83" s="1" t="str">
        <f t="shared" si="8"/>
        <v/>
      </c>
      <c r="B83" s="17"/>
      <c r="C83" s="18" t="str">
        <f>IF(B83="","",COUNTIF(INDEX($B:$B,5):B83,B83))</f>
        <v/>
      </c>
      <c r="D83" s="17"/>
      <c r="E83" s="19" t="str">
        <f t="shared" si="9"/>
        <v/>
      </c>
      <c r="F83" s="18" t="str">
        <f t="shared" si="10"/>
        <v/>
      </c>
      <c r="G83" s="6"/>
      <c r="H83" s="20" t="str">
        <f t="shared" si="11"/>
        <v/>
      </c>
      <c r="I83" s="21"/>
      <c r="J83" s="22" t="str">
        <f t="shared" si="12"/>
        <v/>
      </c>
      <c r="K83" s="20" t="str">
        <f t="shared" si="13"/>
        <v/>
      </c>
      <c r="L83" s="20" t="str">
        <f t="shared" si="14"/>
        <v/>
      </c>
      <c r="M83" s="6"/>
      <c r="N83" s="19" t="str">
        <f t="shared" si="15"/>
        <v/>
      </c>
      <c r="O83" s="23" t="str">
        <f>IF(B83="","",TRIM(IF(COUNTIF('Registru comenzi'!$B$5:$B$304,B83)=0,"Comandă inexistentă în registru. ","")&amp;IF(AND(D83&lt;&gt;"",E83=""),"Cod necunoscut. ","")&amp;IF(N(G83)&lt;=0,"Lipsește cantitatea. ","")&amp;IF(N(M83)&gt;N(G83),"Livrat mai mult decât s-a comandat. ","")&amp;IF(N(I83)&gt;0.3,"Discount neobișnuit de mare. ","")))</f>
        <v/>
      </c>
    </row>
    <row r="84" spans="1:15" x14ac:dyDescent="0.2">
      <c r="A84" s="1" t="str">
        <f t="shared" si="8"/>
        <v/>
      </c>
      <c r="B84" s="17"/>
      <c r="C84" s="18" t="str">
        <f>IF(B84="","",COUNTIF(INDEX($B:$B,5):B84,B84))</f>
        <v/>
      </c>
      <c r="D84" s="17"/>
      <c r="E84" s="19" t="str">
        <f t="shared" si="9"/>
        <v/>
      </c>
      <c r="F84" s="18" t="str">
        <f t="shared" si="10"/>
        <v/>
      </c>
      <c r="G84" s="6"/>
      <c r="H84" s="20" t="str">
        <f t="shared" si="11"/>
        <v/>
      </c>
      <c r="I84" s="21"/>
      <c r="J84" s="22" t="str">
        <f t="shared" si="12"/>
        <v/>
      </c>
      <c r="K84" s="20" t="str">
        <f t="shared" si="13"/>
        <v/>
      </c>
      <c r="L84" s="20" t="str">
        <f t="shared" si="14"/>
        <v/>
      </c>
      <c r="M84" s="6"/>
      <c r="N84" s="19" t="str">
        <f t="shared" si="15"/>
        <v/>
      </c>
      <c r="O84" s="23" t="str">
        <f>IF(B84="","",TRIM(IF(COUNTIF('Registru comenzi'!$B$5:$B$304,B84)=0,"Comandă inexistentă în registru. ","")&amp;IF(AND(D84&lt;&gt;"",E84=""),"Cod necunoscut. ","")&amp;IF(N(G84)&lt;=0,"Lipsește cantitatea. ","")&amp;IF(N(M84)&gt;N(G84),"Livrat mai mult decât s-a comandat. ","")&amp;IF(N(I84)&gt;0.3,"Discount neobișnuit de mare. ","")))</f>
        <v/>
      </c>
    </row>
    <row r="85" spans="1:15" x14ac:dyDescent="0.2">
      <c r="A85" s="1" t="str">
        <f t="shared" si="8"/>
        <v/>
      </c>
      <c r="B85" s="17"/>
      <c r="C85" s="18" t="str">
        <f>IF(B85="","",COUNTIF(INDEX($B:$B,5):B85,B85))</f>
        <v/>
      </c>
      <c r="D85" s="17"/>
      <c r="E85" s="19" t="str">
        <f t="shared" si="9"/>
        <v/>
      </c>
      <c r="F85" s="18" t="str">
        <f t="shared" si="10"/>
        <v/>
      </c>
      <c r="G85" s="6"/>
      <c r="H85" s="20" t="str">
        <f t="shared" si="11"/>
        <v/>
      </c>
      <c r="I85" s="21"/>
      <c r="J85" s="22" t="str">
        <f t="shared" si="12"/>
        <v/>
      </c>
      <c r="K85" s="20" t="str">
        <f t="shared" si="13"/>
        <v/>
      </c>
      <c r="L85" s="20" t="str">
        <f t="shared" si="14"/>
        <v/>
      </c>
      <c r="M85" s="6"/>
      <c r="N85" s="19" t="str">
        <f t="shared" si="15"/>
        <v/>
      </c>
      <c r="O85" s="23" t="str">
        <f>IF(B85="","",TRIM(IF(COUNTIF('Registru comenzi'!$B$5:$B$304,B85)=0,"Comandă inexistentă în registru. ","")&amp;IF(AND(D85&lt;&gt;"",E85=""),"Cod necunoscut. ","")&amp;IF(N(G85)&lt;=0,"Lipsește cantitatea. ","")&amp;IF(N(M85)&gt;N(G85),"Livrat mai mult decât s-a comandat. ","")&amp;IF(N(I85)&gt;0.3,"Discount neobișnuit de mare. ","")))</f>
        <v/>
      </c>
    </row>
    <row r="86" spans="1:15" x14ac:dyDescent="0.2">
      <c r="A86" s="1" t="str">
        <f t="shared" si="8"/>
        <v/>
      </c>
      <c r="B86" s="17"/>
      <c r="C86" s="18" t="str">
        <f>IF(B86="","",COUNTIF(INDEX($B:$B,5):B86,B86))</f>
        <v/>
      </c>
      <c r="D86" s="17"/>
      <c r="E86" s="19" t="str">
        <f t="shared" si="9"/>
        <v/>
      </c>
      <c r="F86" s="18" t="str">
        <f t="shared" si="10"/>
        <v/>
      </c>
      <c r="G86" s="6"/>
      <c r="H86" s="20" t="str">
        <f t="shared" si="11"/>
        <v/>
      </c>
      <c r="I86" s="21"/>
      <c r="J86" s="22" t="str">
        <f t="shared" si="12"/>
        <v/>
      </c>
      <c r="K86" s="20" t="str">
        <f t="shared" si="13"/>
        <v/>
      </c>
      <c r="L86" s="20" t="str">
        <f t="shared" si="14"/>
        <v/>
      </c>
      <c r="M86" s="6"/>
      <c r="N86" s="19" t="str">
        <f t="shared" si="15"/>
        <v/>
      </c>
      <c r="O86" s="23" t="str">
        <f>IF(B86="","",TRIM(IF(COUNTIF('Registru comenzi'!$B$5:$B$304,B86)=0,"Comandă inexistentă în registru. ","")&amp;IF(AND(D86&lt;&gt;"",E86=""),"Cod necunoscut. ","")&amp;IF(N(G86)&lt;=0,"Lipsește cantitatea. ","")&amp;IF(N(M86)&gt;N(G86),"Livrat mai mult decât s-a comandat. ","")&amp;IF(N(I86)&gt;0.3,"Discount neobișnuit de mare. ","")))</f>
        <v/>
      </c>
    </row>
    <row r="87" spans="1:15" x14ac:dyDescent="0.2">
      <c r="A87" s="1" t="str">
        <f t="shared" si="8"/>
        <v/>
      </c>
      <c r="B87" s="17"/>
      <c r="C87" s="18" t="str">
        <f>IF(B87="","",COUNTIF(INDEX($B:$B,5):B87,B87))</f>
        <v/>
      </c>
      <c r="D87" s="17"/>
      <c r="E87" s="19" t="str">
        <f t="shared" si="9"/>
        <v/>
      </c>
      <c r="F87" s="18" t="str">
        <f t="shared" si="10"/>
        <v/>
      </c>
      <c r="G87" s="6"/>
      <c r="H87" s="20" t="str">
        <f t="shared" si="11"/>
        <v/>
      </c>
      <c r="I87" s="21"/>
      <c r="J87" s="22" t="str">
        <f t="shared" si="12"/>
        <v/>
      </c>
      <c r="K87" s="20" t="str">
        <f t="shared" si="13"/>
        <v/>
      </c>
      <c r="L87" s="20" t="str">
        <f t="shared" si="14"/>
        <v/>
      </c>
      <c r="M87" s="6"/>
      <c r="N87" s="19" t="str">
        <f t="shared" si="15"/>
        <v/>
      </c>
      <c r="O87" s="23" t="str">
        <f>IF(B87="","",TRIM(IF(COUNTIF('Registru comenzi'!$B$5:$B$304,B87)=0,"Comandă inexistentă în registru. ","")&amp;IF(AND(D87&lt;&gt;"",E87=""),"Cod necunoscut. ","")&amp;IF(N(G87)&lt;=0,"Lipsește cantitatea. ","")&amp;IF(N(M87)&gt;N(G87),"Livrat mai mult decât s-a comandat. ","")&amp;IF(N(I87)&gt;0.3,"Discount neobișnuit de mare. ","")))</f>
        <v/>
      </c>
    </row>
    <row r="88" spans="1:15" x14ac:dyDescent="0.2">
      <c r="A88" s="1" t="str">
        <f t="shared" si="8"/>
        <v/>
      </c>
      <c r="B88" s="17"/>
      <c r="C88" s="18" t="str">
        <f>IF(B88="","",COUNTIF(INDEX($B:$B,5):B88,B88))</f>
        <v/>
      </c>
      <c r="D88" s="17"/>
      <c r="E88" s="19" t="str">
        <f t="shared" si="9"/>
        <v/>
      </c>
      <c r="F88" s="18" t="str">
        <f t="shared" si="10"/>
        <v/>
      </c>
      <c r="G88" s="6"/>
      <c r="H88" s="20" t="str">
        <f t="shared" si="11"/>
        <v/>
      </c>
      <c r="I88" s="21"/>
      <c r="J88" s="22" t="str">
        <f t="shared" si="12"/>
        <v/>
      </c>
      <c r="K88" s="20" t="str">
        <f t="shared" si="13"/>
        <v/>
      </c>
      <c r="L88" s="20" t="str">
        <f t="shared" si="14"/>
        <v/>
      </c>
      <c r="M88" s="6"/>
      <c r="N88" s="19" t="str">
        <f t="shared" si="15"/>
        <v/>
      </c>
      <c r="O88" s="23" t="str">
        <f>IF(B88="","",TRIM(IF(COUNTIF('Registru comenzi'!$B$5:$B$304,B88)=0,"Comandă inexistentă în registru. ","")&amp;IF(AND(D88&lt;&gt;"",E88=""),"Cod necunoscut. ","")&amp;IF(N(G88)&lt;=0,"Lipsește cantitatea. ","")&amp;IF(N(M88)&gt;N(G88),"Livrat mai mult decât s-a comandat. ","")&amp;IF(N(I88)&gt;0.3,"Discount neobișnuit de mare. ","")))</f>
        <v/>
      </c>
    </row>
    <row r="89" spans="1:15" x14ac:dyDescent="0.2">
      <c r="A89" s="1" t="str">
        <f t="shared" si="8"/>
        <v/>
      </c>
      <c r="B89" s="17"/>
      <c r="C89" s="18" t="str">
        <f>IF(B89="","",COUNTIF(INDEX($B:$B,5):B89,B89))</f>
        <v/>
      </c>
      <c r="D89" s="17"/>
      <c r="E89" s="19" t="str">
        <f t="shared" si="9"/>
        <v/>
      </c>
      <c r="F89" s="18" t="str">
        <f t="shared" si="10"/>
        <v/>
      </c>
      <c r="G89" s="6"/>
      <c r="H89" s="20" t="str">
        <f t="shared" si="11"/>
        <v/>
      </c>
      <c r="I89" s="21"/>
      <c r="J89" s="22" t="str">
        <f t="shared" si="12"/>
        <v/>
      </c>
      <c r="K89" s="20" t="str">
        <f t="shared" si="13"/>
        <v/>
      </c>
      <c r="L89" s="20" t="str">
        <f t="shared" si="14"/>
        <v/>
      </c>
      <c r="M89" s="6"/>
      <c r="N89" s="19" t="str">
        <f t="shared" si="15"/>
        <v/>
      </c>
      <c r="O89" s="23" t="str">
        <f>IF(B89="","",TRIM(IF(COUNTIF('Registru comenzi'!$B$5:$B$304,B89)=0,"Comandă inexistentă în registru. ","")&amp;IF(AND(D89&lt;&gt;"",E89=""),"Cod necunoscut. ","")&amp;IF(N(G89)&lt;=0,"Lipsește cantitatea. ","")&amp;IF(N(M89)&gt;N(G89),"Livrat mai mult decât s-a comandat. ","")&amp;IF(N(I89)&gt;0.3,"Discount neobișnuit de mare. ","")))</f>
        <v/>
      </c>
    </row>
    <row r="90" spans="1:15" x14ac:dyDescent="0.2">
      <c r="A90" s="1" t="str">
        <f t="shared" si="8"/>
        <v/>
      </c>
      <c r="B90" s="17"/>
      <c r="C90" s="18" t="str">
        <f>IF(B90="","",COUNTIF(INDEX($B:$B,5):B90,B90))</f>
        <v/>
      </c>
      <c r="D90" s="17"/>
      <c r="E90" s="19" t="str">
        <f t="shared" si="9"/>
        <v/>
      </c>
      <c r="F90" s="18" t="str">
        <f t="shared" si="10"/>
        <v/>
      </c>
      <c r="G90" s="6"/>
      <c r="H90" s="20" t="str">
        <f t="shared" si="11"/>
        <v/>
      </c>
      <c r="I90" s="21"/>
      <c r="J90" s="22" t="str">
        <f t="shared" si="12"/>
        <v/>
      </c>
      <c r="K90" s="20" t="str">
        <f t="shared" si="13"/>
        <v/>
      </c>
      <c r="L90" s="20" t="str">
        <f t="shared" si="14"/>
        <v/>
      </c>
      <c r="M90" s="6"/>
      <c r="N90" s="19" t="str">
        <f t="shared" si="15"/>
        <v/>
      </c>
      <c r="O90" s="23" t="str">
        <f>IF(B90="","",TRIM(IF(COUNTIF('Registru comenzi'!$B$5:$B$304,B90)=0,"Comandă inexistentă în registru. ","")&amp;IF(AND(D90&lt;&gt;"",E90=""),"Cod necunoscut. ","")&amp;IF(N(G90)&lt;=0,"Lipsește cantitatea. ","")&amp;IF(N(M90)&gt;N(G90),"Livrat mai mult decât s-a comandat. ","")&amp;IF(N(I90)&gt;0.3,"Discount neobișnuit de mare. ","")))</f>
        <v/>
      </c>
    </row>
    <row r="91" spans="1:15" x14ac:dyDescent="0.2">
      <c r="A91" s="1" t="str">
        <f t="shared" si="8"/>
        <v/>
      </c>
      <c r="B91" s="17"/>
      <c r="C91" s="18" t="str">
        <f>IF(B91="","",COUNTIF(INDEX($B:$B,5):B91,B91))</f>
        <v/>
      </c>
      <c r="D91" s="17"/>
      <c r="E91" s="19" t="str">
        <f t="shared" si="9"/>
        <v/>
      </c>
      <c r="F91" s="18" t="str">
        <f t="shared" si="10"/>
        <v/>
      </c>
      <c r="G91" s="6"/>
      <c r="H91" s="20" t="str">
        <f t="shared" si="11"/>
        <v/>
      </c>
      <c r="I91" s="21"/>
      <c r="J91" s="22" t="str">
        <f t="shared" si="12"/>
        <v/>
      </c>
      <c r="K91" s="20" t="str">
        <f t="shared" si="13"/>
        <v/>
      </c>
      <c r="L91" s="20" t="str">
        <f t="shared" si="14"/>
        <v/>
      </c>
      <c r="M91" s="6"/>
      <c r="N91" s="19" t="str">
        <f t="shared" si="15"/>
        <v/>
      </c>
      <c r="O91" s="23" t="str">
        <f>IF(B91="","",TRIM(IF(COUNTIF('Registru comenzi'!$B$5:$B$304,B91)=0,"Comandă inexistentă în registru. ","")&amp;IF(AND(D91&lt;&gt;"",E91=""),"Cod necunoscut. ","")&amp;IF(N(G91)&lt;=0,"Lipsește cantitatea. ","")&amp;IF(N(M91)&gt;N(G91),"Livrat mai mult decât s-a comandat. ","")&amp;IF(N(I91)&gt;0.3,"Discount neobișnuit de mare. ","")))</f>
        <v/>
      </c>
    </row>
    <row r="92" spans="1:15" x14ac:dyDescent="0.2">
      <c r="A92" s="1" t="str">
        <f t="shared" si="8"/>
        <v/>
      </c>
      <c r="B92" s="17"/>
      <c r="C92" s="18" t="str">
        <f>IF(B92="","",COUNTIF(INDEX($B:$B,5):B92,B92))</f>
        <v/>
      </c>
      <c r="D92" s="17"/>
      <c r="E92" s="19" t="str">
        <f t="shared" si="9"/>
        <v/>
      </c>
      <c r="F92" s="18" t="str">
        <f t="shared" si="10"/>
        <v/>
      </c>
      <c r="G92" s="6"/>
      <c r="H92" s="20" t="str">
        <f t="shared" si="11"/>
        <v/>
      </c>
      <c r="I92" s="21"/>
      <c r="J92" s="22" t="str">
        <f t="shared" si="12"/>
        <v/>
      </c>
      <c r="K92" s="20" t="str">
        <f t="shared" si="13"/>
        <v/>
      </c>
      <c r="L92" s="20" t="str">
        <f t="shared" si="14"/>
        <v/>
      </c>
      <c r="M92" s="6"/>
      <c r="N92" s="19" t="str">
        <f t="shared" si="15"/>
        <v/>
      </c>
      <c r="O92" s="23" t="str">
        <f>IF(B92="","",TRIM(IF(COUNTIF('Registru comenzi'!$B$5:$B$304,B92)=0,"Comandă inexistentă în registru. ","")&amp;IF(AND(D92&lt;&gt;"",E92=""),"Cod necunoscut. ","")&amp;IF(N(G92)&lt;=0,"Lipsește cantitatea. ","")&amp;IF(N(M92)&gt;N(G92),"Livrat mai mult decât s-a comandat. ","")&amp;IF(N(I92)&gt;0.3,"Discount neobișnuit de mare. ","")))</f>
        <v/>
      </c>
    </row>
    <row r="93" spans="1:15" x14ac:dyDescent="0.2">
      <c r="A93" s="1" t="str">
        <f t="shared" si="8"/>
        <v/>
      </c>
      <c r="B93" s="17"/>
      <c r="C93" s="18" t="str">
        <f>IF(B93="","",COUNTIF(INDEX($B:$B,5):B93,B93))</f>
        <v/>
      </c>
      <c r="D93" s="17"/>
      <c r="E93" s="19" t="str">
        <f t="shared" si="9"/>
        <v/>
      </c>
      <c r="F93" s="18" t="str">
        <f t="shared" si="10"/>
        <v/>
      </c>
      <c r="G93" s="6"/>
      <c r="H93" s="20" t="str">
        <f t="shared" si="11"/>
        <v/>
      </c>
      <c r="I93" s="21"/>
      <c r="J93" s="22" t="str">
        <f t="shared" si="12"/>
        <v/>
      </c>
      <c r="K93" s="20" t="str">
        <f t="shared" si="13"/>
        <v/>
      </c>
      <c r="L93" s="20" t="str">
        <f t="shared" si="14"/>
        <v/>
      </c>
      <c r="M93" s="6"/>
      <c r="N93" s="19" t="str">
        <f t="shared" si="15"/>
        <v/>
      </c>
      <c r="O93" s="23" t="str">
        <f>IF(B93="","",TRIM(IF(COUNTIF('Registru comenzi'!$B$5:$B$304,B93)=0,"Comandă inexistentă în registru. ","")&amp;IF(AND(D93&lt;&gt;"",E93=""),"Cod necunoscut. ","")&amp;IF(N(G93)&lt;=0,"Lipsește cantitatea. ","")&amp;IF(N(M93)&gt;N(G93),"Livrat mai mult decât s-a comandat. ","")&amp;IF(N(I93)&gt;0.3,"Discount neobișnuit de mare. ","")))</f>
        <v/>
      </c>
    </row>
    <row r="94" spans="1:15" x14ac:dyDescent="0.2">
      <c r="A94" s="1" t="str">
        <f t="shared" si="8"/>
        <v/>
      </c>
      <c r="B94" s="17"/>
      <c r="C94" s="18" t="str">
        <f>IF(B94="","",COUNTIF(INDEX($B:$B,5):B94,B94))</f>
        <v/>
      </c>
      <c r="D94" s="17"/>
      <c r="E94" s="19" t="str">
        <f t="shared" si="9"/>
        <v/>
      </c>
      <c r="F94" s="18" t="str">
        <f t="shared" si="10"/>
        <v/>
      </c>
      <c r="G94" s="6"/>
      <c r="H94" s="20" t="str">
        <f t="shared" si="11"/>
        <v/>
      </c>
      <c r="I94" s="21"/>
      <c r="J94" s="22" t="str">
        <f t="shared" si="12"/>
        <v/>
      </c>
      <c r="K94" s="20" t="str">
        <f t="shared" si="13"/>
        <v/>
      </c>
      <c r="L94" s="20" t="str">
        <f t="shared" si="14"/>
        <v/>
      </c>
      <c r="M94" s="6"/>
      <c r="N94" s="19" t="str">
        <f t="shared" si="15"/>
        <v/>
      </c>
      <c r="O94" s="23" t="str">
        <f>IF(B94="","",TRIM(IF(COUNTIF('Registru comenzi'!$B$5:$B$304,B94)=0,"Comandă inexistentă în registru. ","")&amp;IF(AND(D94&lt;&gt;"",E94=""),"Cod necunoscut. ","")&amp;IF(N(G94)&lt;=0,"Lipsește cantitatea. ","")&amp;IF(N(M94)&gt;N(G94),"Livrat mai mult decât s-a comandat. ","")&amp;IF(N(I94)&gt;0.3,"Discount neobișnuit de mare. ","")))</f>
        <v/>
      </c>
    </row>
    <row r="95" spans="1:15" x14ac:dyDescent="0.2">
      <c r="A95" s="1" t="str">
        <f t="shared" si="8"/>
        <v/>
      </c>
      <c r="B95" s="17"/>
      <c r="C95" s="18" t="str">
        <f>IF(B95="","",COUNTIF(INDEX($B:$B,5):B95,B95))</f>
        <v/>
      </c>
      <c r="D95" s="17"/>
      <c r="E95" s="19" t="str">
        <f t="shared" si="9"/>
        <v/>
      </c>
      <c r="F95" s="18" t="str">
        <f t="shared" si="10"/>
        <v/>
      </c>
      <c r="G95" s="6"/>
      <c r="H95" s="20" t="str">
        <f t="shared" si="11"/>
        <v/>
      </c>
      <c r="I95" s="21"/>
      <c r="J95" s="22" t="str">
        <f t="shared" si="12"/>
        <v/>
      </c>
      <c r="K95" s="20" t="str">
        <f t="shared" si="13"/>
        <v/>
      </c>
      <c r="L95" s="20" t="str">
        <f t="shared" si="14"/>
        <v/>
      </c>
      <c r="M95" s="6"/>
      <c r="N95" s="19" t="str">
        <f t="shared" si="15"/>
        <v/>
      </c>
      <c r="O95" s="23" t="str">
        <f>IF(B95="","",TRIM(IF(COUNTIF('Registru comenzi'!$B$5:$B$304,B95)=0,"Comandă inexistentă în registru. ","")&amp;IF(AND(D95&lt;&gt;"",E95=""),"Cod necunoscut. ","")&amp;IF(N(G95)&lt;=0,"Lipsește cantitatea. ","")&amp;IF(N(M95)&gt;N(G95),"Livrat mai mult decât s-a comandat. ","")&amp;IF(N(I95)&gt;0.3,"Discount neobișnuit de mare. ","")))</f>
        <v/>
      </c>
    </row>
    <row r="96" spans="1:15" x14ac:dyDescent="0.2">
      <c r="A96" s="1" t="str">
        <f t="shared" si="8"/>
        <v/>
      </c>
      <c r="B96" s="17"/>
      <c r="C96" s="18" t="str">
        <f>IF(B96="","",COUNTIF(INDEX($B:$B,5):B96,B96))</f>
        <v/>
      </c>
      <c r="D96" s="17"/>
      <c r="E96" s="19" t="str">
        <f t="shared" si="9"/>
        <v/>
      </c>
      <c r="F96" s="18" t="str">
        <f t="shared" si="10"/>
        <v/>
      </c>
      <c r="G96" s="6"/>
      <c r="H96" s="20" t="str">
        <f t="shared" si="11"/>
        <v/>
      </c>
      <c r="I96" s="21"/>
      <c r="J96" s="22" t="str">
        <f t="shared" si="12"/>
        <v/>
      </c>
      <c r="K96" s="20" t="str">
        <f t="shared" si="13"/>
        <v/>
      </c>
      <c r="L96" s="20" t="str">
        <f t="shared" si="14"/>
        <v/>
      </c>
      <c r="M96" s="6"/>
      <c r="N96" s="19" t="str">
        <f t="shared" si="15"/>
        <v/>
      </c>
      <c r="O96" s="23" t="str">
        <f>IF(B96="","",TRIM(IF(COUNTIF('Registru comenzi'!$B$5:$B$304,B96)=0,"Comandă inexistentă în registru. ","")&amp;IF(AND(D96&lt;&gt;"",E96=""),"Cod necunoscut. ","")&amp;IF(N(G96)&lt;=0,"Lipsește cantitatea. ","")&amp;IF(N(M96)&gt;N(G96),"Livrat mai mult decât s-a comandat. ","")&amp;IF(N(I96)&gt;0.3,"Discount neobișnuit de mare. ","")))</f>
        <v/>
      </c>
    </row>
    <row r="97" spans="1:15" x14ac:dyDescent="0.2">
      <c r="A97" s="1" t="str">
        <f t="shared" si="8"/>
        <v/>
      </c>
      <c r="B97" s="17"/>
      <c r="C97" s="18" t="str">
        <f>IF(B97="","",COUNTIF(INDEX($B:$B,5):B97,B97))</f>
        <v/>
      </c>
      <c r="D97" s="17"/>
      <c r="E97" s="19" t="str">
        <f t="shared" si="9"/>
        <v/>
      </c>
      <c r="F97" s="18" t="str">
        <f t="shared" si="10"/>
        <v/>
      </c>
      <c r="G97" s="6"/>
      <c r="H97" s="20" t="str">
        <f t="shared" si="11"/>
        <v/>
      </c>
      <c r="I97" s="21"/>
      <c r="J97" s="22" t="str">
        <f t="shared" si="12"/>
        <v/>
      </c>
      <c r="K97" s="20" t="str">
        <f t="shared" si="13"/>
        <v/>
      </c>
      <c r="L97" s="20" t="str">
        <f t="shared" si="14"/>
        <v/>
      </c>
      <c r="M97" s="6"/>
      <c r="N97" s="19" t="str">
        <f t="shared" si="15"/>
        <v/>
      </c>
      <c r="O97" s="23" t="str">
        <f>IF(B97="","",TRIM(IF(COUNTIF('Registru comenzi'!$B$5:$B$304,B97)=0,"Comandă inexistentă în registru. ","")&amp;IF(AND(D97&lt;&gt;"",E97=""),"Cod necunoscut. ","")&amp;IF(N(G97)&lt;=0,"Lipsește cantitatea. ","")&amp;IF(N(M97)&gt;N(G97),"Livrat mai mult decât s-a comandat. ","")&amp;IF(N(I97)&gt;0.3,"Discount neobișnuit de mare. ","")))</f>
        <v/>
      </c>
    </row>
    <row r="98" spans="1:15" x14ac:dyDescent="0.2">
      <c r="A98" s="1" t="str">
        <f t="shared" si="8"/>
        <v/>
      </c>
      <c r="B98" s="17"/>
      <c r="C98" s="18" t="str">
        <f>IF(B98="","",COUNTIF(INDEX($B:$B,5):B98,B98))</f>
        <v/>
      </c>
      <c r="D98" s="17"/>
      <c r="E98" s="19" t="str">
        <f t="shared" si="9"/>
        <v/>
      </c>
      <c r="F98" s="18" t="str">
        <f t="shared" si="10"/>
        <v/>
      </c>
      <c r="G98" s="6"/>
      <c r="H98" s="20" t="str">
        <f t="shared" si="11"/>
        <v/>
      </c>
      <c r="I98" s="21"/>
      <c r="J98" s="22" t="str">
        <f t="shared" si="12"/>
        <v/>
      </c>
      <c r="K98" s="20" t="str">
        <f t="shared" si="13"/>
        <v/>
      </c>
      <c r="L98" s="20" t="str">
        <f t="shared" si="14"/>
        <v/>
      </c>
      <c r="M98" s="6"/>
      <c r="N98" s="19" t="str">
        <f t="shared" si="15"/>
        <v/>
      </c>
      <c r="O98" s="23" t="str">
        <f>IF(B98="","",TRIM(IF(COUNTIF('Registru comenzi'!$B$5:$B$304,B98)=0,"Comandă inexistentă în registru. ","")&amp;IF(AND(D98&lt;&gt;"",E98=""),"Cod necunoscut. ","")&amp;IF(N(G98)&lt;=0,"Lipsește cantitatea. ","")&amp;IF(N(M98)&gt;N(G98),"Livrat mai mult decât s-a comandat. ","")&amp;IF(N(I98)&gt;0.3,"Discount neobișnuit de mare. ","")))</f>
        <v/>
      </c>
    </row>
    <row r="99" spans="1:15" x14ac:dyDescent="0.2">
      <c r="A99" s="1" t="str">
        <f t="shared" si="8"/>
        <v/>
      </c>
      <c r="B99" s="17"/>
      <c r="C99" s="18" t="str">
        <f>IF(B99="","",COUNTIF(INDEX($B:$B,5):B99,B99))</f>
        <v/>
      </c>
      <c r="D99" s="17"/>
      <c r="E99" s="19" t="str">
        <f t="shared" si="9"/>
        <v/>
      </c>
      <c r="F99" s="18" t="str">
        <f t="shared" si="10"/>
        <v/>
      </c>
      <c r="G99" s="6"/>
      <c r="H99" s="20" t="str">
        <f t="shared" si="11"/>
        <v/>
      </c>
      <c r="I99" s="21"/>
      <c r="J99" s="22" t="str">
        <f t="shared" si="12"/>
        <v/>
      </c>
      <c r="K99" s="20" t="str">
        <f t="shared" si="13"/>
        <v/>
      </c>
      <c r="L99" s="20" t="str">
        <f t="shared" si="14"/>
        <v/>
      </c>
      <c r="M99" s="6"/>
      <c r="N99" s="19" t="str">
        <f t="shared" si="15"/>
        <v/>
      </c>
      <c r="O99" s="23" t="str">
        <f>IF(B99="","",TRIM(IF(COUNTIF('Registru comenzi'!$B$5:$B$304,B99)=0,"Comandă inexistentă în registru. ","")&amp;IF(AND(D99&lt;&gt;"",E99=""),"Cod necunoscut. ","")&amp;IF(N(G99)&lt;=0,"Lipsește cantitatea. ","")&amp;IF(N(M99)&gt;N(G99),"Livrat mai mult decât s-a comandat. ","")&amp;IF(N(I99)&gt;0.3,"Discount neobișnuit de mare. ","")))</f>
        <v/>
      </c>
    </row>
    <row r="100" spans="1:15" x14ac:dyDescent="0.2">
      <c r="A100" s="1" t="str">
        <f t="shared" si="8"/>
        <v/>
      </c>
      <c r="B100" s="17"/>
      <c r="C100" s="18" t="str">
        <f>IF(B100="","",COUNTIF(INDEX($B:$B,5):B100,B100))</f>
        <v/>
      </c>
      <c r="D100" s="17"/>
      <c r="E100" s="19" t="str">
        <f t="shared" si="9"/>
        <v/>
      </c>
      <c r="F100" s="18" t="str">
        <f t="shared" si="10"/>
        <v/>
      </c>
      <c r="G100" s="6"/>
      <c r="H100" s="20" t="str">
        <f t="shared" si="11"/>
        <v/>
      </c>
      <c r="I100" s="21"/>
      <c r="J100" s="22" t="str">
        <f t="shared" si="12"/>
        <v/>
      </c>
      <c r="K100" s="20" t="str">
        <f t="shared" si="13"/>
        <v/>
      </c>
      <c r="L100" s="20" t="str">
        <f t="shared" si="14"/>
        <v/>
      </c>
      <c r="M100" s="6"/>
      <c r="N100" s="19" t="str">
        <f t="shared" si="15"/>
        <v/>
      </c>
      <c r="O100" s="23" t="str">
        <f>IF(B100="","",TRIM(IF(COUNTIF('Registru comenzi'!$B$5:$B$304,B100)=0,"Comandă inexistentă în registru. ","")&amp;IF(AND(D100&lt;&gt;"",E100=""),"Cod necunoscut. ","")&amp;IF(N(G100)&lt;=0,"Lipsește cantitatea. ","")&amp;IF(N(M100)&gt;N(G100),"Livrat mai mult decât s-a comandat. ","")&amp;IF(N(I100)&gt;0.3,"Discount neobișnuit de mare. ","")))</f>
        <v/>
      </c>
    </row>
    <row r="101" spans="1:15" x14ac:dyDescent="0.2">
      <c r="A101" s="1" t="str">
        <f t="shared" si="8"/>
        <v/>
      </c>
      <c r="B101" s="17"/>
      <c r="C101" s="18" t="str">
        <f>IF(B101="","",COUNTIF(INDEX($B:$B,5):B101,B101))</f>
        <v/>
      </c>
      <c r="D101" s="17"/>
      <c r="E101" s="19" t="str">
        <f t="shared" si="9"/>
        <v/>
      </c>
      <c r="F101" s="18" t="str">
        <f t="shared" si="10"/>
        <v/>
      </c>
      <c r="G101" s="6"/>
      <c r="H101" s="20" t="str">
        <f t="shared" si="11"/>
        <v/>
      </c>
      <c r="I101" s="21"/>
      <c r="J101" s="22" t="str">
        <f t="shared" si="12"/>
        <v/>
      </c>
      <c r="K101" s="20" t="str">
        <f t="shared" si="13"/>
        <v/>
      </c>
      <c r="L101" s="20" t="str">
        <f t="shared" si="14"/>
        <v/>
      </c>
      <c r="M101" s="6"/>
      <c r="N101" s="19" t="str">
        <f t="shared" si="15"/>
        <v/>
      </c>
      <c r="O101" s="23" t="str">
        <f>IF(B101="","",TRIM(IF(COUNTIF('Registru comenzi'!$B$5:$B$304,B101)=0,"Comandă inexistentă în registru. ","")&amp;IF(AND(D101&lt;&gt;"",E101=""),"Cod necunoscut. ","")&amp;IF(N(G101)&lt;=0,"Lipsește cantitatea. ","")&amp;IF(N(M101)&gt;N(G101),"Livrat mai mult decât s-a comandat. ","")&amp;IF(N(I101)&gt;0.3,"Discount neobișnuit de mare. ","")))</f>
        <v/>
      </c>
    </row>
    <row r="102" spans="1:15" x14ac:dyDescent="0.2">
      <c r="A102" s="1" t="str">
        <f t="shared" si="8"/>
        <v/>
      </c>
      <c r="B102" s="17"/>
      <c r="C102" s="18" t="str">
        <f>IF(B102="","",COUNTIF(INDEX($B:$B,5):B102,B102))</f>
        <v/>
      </c>
      <c r="D102" s="17"/>
      <c r="E102" s="19" t="str">
        <f t="shared" si="9"/>
        <v/>
      </c>
      <c r="F102" s="18" t="str">
        <f t="shared" si="10"/>
        <v/>
      </c>
      <c r="G102" s="6"/>
      <c r="H102" s="20" t="str">
        <f t="shared" si="11"/>
        <v/>
      </c>
      <c r="I102" s="21"/>
      <c r="J102" s="22" t="str">
        <f t="shared" si="12"/>
        <v/>
      </c>
      <c r="K102" s="20" t="str">
        <f t="shared" si="13"/>
        <v/>
      </c>
      <c r="L102" s="20" t="str">
        <f t="shared" si="14"/>
        <v/>
      </c>
      <c r="M102" s="6"/>
      <c r="N102" s="19" t="str">
        <f t="shared" si="15"/>
        <v/>
      </c>
      <c r="O102" s="23" t="str">
        <f>IF(B102="","",TRIM(IF(COUNTIF('Registru comenzi'!$B$5:$B$304,B102)=0,"Comandă inexistentă în registru. ","")&amp;IF(AND(D102&lt;&gt;"",E102=""),"Cod necunoscut. ","")&amp;IF(N(G102)&lt;=0,"Lipsește cantitatea. ","")&amp;IF(N(M102)&gt;N(G102),"Livrat mai mult decât s-a comandat. ","")&amp;IF(N(I102)&gt;0.3,"Discount neobișnuit de mare. ","")))</f>
        <v/>
      </c>
    </row>
    <row r="103" spans="1:15" x14ac:dyDescent="0.2">
      <c r="A103" s="1" t="str">
        <f t="shared" si="8"/>
        <v/>
      </c>
      <c r="B103" s="17"/>
      <c r="C103" s="18" t="str">
        <f>IF(B103="","",COUNTIF(INDEX($B:$B,5):B103,B103))</f>
        <v/>
      </c>
      <c r="D103" s="17"/>
      <c r="E103" s="19" t="str">
        <f t="shared" si="9"/>
        <v/>
      </c>
      <c r="F103" s="18" t="str">
        <f t="shared" si="10"/>
        <v/>
      </c>
      <c r="G103" s="6"/>
      <c r="H103" s="20" t="str">
        <f t="shared" si="11"/>
        <v/>
      </c>
      <c r="I103" s="21"/>
      <c r="J103" s="22" t="str">
        <f t="shared" si="12"/>
        <v/>
      </c>
      <c r="K103" s="20" t="str">
        <f t="shared" si="13"/>
        <v/>
      </c>
      <c r="L103" s="20" t="str">
        <f t="shared" si="14"/>
        <v/>
      </c>
      <c r="M103" s="6"/>
      <c r="N103" s="19" t="str">
        <f t="shared" si="15"/>
        <v/>
      </c>
      <c r="O103" s="23" t="str">
        <f>IF(B103="","",TRIM(IF(COUNTIF('Registru comenzi'!$B$5:$B$304,B103)=0,"Comandă inexistentă în registru. ","")&amp;IF(AND(D103&lt;&gt;"",E103=""),"Cod necunoscut. ","")&amp;IF(N(G103)&lt;=0,"Lipsește cantitatea. ","")&amp;IF(N(M103)&gt;N(G103),"Livrat mai mult decât s-a comandat. ","")&amp;IF(N(I103)&gt;0.3,"Discount neobișnuit de mare. ","")))</f>
        <v/>
      </c>
    </row>
    <row r="104" spans="1:15" x14ac:dyDescent="0.2">
      <c r="A104" s="1" t="str">
        <f t="shared" si="8"/>
        <v/>
      </c>
      <c r="B104" s="17"/>
      <c r="C104" s="18" t="str">
        <f>IF(B104="","",COUNTIF(INDEX($B:$B,5):B104,B104))</f>
        <v/>
      </c>
      <c r="D104" s="17"/>
      <c r="E104" s="19" t="str">
        <f t="shared" si="9"/>
        <v/>
      </c>
      <c r="F104" s="18" t="str">
        <f t="shared" si="10"/>
        <v/>
      </c>
      <c r="G104" s="6"/>
      <c r="H104" s="20" t="str">
        <f t="shared" si="11"/>
        <v/>
      </c>
      <c r="I104" s="21"/>
      <c r="J104" s="22" t="str">
        <f t="shared" si="12"/>
        <v/>
      </c>
      <c r="K104" s="20" t="str">
        <f t="shared" si="13"/>
        <v/>
      </c>
      <c r="L104" s="20" t="str">
        <f t="shared" si="14"/>
        <v/>
      </c>
      <c r="M104" s="6"/>
      <c r="N104" s="19" t="str">
        <f t="shared" si="15"/>
        <v/>
      </c>
      <c r="O104" s="23" t="str">
        <f>IF(B104="","",TRIM(IF(COUNTIF('Registru comenzi'!$B$5:$B$304,B104)=0,"Comandă inexistentă în registru. ","")&amp;IF(AND(D104&lt;&gt;"",E104=""),"Cod necunoscut. ","")&amp;IF(N(G104)&lt;=0,"Lipsește cantitatea. ","")&amp;IF(N(M104)&gt;N(G104),"Livrat mai mult decât s-a comandat. ","")&amp;IF(N(I104)&gt;0.3,"Discount neobișnuit de mare. ","")))</f>
        <v/>
      </c>
    </row>
    <row r="105" spans="1:15" x14ac:dyDescent="0.2">
      <c r="A105" s="1" t="str">
        <f t="shared" si="8"/>
        <v/>
      </c>
      <c r="B105" s="17"/>
      <c r="C105" s="18" t="str">
        <f>IF(B105="","",COUNTIF(INDEX($B:$B,5):B105,B105))</f>
        <v/>
      </c>
      <c r="D105" s="17"/>
      <c r="E105" s="19" t="str">
        <f t="shared" si="9"/>
        <v/>
      </c>
      <c r="F105" s="18" t="str">
        <f t="shared" si="10"/>
        <v/>
      </c>
      <c r="G105" s="6"/>
      <c r="H105" s="20" t="str">
        <f t="shared" si="11"/>
        <v/>
      </c>
      <c r="I105" s="21"/>
      <c r="J105" s="22" t="str">
        <f t="shared" si="12"/>
        <v/>
      </c>
      <c r="K105" s="20" t="str">
        <f t="shared" si="13"/>
        <v/>
      </c>
      <c r="L105" s="20" t="str">
        <f t="shared" si="14"/>
        <v/>
      </c>
      <c r="M105" s="6"/>
      <c r="N105" s="19" t="str">
        <f t="shared" si="15"/>
        <v/>
      </c>
      <c r="O105" s="23" t="str">
        <f>IF(B105="","",TRIM(IF(COUNTIF('Registru comenzi'!$B$5:$B$304,B105)=0,"Comandă inexistentă în registru. ","")&amp;IF(AND(D105&lt;&gt;"",E105=""),"Cod necunoscut. ","")&amp;IF(N(G105)&lt;=0,"Lipsește cantitatea. ","")&amp;IF(N(M105)&gt;N(G105),"Livrat mai mult decât s-a comandat. ","")&amp;IF(N(I105)&gt;0.3,"Discount neobișnuit de mare. ","")))</f>
        <v/>
      </c>
    </row>
    <row r="106" spans="1:15" x14ac:dyDescent="0.2">
      <c r="A106" s="1" t="str">
        <f t="shared" si="8"/>
        <v/>
      </c>
      <c r="B106" s="17"/>
      <c r="C106" s="18" t="str">
        <f>IF(B106="","",COUNTIF(INDEX($B:$B,5):B106,B106))</f>
        <v/>
      </c>
      <c r="D106" s="17"/>
      <c r="E106" s="19" t="str">
        <f t="shared" si="9"/>
        <v/>
      </c>
      <c r="F106" s="18" t="str">
        <f t="shared" si="10"/>
        <v/>
      </c>
      <c r="G106" s="6"/>
      <c r="H106" s="20" t="str">
        <f t="shared" si="11"/>
        <v/>
      </c>
      <c r="I106" s="21"/>
      <c r="J106" s="22" t="str">
        <f t="shared" si="12"/>
        <v/>
      </c>
      <c r="K106" s="20" t="str">
        <f t="shared" si="13"/>
        <v/>
      </c>
      <c r="L106" s="20" t="str">
        <f t="shared" si="14"/>
        <v/>
      </c>
      <c r="M106" s="6"/>
      <c r="N106" s="19" t="str">
        <f t="shared" si="15"/>
        <v/>
      </c>
      <c r="O106" s="23" t="str">
        <f>IF(B106="","",TRIM(IF(COUNTIF('Registru comenzi'!$B$5:$B$304,B106)=0,"Comandă inexistentă în registru. ","")&amp;IF(AND(D106&lt;&gt;"",E106=""),"Cod necunoscut. ","")&amp;IF(N(G106)&lt;=0,"Lipsește cantitatea. ","")&amp;IF(N(M106)&gt;N(G106),"Livrat mai mult decât s-a comandat. ","")&amp;IF(N(I106)&gt;0.3,"Discount neobișnuit de mare. ","")))</f>
        <v/>
      </c>
    </row>
    <row r="107" spans="1:15" x14ac:dyDescent="0.2">
      <c r="A107" s="1" t="str">
        <f t="shared" si="8"/>
        <v/>
      </c>
      <c r="B107" s="17"/>
      <c r="C107" s="18" t="str">
        <f>IF(B107="","",COUNTIF(INDEX($B:$B,5):B107,B107))</f>
        <v/>
      </c>
      <c r="D107" s="17"/>
      <c r="E107" s="19" t="str">
        <f t="shared" si="9"/>
        <v/>
      </c>
      <c r="F107" s="18" t="str">
        <f t="shared" si="10"/>
        <v/>
      </c>
      <c r="G107" s="6"/>
      <c r="H107" s="20" t="str">
        <f t="shared" si="11"/>
        <v/>
      </c>
      <c r="I107" s="21"/>
      <c r="J107" s="22" t="str">
        <f t="shared" si="12"/>
        <v/>
      </c>
      <c r="K107" s="20" t="str">
        <f t="shared" si="13"/>
        <v/>
      </c>
      <c r="L107" s="20" t="str">
        <f t="shared" si="14"/>
        <v/>
      </c>
      <c r="M107" s="6"/>
      <c r="N107" s="19" t="str">
        <f t="shared" si="15"/>
        <v/>
      </c>
      <c r="O107" s="23" t="str">
        <f>IF(B107="","",TRIM(IF(COUNTIF('Registru comenzi'!$B$5:$B$304,B107)=0,"Comandă inexistentă în registru. ","")&amp;IF(AND(D107&lt;&gt;"",E107=""),"Cod necunoscut. ","")&amp;IF(N(G107)&lt;=0,"Lipsește cantitatea. ","")&amp;IF(N(M107)&gt;N(G107),"Livrat mai mult decât s-a comandat. ","")&amp;IF(N(I107)&gt;0.3,"Discount neobișnuit de mare. ","")))</f>
        <v/>
      </c>
    </row>
    <row r="108" spans="1:15" x14ac:dyDescent="0.2">
      <c r="A108" s="1" t="str">
        <f t="shared" si="8"/>
        <v/>
      </c>
      <c r="B108" s="17"/>
      <c r="C108" s="18" t="str">
        <f>IF(B108="","",COUNTIF(INDEX($B:$B,5):B108,B108))</f>
        <v/>
      </c>
      <c r="D108" s="17"/>
      <c r="E108" s="19" t="str">
        <f t="shared" si="9"/>
        <v/>
      </c>
      <c r="F108" s="18" t="str">
        <f t="shared" si="10"/>
        <v/>
      </c>
      <c r="G108" s="6"/>
      <c r="H108" s="20" t="str">
        <f t="shared" si="11"/>
        <v/>
      </c>
      <c r="I108" s="21"/>
      <c r="J108" s="22" t="str">
        <f t="shared" si="12"/>
        <v/>
      </c>
      <c r="K108" s="20" t="str">
        <f t="shared" si="13"/>
        <v/>
      </c>
      <c r="L108" s="20" t="str">
        <f t="shared" si="14"/>
        <v/>
      </c>
      <c r="M108" s="6"/>
      <c r="N108" s="19" t="str">
        <f t="shared" si="15"/>
        <v/>
      </c>
      <c r="O108" s="23" t="str">
        <f>IF(B108="","",TRIM(IF(COUNTIF('Registru comenzi'!$B$5:$B$304,B108)=0,"Comandă inexistentă în registru. ","")&amp;IF(AND(D108&lt;&gt;"",E108=""),"Cod necunoscut. ","")&amp;IF(N(G108)&lt;=0,"Lipsește cantitatea. ","")&amp;IF(N(M108)&gt;N(G108),"Livrat mai mult decât s-a comandat. ","")&amp;IF(N(I108)&gt;0.3,"Discount neobișnuit de mare. ","")))</f>
        <v/>
      </c>
    </row>
    <row r="109" spans="1:15" x14ac:dyDescent="0.2">
      <c r="A109" s="1" t="str">
        <f t="shared" si="8"/>
        <v/>
      </c>
      <c r="B109" s="17"/>
      <c r="C109" s="18" t="str">
        <f>IF(B109="","",COUNTIF(INDEX($B:$B,5):B109,B109))</f>
        <v/>
      </c>
      <c r="D109" s="17"/>
      <c r="E109" s="19" t="str">
        <f t="shared" si="9"/>
        <v/>
      </c>
      <c r="F109" s="18" t="str">
        <f t="shared" si="10"/>
        <v/>
      </c>
      <c r="G109" s="6"/>
      <c r="H109" s="20" t="str">
        <f t="shared" si="11"/>
        <v/>
      </c>
      <c r="I109" s="21"/>
      <c r="J109" s="22" t="str">
        <f t="shared" si="12"/>
        <v/>
      </c>
      <c r="K109" s="20" t="str">
        <f t="shared" si="13"/>
        <v/>
      </c>
      <c r="L109" s="20" t="str">
        <f t="shared" si="14"/>
        <v/>
      </c>
      <c r="M109" s="6"/>
      <c r="N109" s="19" t="str">
        <f t="shared" si="15"/>
        <v/>
      </c>
      <c r="O109" s="23" t="str">
        <f>IF(B109="","",TRIM(IF(COUNTIF('Registru comenzi'!$B$5:$B$304,B109)=0,"Comandă inexistentă în registru. ","")&amp;IF(AND(D109&lt;&gt;"",E109=""),"Cod necunoscut. ","")&amp;IF(N(G109)&lt;=0,"Lipsește cantitatea. ","")&amp;IF(N(M109)&gt;N(G109),"Livrat mai mult decât s-a comandat. ","")&amp;IF(N(I109)&gt;0.3,"Discount neobișnuit de mare. ","")))</f>
        <v/>
      </c>
    </row>
    <row r="110" spans="1:15" x14ac:dyDescent="0.2">
      <c r="A110" s="1" t="str">
        <f t="shared" si="8"/>
        <v/>
      </c>
      <c r="B110" s="17"/>
      <c r="C110" s="18" t="str">
        <f>IF(B110="","",COUNTIF(INDEX($B:$B,5):B110,B110))</f>
        <v/>
      </c>
      <c r="D110" s="17"/>
      <c r="E110" s="19" t="str">
        <f t="shared" si="9"/>
        <v/>
      </c>
      <c r="F110" s="18" t="str">
        <f t="shared" si="10"/>
        <v/>
      </c>
      <c r="G110" s="6"/>
      <c r="H110" s="20" t="str">
        <f t="shared" si="11"/>
        <v/>
      </c>
      <c r="I110" s="21"/>
      <c r="J110" s="22" t="str">
        <f t="shared" si="12"/>
        <v/>
      </c>
      <c r="K110" s="20" t="str">
        <f t="shared" si="13"/>
        <v/>
      </c>
      <c r="L110" s="20" t="str">
        <f t="shared" si="14"/>
        <v/>
      </c>
      <c r="M110" s="6"/>
      <c r="N110" s="19" t="str">
        <f t="shared" si="15"/>
        <v/>
      </c>
      <c r="O110" s="23" t="str">
        <f>IF(B110="","",TRIM(IF(COUNTIF('Registru comenzi'!$B$5:$B$304,B110)=0,"Comandă inexistentă în registru. ","")&amp;IF(AND(D110&lt;&gt;"",E110=""),"Cod necunoscut. ","")&amp;IF(N(G110)&lt;=0,"Lipsește cantitatea. ","")&amp;IF(N(M110)&gt;N(G110),"Livrat mai mult decât s-a comandat. ","")&amp;IF(N(I110)&gt;0.3,"Discount neobișnuit de mare. ","")))</f>
        <v/>
      </c>
    </row>
    <row r="111" spans="1:15" x14ac:dyDescent="0.2">
      <c r="A111" s="1" t="str">
        <f t="shared" si="8"/>
        <v/>
      </c>
      <c r="B111" s="17"/>
      <c r="C111" s="18" t="str">
        <f>IF(B111="","",COUNTIF(INDEX($B:$B,5):B111,B111))</f>
        <v/>
      </c>
      <c r="D111" s="17"/>
      <c r="E111" s="19" t="str">
        <f t="shared" si="9"/>
        <v/>
      </c>
      <c r="F111" s="18" t="str">
        <f t="shared" si="10"/>
        <v/>
      </c>
      <c r="G111" s="6"/>
      <c r="H111" s="20" t="str">
        <f t="shared" si="11"/>
        <v/>
      </c>
      <c r="I111" s="21"/>
      <c r="J111" s="22" t="str">
        <f t="shared" si="12"/>
        <v/>
      </c>
      <c r="K111" s="20" t="str">
        <f t="shared" si="13"/>
        <v/>
      </c>
      <c r="L111" s="20" t="str">
        <f t="shared" si="14"/>
        <v/>
      </c>
      <c r="M111" s="6"/>
      <c r="N111" s="19" t="str">
        <f t="shared" si="15"/>
        <v/>
      </c>
      <c r="O111" s="23" t="str">
        <f>IF(B111="","",TRIM(IF(COUNTIF('Registru comenzi'!$B$5:$B$304,B111)=0,"Comandă inexistentă în registru. ","")&amp;IF(AND(D111&lt;&gt;"",E111=""),"Cod necunoscut. ","")&amp;IF(N(G111)&lt;=0,"Lipsește cantitatea. ","")&amp;IF(N(M111)&gt;N(G111),"Livrat mai mult decât s-a comandat. ","")&amp;IF(N(I111)&gt;0.3,"Discount neobișnuit de mare. ","")))</f>
        <v/>
      </c>
    </row>
    <row r="112" spans="1:15" x14ac:dyDescent="0.2">
      <c r="A112" s="1" t="str">
        <f t="shared" si="8"/>
        <v/>
      </c>
      <c r="B112" s="17"/>
      <c r="C112" s="18" t="str">
        <f>IF(B112="","",COUNTIF(INDEX($B:$B,5):B112,B112))</f>
        <v/>
      </c>
      <c r="D112" s="17"/>
      <c r="E112" s="19" t="str">
        <f t="shared" si="9"/>
        <v/>
      </c>
      <c r="F112" s="18" t="str">
        <f t="shared" si="10"/>
        <v/>
      </c>
      <c r="G112" s="6"/>
      <c r="H112" s="20" t="str">
        <f t="shared" si="11"/>
        <v/>
      </c>
      <c r="I112" s="21"/>
      <c r="J112" s="22" t="str">
        <f t="shared" si="12"/>
        <v/>
      </c>
      <c r="K112" s="20" t="str">
        <f t="shared" si="13"/>
        <v/>
      </c>
      <c r="L112" s="20" t="str">
        <f t="shared" si="14"/>
        <v/>
      </c>
      <c r="M112" s="6"/>
      <c r="N112" s="19" t="str">
        <f t="shared" si="15"/>
        <v/>
      </c>
      <c r="O112" s="23" t="str">
        <f>IF(B112="","",TRIM(IF(COUNTIF('Registru comenzi'!$B$5:$B$304,B112)=0,"Comandă inexistentă în registru. ","")&amp;IF(AND(D112&lt;&gt;"",E112=""),"Cod necunoscut. ","")&amp;IF(N(G112)&lt;=0,"Lipsește cantitatea. ","")&amp;IF(N(M112)&gt;N(G112),"Livrat mai mult decât s-a comandat. ","")&amp;IF(N(I112)&gt;0.3,"Discount neobișnuit de mare. ","")))</f>
        <v/>
      </c>
    </row>
    <row r="113" spans="1:15" x14ac:dyDescent="0.2">
      <c r="A113" s="1" t="str">
        <f t="shared" si="8"/>
        <v/>
      </c>
      <c r="B113" s="17"/>
      <c r="C113" s="18" t="str">
        <f>IF(B113="","",COUNTIF(INDEX($B:$B,5):B113,B113))</f>
        <v/>
      </c>
      <c r="D113" s="17"/>
      <c r="E113" s="19" t="str">
        <f t="shared" si="9"/>
        <v/>
      </c>
      <c r="F113" s="18" t="str">
        <f t="shared" si="10"/>
        <v/>
      </c>
      <c r="G113" s="6"/>
      <c r="H113" s="20" t="str">
        <f t="shared" si="11"/>
        <v/>
      </c>
      <c r="I113" s="21"/>
      <c r="J113" s="22" t="str">
        <f t="shared" si="12"/>
        <v/>
      </c>
      <c r="K113" s="20" t="str">
        <f t="shared" si="13"/>
        <v/>
      </c>
      <c r="L113" s="20" t="str">
        <f t="shared" si="14"/>
        <v/>
      </c>
      <c r="M113" s="6"/>
      <c r="N113" s="19" t="str">
        <f t="shared" si="15"/>
        <v/>
      </c>
      <c r="O113" s="23" t="str">
        <f>IF(B113="","",TRIM(IF(COUNTIF('Registru comenzi'!$B$5:$B$304,B113)=0,"Comandă inexistentă în registru. ","")&amp;IF(AND(D113&lt;&gt;"",E113=""),"Cod necunoscut. ","")&amp;IF(N(G113)&lt;=0,"Lipsește cantitatea. ","")&amp;IF(N(M113)&gt;N(G113),"Livrat mai mult decât s-a comandat. ","")&amp;IF(N(I113)&gt;0.3,"Discount neobișnuit de mare. ","")))</f>
        <v/>
      </c>
    </row>
    <row r="114" spans="1:15" x14ac:dyDescent="0.2">
      <c r="A114" s="1" t="str">
        <f t="shared" si="8"/>
        <v/>
      </c>
      <c r="B114" s="17"/>
      <c r="C114" s="18" t="str">
        <f>IF(B114="","",COUNTIF(INDEX($B:$B,5):B114,B114))</f>
        <v/>
      </c>
      <c r="D114" s="17"/>
      <c r="E114" s="19" t="str">
        <f t="shared" si="9"/>
        <v/>
      </c>
      <c r="F114" s="18" t="str">
        <f t="shared" si="10"/>
        <v/>
      </c>
      <c r="G114" s="6"/>
      <c r="H114" s="20" t="str">
        <f t="shared" si="11"/>
        <v/>
      </c>
      <c r="I114" s="21"/>
      <c r="J114" s="22" t="str">
        <f t="shared" si="12"/>
        <v/>
      </c>
      <c r="K114" s="20" t="str">
        <f t="shared" si="13"/>
        <v/>
      </c>
      <c r="L114" s="20" t="str">
        <f t="shared" si="14"/>
        <v/>
      </c>
      <c r="M114" s="6"/>
      <c r="N114" s="19" t="str">
        <f t="shared" si="15"/>
        <v/>
      </c>
      <c r="O114" s="23" t="str">
        <f>IF(B114="","",TRIM(IF(COUNTIF('Registru comenzi'!$B$5:$B$304,B114)=0,"Comandă inexistentă în registru. ","")&amp;IF(AND(D114&lt;&gt;"",E114=""),"Cod necunoscut. ","")&amp;IF(N(G114)&lt;=0,"Lipsește cantitatea. ","")&amp;IF(N(M114)&gt;N(G114),"Livrat mai mult decât s-a comandat. ","")&amp;IF(N(I114)&gt;0.3,"Discount neobișnuit de mare. ","")))</f>
        <v/>
      </c>
    </row>
    <row r="115" spans="1:15" x14ac:dyDescent="0.2">
      <c r="A115" s="1" t="str">
        <f t="shared" si="8"/>
        <v/>
      </c>
      <c r="B115" s="17"/>
      <c r="C115" s="18" t="str">
        <f>IF(B115="","",COUNTIF(INDEX($B:$B,5):B115,B115))</f>
        <v/>
      </c>
      <c r="D115" s="17"/>
      <c r="E115" s="19" t="str">
        <f t="shared" si="9"/>
        <v/>
      </c>
      <c r="F115" s="18" t="str">
        <f t="shared" si="10"/>
        <v/>
      </c>
      <c r="G115" s="6"/>
      <c r="H115" s="20" t="str">
        <f t="shared" si="11"/>
        <v/>
      </c>
      <c r="I115" s="21"/>
      <c r="J115" s="22" t="str">
        <f t="shared" si="12"/>
        <v/>
      </c>
      <c r="K115" s="20" t="str">
        <f t="shared" si="13"/>
        <v/>
      </c>
      <c r="L115" s="20" t="str">
        <f t="shared" si="14"/>
        <v/>
      </c>
      <c r="M115" s="6"/>
      <c r="N115" s="19" t="str">
        <f t="shared" si="15"/>
        <v/>
      </c>
      <c r="O115" s="23" t="str">
        <f>IF(B115="","",TRIM(IF(COUNTIF('Registru comenzi'!$B$5:$B$304,B115)=0,"Comandă inexistentă în registru. ","")&amp;IF(AND(D115&lt;&gt;"",E115=""),"Cod necunoscut. ","")&amp;IF(N(G115)&lt;=0,"Lipsește cantitatea. ","")&amp;IF(N(M115)&gt;N(G115),"Livrat mai mult decât s-a comandat. ","")&amp;IF(N(I115)&gt;0.3,"Discount neobișnuit de mare. ","")))</f>
        <v/>
      </c>
    </row>
    <row r="116" spans="1:15" x14ac:dyDescent="0.2">
      <c r="A116" s="1" t="str">
        <f t="shared" si="8"/>
        <v/>
      </c>
      <c r="B116" s="17"/>
      <c r="C116" s="18" t="str">
        <f>IF(B116="","",COUNTIF(INDEX($B:$B,5):B116,B116))</f>
        <v/>
      </c>
      <c r="D116" s="17"/>
      <c r="E116" s="19" t="str">
        <f t="shared" si="9"/>
        <v/>
      </c>
      <c r="F116" s="18" t="str">
        <f t="shared" si="10"/>
        <v/>
      </c>
      <c r="G116" s="6"/>
      <c r="H116" s="20" t="str">
        <f t="shared" si="11"/>
        <v/>
      </c>
      <c r="I116" s="21"/>
      <c r="J116" s="22" t="str">
        <f t="shared" si="12"/>
        <v/>
      </c>
      <c r="K116" s="20" t="str">
        <f t="shared" si="13"/>
        <v/>
      </c>
      <c r="L116" s="20" t="str">
        <f t="shared" si="14"/>
        <v/>
      </c>
      <c r="M116" s="6"/>
      <c r="N116" s="19" t="str">
        <f t="shared" si="15"/>
        <v/>
      </c>
      <c r="O116" s="23" t="str">
        <f>IF(B116="","",TRIM(IF(COUNTIF('Registru comenzi'!$B$5:$B$304,B116)=0,"Comandă inexistentă în registru. ","")&amp;IF(AND(D116&lt;&gt;"",E116=""),"Cod necunoscut. ","")&amp;IF(N(G116)&lt;=0,"Lipsește cantitatea. ","")&amp;IF(N(M116)&gt;N(G116),"Livrat mai mult decât s-a comandat. ","")&amp;IF(N(I116)&gt;0.3,"Discount neobișnuit de mare. ","")))</f>
        <v/>
      </c>
    </row>
    <row r="117" spans="1:15" x14ac:dyDescent="0.2">
      <c r="A117" s="1" t="str">
        <f t="shared" si="8"/>
        <v/>
      </c>
      <c r="B117" s="17"/>
      <c r="C117" s="18" t="str">
        <f>IF(B117="","",COUNTIF(INDEX($B:$B,5):B117,B117))</f>
        <v/>
      </c>
      <c r="D117" s="17"/>
      <c r="E117" s="19" t="str">
        <f t="shared" si="9"/>
        <v/>
      </c>
      <c r="F117" s="18" t="str">
        <f t="shared" si="10"/>
        <v/>
      </c>
      <c r="G117" s="6"/>
      <c r="H117" s="20" t="str">
        <f t="shared" si="11"/>
        <v/>
      </c>
      <c r="I117" s="21"/>
      <c r="J117" s="22" t="str">
        <f t="shared" si="12"/>
        <v/>
      </c>
      <c r="K117" s="20" t="str">
        <f t="shared" si="13"/>
        <v/>
      </c>
      <c r="L117" s="20" t="str">
        <f t="shared" si="14"/>
        <v/>
      </c>
      <c r="M117" s="6"/>
      <c r="N117" s="19" t="str">
        <f t="shared" si="15"/>
        <v/>
      </c>
      <c r="O117" s="23" t="str">
        <f>IF(B117="","",TRIM(IF(COUNTIF('Registru comenzi'!$B$5:$B$304,B117)=0,"Comandă inexistentă în registru. ","")&amp;IF(AND(D117&lt;&gt;"",E117=""),"Cod necunoscut. ","")&amp;IF(N(G117)&lt;=0,"Lipsește cantitatea. ","")&amp;IF(N(M117)&gt;N(G117),"Livrat mai mult decât s-a comandat. ","")&amp;IF(N(I117)&gt;0.3,"Discount neobișnuit de mare. ","")))</f>
        <v/>
      </c>
    </row>
    <row r="118" spans="1:15" x14ac:dyDescent="0.2">
      <c r="A118" s="1" t="str">
        <f t="shared" si="8"/>
        <v/>
      </c>
      <c r="B118" s="17"/>
      <c r="C118" s="18" t="str">
        <f>IF(B118="","",COUNTIF(INDEX($B:$B,5):B118,B118))</f>
        <v/>
      </c>
      <c r="D118" s="17"/>
      <c r="E118" s="19" t="str">
        <f t="shared" si="9"/>
        <v/>
      </c>
      <c r="F118" s="18" t="str">
        <f t="shared" si="10"/>
        <v/>
      </c>
      <c r="G118" s="6"/>
      <c r="H118" s="20" t="str">
        <f t="shared" si="11"/>
        <v/>
      </c>
      <c r="I118" s="21"/>
      <c r="J118" s="22" t="str">
        <f t="shared" si="12"/>
        <v/>
      </c>
      <c r="K118" s="20" t="str">
        <f t="shared" si="13"/>
        <v/>
      </c>
      <c r="L118" s="20" t="str">
        <f t="shared" si="14"/>
        <v/>
      </c>
      <c r="M118" s="6"/>
      <c r="N118" s="19" t="str">
        <f t="shared" si="15"/>
        <v/>
      </c>
      <c r="O118" s="23" t="str">
        <f>IF(B118="","",TRIM(IF(COUNTIF('Registru comenzi'!$B$5:$B$304,B118)=0,"Comandă inexistentă în registru. ","")&amp;IF(AND(D118&lt;&gt;"",E118=""),"Cod necunoscut. ","")&amp;IF(N(G118)&lt;=0,"Lipsește cantitatea. ","")&amp;IF(N(M118)&gt;N(G118),"Livrat mai mult decât s-a comandat. ","")&amp;IF(N(I118)&gt;0.3,"Discount neobișnuit de mare. ","")))</f>
        <v/>
      </c>
    </row>
    <row r="119" spans="1:15" x14ac:dyDescent="0.2">
      <c r="A119" s="1" t="str">
        <f t="shared" si="8"/>
        <v/>
      </c>
      <c r="B119" s="17"/>
      <c r="C119" s="18" t="str">
        <f>IF(B119="","",COUNTIF(INDEX($B:$B,5):B119,B119))</f>
        <v/>
      </c>
      <c r="D119" s="17"/>
      <c r="E119" s="19" t="str">
        <f t="shared" si="9"/>
        <v/>
      </c>
      <c r="F119" s="18" t="str">
        <f t="shared" si="10"/>
        <v/>
      </c>
      <c r="G119" s="6"/>
      <c r="H119" s="20" t="str">
        <f t="shared" si="11"/>
        <v/>
      </c>
      <c r="I119" s="21"/>
      <c r="J119" s="22" t="str">
        <f t="shared" si="12"/>
        <v/>
      </c>
      <c r="K119" s="20" t="str">
        <f t="shared" si="13"/>
        <v/>
      </c>
      <c r="L119" s="20" t="str">
        <f t="shared" si="14"/>
        <v/>
      </c>
      <c r="M119" s="6"/>
      <c r="N119" s="19" t="str">
        <f t="shared" si="15"/>
        <v/>
      </c>
      <c r="O119" s="23" t="str">
        <f>IF(B119="","",TRIM(IF(COUNTIF('Registru comenzi'!$B$5:$B$304,B119)=0,"Comandă inexistentă în registru. ","")&amp;IF(AND(D119&lt;&gt;"",E119=""),"Cod necunoscut. ","")&amp;IF(N(G119)&lt;=0,"Lipsește cantitatea. ","")&amp;IF(N(M119)&gt;N(G119),"Livrat mai mult decât s-a comandat. ","")&amp;IF(N(I119)&gt;0.3,"Discount neobișnuit de mare. ","")))</f>
        <v/>
      </c>
    </row>
    <row r="120" spans="1:15" x14ac:dyDescent="0.2">
      <c r="A120" s="1" t="str">
        <f t="shared" si="8"/>
        <v/>
      </c>
      <c r="B120" s="17"/>
      <c r="C120" s="18" t="str">
        <f>IF(B120="","",COUNTIF(INDEX($B:$B,5):B120,B120))</f>
        <v/>
      </c>
      <c r="D120" s="17"/>
      <c r="E120" s="19" t="str">
        <f t="shared" si="9"/>
        <v/>
      </c>
      <c r="F120" s="18" t="str">
        <f t="shared" si="10"/>
        <v/>
      </c>
      <c r="G120" s="6"/>
      <c r="H120" s="20" t="str">
        <f t="shared" si="11"/>
        <v/>
      </c>
      <c r="I120" s="21"/>
      <c r="J120" s="22" t="str">
        <f t="shared" si="12"/>
        <v/>
      </c>
      <c r="K120" s="20" t="str">
        <f t="shared" si="13"/>
        <v/>
      </c>
      <c r="L120" s="20" t="str">
        <f t="shared" si="14"/>
        <v/>
      </c>
      <c r="M120" s="6"/>
      <c r="N120" s="19" t="str">
        <f t="shared" si="15"/>
        <v/>
      </c>
      <c r="O120" s="23" t="str">
        <f>IF(B120="","",TRIM(IF(COUNTIF('Registru comenzi'!$B$5:$B$304,B120)=0,"Comandă inexistentă în registru. ","")&amp;IF(AND(D120&lt;&gt;"",E120=""),"Cod necunoscut. ","")&amp;IF(N(G120)&lt;=0,"Lipsește cantitatea. ","")&amp;IF(N(M120)&gt;N(G120),"Livrat mai mult decât s-a comandat. ","")&amp;IF(N(I120)&gt;0.3,"Discount neobișnuit de mare. ","")))</f>
        <v/>
      </c>
    </row>
    <row r="121" spans="1:15" x14ac:dyDescent="0.2">
      <c r="A121" s="1" t="str">
        <f t="shared" si="8"/>
        <v/>
      </c>
      <c r="B121" s="17"/>
      <c r="C121" s="18" t="str">
        <f>IF(B121="","",COUNTIF(INDEX($B:$B,5):B121,B121))</f>
        <v/>
      </c>
      <c r="D121" s="17"/>
      <c r="E121" s="19" t="str">
        <f t="shared" si="9"/>
        <v/>
      </c>
      <c r="F121" s="18" t="str">
        <f t="shared" si="10"/>
        <v/>
      </c>
      <c r="G121" s="6"/>
      <c r="H121" s="20" t="str">
        <f t="shared" si="11"/>
        <v/>
      </c>
      <c r="I121" s="21"/>
      <c r="J121" s="22" t="str">
        <f t="shared" si="12"/>
        <v/>
      </c>
      <c r="K121" s="20" t="str">
        <f t="shared" si="13"/>
        <v/>
      </c>
      <c r="L121" s="20" t="str">
        <f t="shared" si="14"/>
        <v/>
      </c>
      <c r="M121" s="6"/>
      <c r="N121" s="19" t="str">
        <f t="shared" si="15"/>
        <v/>
      </c>
      <c r="O121" s="23" t="str">
        <f>IF(B121="","",TRIM(IF(COUNTIF('Registru comenzi'!$B$5:$B$304,B121)=0,"Comandă inexistentă în registru. ","")&amp;IF(AND(D121&lt;&gt;"",E121=""),"Cod necunoscut. ","")&amp;IF(N(G121)&lt;=0,"Lipsește cantitatea. ","")&amp;IF(N(M121)&gt;N(G121),"Livrat mai mult decât s-a comandat. ","")&amp;IF(N(I121)&gt;0.3,"Discount neobișnuit de mare. ","")))</f>
        <v/>
      </c>
    </row>
    <row r="122" spans="1:15" x14ac:dyDescent="0.2">
      <c r="A122" s="1" t="str">
        <f t="shared" si="8"/>
        <v/>
      </c>
      <c r="B122" s="17"/>
      <c r="C122" s="18" t="str">
        <f>IF(B122="","",COUNTIF(INDEX($B:$B,5):B122,B122))</f>
        <v/>
      </c>
      <c r="D122" s="17"/>
      <c r="E122" s="19" t="str">
        <f t="shared" si="9"/>
        <v/>
      </c>
      <c r="F122" s="18" t="str">
        <f t="shared" si="10"/>
        <v/>
      </c>
      <c r="G122" s="6"/>
      <c r="H122" s="20" t="str">
        <f t="shared" si="11"/>
        <v/>
      </c>
      <c r="I122" s="21"/>
      <c r="J122" s="22" t="str">
        <f t="shared" si="12"/>
        <v/>
      </c>
      <c r="K122" s="20" t="str">
        <f t="shared" si="13"/>
        <v/>
      </c>
      <c r="L122" s="20" t="str">
        <f t="shared" si="14"/>
        <v/>
      </c>
      <c r="M122" s="6"/>
      <c r="N122" s="19" t="str">
        <f t="shared" si="15"/>
        <v/>
      </c>
      <c r="O122" s="23" t="str">
        <f>IF(B122="","",TRIM(IF(COUNTIF('Registru comenzi'!$B$5:$B$304,B122)=0,"Comandă inexistentă în registru. ","")&amp;IF(AND(D122&lt;&gt;"",E122=""),"Cod necunoscut. ","")&amp;IF(N(G122)&lt;=0,"Lipsește cantitatea. ","")&amp;IF(N(M122)&gt;N(G122),"Livrat mai mult decât s-a comandat. ","")&amp;IF(N(I122)&gt;0.3,"Discount neobișnuit de mare. ","")))</f>
        <v/>
      </c>
    </row>
    <row r="123" spans="1:15" x14ac:dyDescent="0.2">
      <c r="A123" s="1" t="str">
        <f t="shared" si="8"/>
        <v/>
      </c>
      <c r="B123" s="17"/>
      <c r="C123" s="18" t="str">
        <f>IF(B123="","",COUNTIF(INDEX($B:$B,5):B123,B123))</f>
        <v/>
      </c>
      <c r="D123" s="17"/>
      <c r="E123" s="19" t="str">
        <f t="shared" si="9"/>
        <v/>
      </c>
      <c r="F123" s="18" t="str">
        <f t="shared" si="10"/>
        <v/>
      </c>
      <c r="G123" s="6"/>
      <c r="H123" s="20" t="str">
        <f t="shared" si="11"/>
        <v/>
      </c>
      <c r="I123" s="21"/>
      <c r="J123" s="22" t="str">
        <f t="shared" si="12"/>
        <v/>
      </c>
      <c r="K123" s="20" t="str">
        <f t="shared" si="13"/>
        <v/>
      </c>
      <c r="L123" s="20" t="str">
        <f t="shared" si="14"/>
        <v/>
      </c>
      <c r="M123" s="6"/>
      <c r="N123" s="19" t="str">
        <f t="shared" si="15"/>
        <v/>
      </c>
      <c r="O123" s="23" t="str">
        <f>IF(B123="","",TRIM(IF(COUNTIF('Registru comenzi'!$B$5:$B$304,B123)=0,"Comandă inexistentă în registru. ","")&amp;IF(AND(D123&lt;&gt;"",E123=""),"Cod necunoscut. ","")&amp;IF(N(G123)&lt;=0,"Lipsește cantitatea. ","")&amp;IF(N(M123)&gt;N(G123),"Livrat mai mult decât s-a comandat. ","")&amp;IF(N(I123)&gt;0.3,"Discount neobișnuit de mare. ","")))</f>
        <v/>
      </c>
    </row>
    <row r="124" spans="1:15" x14ac:dyDescent="0.2">
      <c r="A124" s="1" t="str">
        <f t="shared" si="8"/>
        <v/>
      </c>
      <c r="B124" s="17"/>
      <c r="C124" s="18" t="str">
        <f>IF(B124="","",COUNTIF(INDEX($B:$B,5):B124,B124))</f>
        <v/>
      </c>
      <c r="D124" s="17"/>
      <c r="E124" s="19" t="str">
        <f t="shared" si="9"/>
        <v/>
      </c>
      <c r="F124" s="18" t="str">
        <f t="shared" si="10"/>
        <v/>
      </c>
      <c r="G124" s="6"/>
      <c r="H124" s="20" t="str">
        <f t="shared" si="11"/>
        <v/>
      </c>
      <c r="I124" s="21"/>
      <c r="J124" s="22" t="str">
        <f t="shared" si="12"/>
        <v/>
      </c>
      <c r="K124" s="20" t="str">
        <f t="shared" si="13"/>
        <v/>
      </c>
      <c r="L124" s="20" t="str">
        <f t="shared" si="14"/>
        <v/>
      </c>
      <c r="M124" s="6"/>
      <c r="N124" s="19" t="str">
        <f t="shared" si="15"/>
        <v/>
      </c>
      <c r="O124" s="23" t="str">
        <f>IF(B124="","",TRIM(IF(COUNTIF('Registru comenzi'!$B$5:$B$304,B124)=0,"Comandă inexistentă în registru. ","")&amp;IF(AND(D124&lt;&gt;"",E124=""),"Cod necunoscut. ","")&amp;IF(N(G124)&lt;=0,"Lipsește cantitatea. ","")&amp;IF(N(M124)&gt;N(G124),"Livrat mai mult decât s-a comandat. ","")&amp;IF(N(I124)&gt;0.3,"Discount neobișnuit de mare. ","")))</f>
        <v/>
      </c>
    </row>
    <row r="125" spans="1:15" x14ac:dyDescent="0.2">
      <c r="A125" s="1" t="str">
        <f t="shared" si="8"/>
        <v/>
      </c>
      <c r="B125" s="17"/>
      <c r="C125" s="18" t="str">
        <f>IF(B125="","",COUNTIF(INDEX($B:$B,5):B125,B125))</f>
        <v/>
      </c>
      <c r="D125" s="17"/>
      <c r="E125" s="19" t="str">
        <f t="shared" si="9"/>
        <v/>
      </c>
      <c r="F125" s="18" t="str">
        <f t="shared" si="10"/>
        <v/>
      </c>
      <c r="G125" s="6"/>
      <c r="H125" s="20" t="str">
        <f t="shared" si="11"/>
        <v/>
      </c>
      <c r="I125" s="21"/>
      <c r="J125" s="22" t="str">
        <f t="shared" si="12"/>
        <v/>
      </c>
      <c r="K125" s="20" t="str">
        <f t="shared" si="13"/>
        <v/>
      </c>
      <c r="L125" s="20" t="str">
        <f t="shared" si="14"/>
        <v/>
      </c>
      <c r="M125" s="6"/>
      <c r="N125" s="19" t="str">
        <f t="shared" si="15"/>
        <v/>
      </c>
      <c r="O125" s="23" t="str">
        <f>IF(B125="","",TRIM(IF(COUNTIF('Registru comenzi'!$B$5:$B$304,B125)=0,"Comandă inexistentă în registru. ","")&amp;IF(AND(D125&lt;&gt;"",E125=""),"Cod necunoscut. ","")&amp;IF(N(G125)&lt;=0,"Lipsește cantitatea. ","")&amp;IF(N(M125)&gt;N(G125),"Livrat mai mult decât s-a comandat. ","")&amp;IF(N(I125)&gt;0.3,"Discount neobișnuit de mare. ","")))</f>
        <v/>
      </c>
    </row>
    <row r="126" spans="1:15" x14ac:dyDescent="0.2">
      <c r="A126" s="1" t="str">
        <f t="shared" si="8"/>
        <v/>
      </c>
      <c r="B126" s="17"/>
      <c r="C126" s="18" t="str">
        <f>IF(B126="","",COUNTIF(INDEX($B:$B,5):B126,B126))</f>
        <v/>
      </c>
      <c r="D126" s="17"/>
      <c r="E126" s="19" t="str">
        <f t="shared" si="9"/>
        <v/>
      </c>
      <c r="F126" s="18" t="str">
        <f t="shared" si="10"/>
        <v/>
      </c>
      <c r="G126" s="6"/>
      <c r="H126" s="20" t="str">
        <f t="shared" si="11"/>
        <v/>
      </c>
      <c r="I126" s="21"/>
      <c r="J126" s="22" t="str">
        <f t="shared" si="12"/>
        <v/>
      </c>
      <c r="K126" s="20" t="str">
        <f t="shared" si="13"/>
        <v/>
      </c>
      <c r="L126" s="20" t="str">
        <f t="shared" si="14"/>
        <v/>
      </c>
      <c r="M126" s="6"/>
      <c r="N126" s="19" t="str">
        <f t="shared" si="15"/>
        <v/>
      </c>
      <c r="O126" s="23" t="str">
        <f>IF(B126="","",TRIM(IF(COUNTIF('Registru comenzi'!$B$5:$B$304,B126)=0,"Comandă inexistentă în registru. ","")&amp;IF(AND(D126&lt;&gt;"",E126=""),"Cod necunoscut. ","")&amp;IF(N(G126)&lt;=0,"Lipsește cantitatea. ","")&amp;IF(N(M126)&gt;N(G126),"Livrat mai mult decât s-a comandat. ","")&amp;IF(N(I126)&gt;0.3,"Discount neobișnuit de mare. ","")))</f>
        <v/>
      </c>
    </row>
    <row r="127" spans="1:15" x14ac:dyDescent="0.2">
      <c r="A127" s="1" t="str">
        <f t="shared" si="8"/>
        <v/>
      </c>
      <c r="B127" s="17"/>
      <c r="C127" s="18" t="str">
        <f>IF(B127="","",COUNTIF(INDEX($B:$B,5):B127,B127))</f>
        <v/>
      </c>
      <c r="D127" s="17"/>
      <c r="E127" s="19" t="str">
        <f t="shared" si="9"/>
        <v/>
      </c>
      <c r="F127" s="18" t="str">
        <f t="shared" si="10"/>
        <v/>
      </c>
      <c r="G127" s="6"/>
      <c r="H127" s="20" t="str">
        <f t="shared" si="11"/>
        <v/>
      </c>
      <c r="I127" s="21"/>
      <c r="J127" s="22" t="str">
        <f t="shared" si="12"/>
        <v/>
      </c>
      <c r="K127" s="20" t="str">
        <f t="shared" si="13"/>
        <v/>
      </c>
      <c r="L127" s="20" t="str">
        <f t="shared" si="14"/>
        <v/>
      </c>
      <c r="M127" s="6"/>
      <c r="N127" s="19" t="str">
        <f t="shared" si="15"/>
        <v/>
      </c>
      <c r="O127" s="23" t="str">
        <f>IF(B127="","",TRIM(IF(COUNTIF('Registru comenzi'!$B$5:$B$304,B127)=0,"Comandă inexistentă în registru. ","")&amp;IF(AND(D127&lt;&gt;"",E127=""),"Cod necunoscut. ","")&amp;IF(N(G127)&lt;=0,"Lipsește cantitatea. ","")&amp;IF(N(M127)&gt;N(G127),"Livrat mai mult decât s-a comandat. ","")&amp;IF(N(I127)&gt;0.3,"Discount neobișnuit de mare. ","")))</f>
        <v/>
      </c>
    </row>
    <row r="128" spans="1:15" x14ac:dyDescent="0.2">
      <c r="A128" s="1" t="str">
        <f t="shared" si="8"/>
        <v/>
      </c>
      <c r="B128" s="17"/>
      <c r="C128" s="18" t="str">
        <f>IF(B128="","",COUNTIF(INDEX($B:$B,5):B128,B128))</f>
        <v/>
      </c>
      <c r="D128" s="17"/>
      <c r="E128" s="19" t="str">
        <f t="shared" si="9"/>
        <v/>
      </c>
      <c r="F128" s="18" t="str">
        <f t="shared" si="10"/>
        <v/>
      </c>
      <c r="G128" s="6"/>
      <c r="H128" s="20" t="str">
        <f t="shared" si="11"/>
        <v/>
      </c>
      <c r="I128" s="21"/>
      <c r="J128" s="22" t="str">
        <f t="shared" si="12"/>
        <v/>
      </c>
      <c r="K128" s="20" t="str">
        <f t="shared" si="13"/>
        <v/>
      </c>
      <c r="L128" s="20" t="str">
        <f t="shared" si="14"/>
        <v/>
      </c>
      <c r="M128" s="6"/>
      <c r="N128" s="19" t="str">
        <f t="shared" si="15"/>
        <v/>
      </c>
      <c r="O128" s="23" t="str">
        <f>IF(B128="","",TRIM(IF(COUNTIF('Registru comenzi'!$B$5:$B$304,B128)=0,"Comandă inexistentă în registru. ","")&amp;IF(AND(D128&lt;&gt;"",E128=""),"Cod necunoscut. ","")&amp;IF(N(G128)&lt;=0,"Lipsește cantitatea. ","")&amp;IF(N(M128)&gt;N(G128),"Livrat mai mult decât s-a comandat. ","")&amp;IF(N(I128)&gt;0.3,"Discount neobișnuit de mare. ","")))</f>
        <v/>
      </c>
    </row>
    <row r="129" spans="1:15" x14ac:dyDescent="0.2">
      <c r="A129" s="1" t="str">
        <f t="shared" si="8"/>
        <v/>
      </c>
      <c r="B129" s="17"/>
      <c r="C129" s="18" t="str">
        <f>IF(B129="","",COUNTIF(INDEX($B:$B,5):B129,B129))</f>
        <v/>
      </c>
      <c r="D129" s="17"/>
      <c r="E129" s="19" t="str">
        <f t="shared" si="9"/>
        <v/>
      </c>
      <c r="F129" s="18" t="str">
        <f t="shared" si="10"/>
        <v/>
      </c>
      <c r="G129" s="6"/>
      <c r="H129" s="20" t="str">
        <f t="shared" si="11"/>
        <v/>
      </c>
      <c r="I129" s="21"/>
      <c r="J129" s="22" t="str">
        <f t="shared" si="12"/>
        <v/>
      </c>
      <c r="K129" s="20" t="str">
        <f t="shared" si="13"/>
        <v/>
      </c>
      <c r="L129" s="20" t="str">
        <f t="shared" si="14"/>
        <v/>
      </c>
      <c r="M129" s="6"/>
      <c r="N129" s="19" t="str">
        <f t="shared" si="15"/>
        <v/>
      </c>
      <c r="O129" s="23" t="str">
        <f>IF(B129="","",TRIM(IF(COUNTIF('Registru comenzi'!$B$5:$B$304,B129)=0,"Comandă inexistentă în registru. ","")&amp;IF(AND(D129&lt;&gt;"",E129=""),"Cod necunoscut. ","")&amp;IF(N(G129)&lt;=0,"Lipsește cantitatea. ","")&amp;IF(N(M129)&gt;N(G129),"Livrat mai mult decât s-a comandat. ","")&amp;IF(N(I129)&gt;0.3,"Discount neobișnuit de mare. ","")))</f>
        <v/>
      </c>
    </row>
    <row r="130" spans="1:15" x14ac:dyDescent="0.2">
      <c r="A130" s="1" t="str">
        <f t="shared" si="8"/>
        <v/>
      </c>
      <c r="B130" s="17"/>
      <c r="C130" s="18" t="str">
        <f>IF(B130="","",COUNTIF(INDEX($B:$B,5):B130,B130))</f>
        <v/>
      </c>
      <c r="D130" s="17"/>
      <c r="E130" s="19" t="str">
        <f t="shared" si="9"/>
        <v/>
      </c>
      <c r="F130" s="18" t="str">
        <f t="shared" si="10"/>
        <v/>
      </c>
      <c r="G130" s="6"/>
      <c r="H130" s="20" t="str">
        <f t="shared" si="11"/>
        <v/>
      </c>
      <c r="I130" s="21"/>
      <c r="J130" s="22" t="str">
        <f t="shared" si="12"/>
        <v/>
      </c>
      <c r="K130" s="20" t="str">
        <f t="shared" si="13"/>
        <v/>
      </c>
      <c r="L130" s="20" t="str">
        <f t="shared" si="14"/>
        <v/>
      </c>
      <c r="M130" s="6"/>
      <c r="N130" s="19" t="str">
        <f t="shared" si="15"/>
        <v/>
      </c>
      <c r="O130" s="23" t="str">
        <f>IF(B130="","",TRIM(IF(COUNTIF('Registru comenzi'!$B$5:$B$304,B130)=0,"Comandă inexistentă în registru. ","")&amp;IF(AND(D130&lt;&gt;"",E130=""),"Cod necunoscut. ","")&amp;IF(N(G130)&lt;=0,"Lipsește cantitatea. ","")&amp;IF(N(M130)&gt;N(G130),"Livrat mai mult decât s-a comandat. ","")&amp;IF(N(I130)&gt;0.3,"Discount neobișnuit de mare. ","")))</f>
        <v/>
      </c>
    </row>
    <row r="131" spans="1:15" x14ac:dyDescent="0.2">
      <c r="A131" s="1" t="str">
        <f t="shared" si="8"/>
        <v/>
      </c>
      <c r="B131" s="17"/>
      <c r="C131" s="18" t="str">
        <f>IF(B131="","",COUNTIF(INDEX($B:$B,5):B131,B131))</f>
        <v/>
      </c>
      <c r="D131" s="17"/>
      <c r="E131" s="19" t="str">
        <f t="shared" si="9"/>
        <v/>
      </c>
      <c r="F131" s="18" t="str">
        <f t="shared" si="10"/>
        <v/>
      </c>
      <c r="G131" s="6"/>
      <c r="H131" s="20" t="str">
        <f t="shared" si="11"/>
        <v/>
      </c>
      <c r="I131" s="21"/>
      <c r="J131" s="22" t="str">
        <f t="shared" si="12"/>
        <v/>
      </c>
      <c r="K131" s="20" t="str">
        <f t="shared" si="13"/>
        <v/>
      </c>
      <c r="L131" s="20" t="str">
        <f t="shared" si="14"/>
        <v/>
      </c>
      <c r="M131" s="6"/>
      <c r="N131" s="19" t="str">
        <f t="shared" si="15"/>
        <v/>
      </c>
      <c r="O131" s="23" t="str">
        <f>IF(B131="","",TRIM(IF(COUNTIF('Registru comenzi'!$B$5:$B$304,B131)=0,"Comandă inexistentă în registru. ","")&amp;IF(AND(D131&lt;&gt;"",E131=""),"Cod necunoscut. ","")&amp;IF(N(G131)&lt;=0,"Lipsește cantitatea. ","")&amp;IF(N(M131)&gt;N(G131),"Livrat mai mult decât s-a comandat. ","")&amp;IF(N(I131)&gt;0.3,"Discount neobișnuit de mare. ","")))</f>
        <v/>
      </c>
    </row>
    <row r="132" spans="1:15" x14ac:dyDescent="0.2">
      <c r="A132" s="1" t="str">
        <f t="shared" si="8"/>
        <v/>
      </c>
      <c r="B132" s="17"/>
      <c r="C132" s="18" t="str">
        <f>IF(B132="","",COUNTIF(INDEX($B:$B,5):B132,B132))</f>
        <v/>
      </c>
      <c r="D132" s="17"/>
      <c r="E132" s="19" t="str">
        <f t="shared" si="9"/>
        <v/>
      </c>
      <c r="F132" s="18" t="str">
        <f t="shared" si="10"/>
        <v/>
      </c>
      <c r="G132" s="6"/>
      <c r="H132" s="20" t="str">
        <f t="shared" si="11"/>
        <v/>
      </c>
      <c r="I132" s="21"/>
      <c r="J132" s="22" t="str">
        <f t="shared" si="12"/>
        <v/>
      </c>
      <c r="K132" s="20" t="str">
        <f t="shared" si="13"/>
        <v/>
      </c>
      <c r="L132" s="20" t="str">
        <f t="shared" si="14"/>
        <v/>
      </c>
      <c r="M132" s="6"/>
      <c r="N132" s="19" t="str">
        <f t="shared" si="15"/>
        <v/>
      </c>
      <c r="O132" s="23" t="str">
        <f>IF(B132="","",TRIM(IF(COUNTIF('Registru comenzi'!$B$5:$B$304,B132)=0,"Comandă inexistentă în registru. ","")&amp;IF(AND(D132&lt;&gt;"",E132=""),"Cod necunoscut. ","")&amp;IF(N(G132)&lt;=0,"Lipsește cantitatea. ","")&amp;IF(N(M132)&gt;N(G132),"Livrat mai mult decât s-a comandat. ","")&amp;IF(N(I132)&gt;0.3,"Discount neobișnuit de mare. ","")))</f>
        <v/>
      </c>
    </row>
    <row r="133" spans="1:15" x14ac:dyDescent="0.2">
      <c r="A133" s="1" t="str">
        <f t="shared" ref="A133:A196" si="16">IF(B133="","",B133&amp;"|"&amp;C133)</f>
        <v/>
      </c>
      <c r="B133" s="17"/>
      <c r="C133" s="18" t="str">
        <f>IF(B133="","",COUNTIF(INDEX($B:$B,5):B133,B133))</f>
        <v/>
      </c>
      <c r="D133" s="17"/>
      <c r="E133" s="19" t="str">
        <f t="shared" ref="E133:E196" si="17">IF(D133="","",IFERROR(VLOOKUP(D133,Catalog,2,FALSE),""))</f>
        <v/>
      </c>
      <c r="F133" s="18" t="str">
        <f t="shared" ref="F133:F196" si="18">IF(D133="","",IFERROR(VLOOKUP(D133,Catalog,3,FALSE),""))</f>
        <v/>
      </c>
      <c r="G133" s="6"/>
      <c r="H133" s="20" t="str">
        <f t="shared" ref="H133:H196" si="19">IF(D133="","",IFERROR(VLOOKUP(D133,Catalog,4,FALSE),""))</f>
        <v/>
      </c>
      <c r="I133" s="21"/>
      <c r="J133" s="22" t="str">
        <f t="shared" ref="J133:J196" si="20">IF(D133="","",IFERROR(VLOOKUP(D133,Catalog,5,FALSE),""))</f>
        <v/>
      </c>
      <c r="K133" s="20" t="str">
        <f t="shared" ref="K133:K196" si="21">IF(OR(G133="",H133=""),"",ROUND(G133*H133*(1-N(I133)),2))</f>
        <v/>
      </c>
      <c r="L133" s="20" t="str">
        <f t="shared" ref="L133:L196" si="22">IF(OR(K133="",J133=""),"",ROUND(K133*J133,2))</f>
        <v/>
      </c>
      <c r="M133" s="6"/>
      <c r="N133" s="19" t="str">
        <f t="shared" ref="N133:N196" si="23">IF(G133="","",G133-N(M133))</f>
        <v/>
      </c>
      <c r="O133" s="23" t="str">
        <f>IF(B133="","",TRIM(IF(COUNTIF('Registru comenzi'!$B$5:$B$304,B133)=0,"Comandă inexistentă în registru. ","")&amp;IF(AND(D133&lt;&gt;"",E133=""),"Cod necunoscut. ","")&amp;IF(N(G133)&lt;=0,"Lipsește cantitatea. ","")&amp;IF(N(M133)&gt;N(G133),"Livrat mai mult decât s-a comandat. ","")&amp;IF(N(I133)&gt;0.3,"Discount neobișnuit de mare. ","")))</f>
        <v/>
      </c>
    </row>
    <row r="134" spans="1:15" x14ac:dyDescent="0.2">
      <c r="A134" s="1" t="str">
        <f t="shared" si="16"/>
        <v/>
      </c>
      <c r="B134" s="17"/>
      <c r="C134" s="18" t="str">
        <f>IF(B134="","",COUNTIF(INDEX($B:$B,5):B134,B134))</f>
        <v/>
      </c>
      <c r="D134" s="17"/>
      <c r="E134" s="19" t="str">
        <f t="shared" si="17"/>
        <v/>
      </c>
      <c r="F134" s="18" t="str">
        <f t="shared" si="18"/>
        <v/>
      </c>
      <c r="G134" s="6"/>
      <c r="H134" s="20" t="str">
        <f t="shared" si="19"/>
        <v/>
      </c>
      <c r="I134" s="21"/>
      <c r="J134" s="22" t="str">
        <f t="shared" si="20"/>
        <v/>
      </c>
      <c r="K134" s="20" t="str">
        <f t="shared" si="21"/>
        <v/>
      </c>
      <c r="L134" s="20" t="str">
        <f t="shared" si="22"/>
        <v/>
      </c>
      <c r="M134" s="6"/>
      <c r="N134" s="19" t="str">
        <f t="shared" si="23"/>
        <v/>
      </c>
      <c r="O134" s="23" t="str">
        <f>IF(B134="","",TRIM(IF(COUNTIF('Registru comenzi'!$B$5:$B$304,B134)=0,"Comandă inexistentă în registru. ","")&amp;IF(AND(D134&lt;&gt;"",E134=""),"Cod necunoscut. ","")&amp;IF(N(G134)&lt;=0,"Lipsește cantitatea. ","")&amp;IF(N(M134)&gt;N(G134),"Livrat mai mult decât s-a comandat. ","")&amp;IF(N(I134)&gt;0.3,"Discount neobișnuit de mare. ","")))</f>
        <v/>
      </c>
    </row>
    <row r="135" spans="1:15" x14ac:dyDescent="0.2">
      <c r="A135" s="1" t="str">
        <f t="shared" si="16"/>
        <v/>
      </c>
      <c r="B135" s="17"/>
      <c r="C135" s="18" t="str">
        <f>IF(B135="","",COUNTIF(INDEX($B:$B,5):B135,B135))</f>
        <v/>
      </c>
      <c r="D135" s="17"/>
      <c r="E135" s="19" t="str">
        <f t="shared" si="17"/>
        <v/>
      </c>
      <c r="F135" s="18" t="str">
        <f t="shared" si="18"/>
        <v/>
      </c>
      <c r="G135" s="6"/>
      <c r="H135" s="20" t="str">
        <f t="shared" si="19"/>
        <v/>
      </c>
      <c r="I135" s="21"/>
      <c r="J135" s="22" t="str">
        <f t="shared" si="20"/>
        <v/>
      </c>
      <c r="K135" s="20" t="str">
        <f t="shared" si="21"/>
        <v/>
      </c>
      <c r="L135" s="20" t="str">
        <f t="shared" si="22"/>
        <v/>
      </c>
      <c r="M135" s="6"/>
      <c r="N135" s="19" t="str">
        <f t="shared" si="23"/>
        <v/>
      </c>
      <c r="O135" s="23" t="str">
        <f>IF(B135="","",TRIM(IF(COUNTIF('Registru comenzi'!$B$5:$B$304,B135)=0,"Comandă inexistentă în registru. ","")&amp;IF(AND(D135&lt;&gt;"",E135=""),"Cod necunoscut. ","")&amp;IF(N(G135)&lt;=0,"Lipsește cantitatea. ","")&amp;IF(N(M135)&gt;N(G135),"Livrat mai mult decât s-a comandat. ","")&amp;IF(N(I135)&gt;0.3,"Discount neobișnuit de mare. ","")))</f>
        <v/>
      </c>
    </row>
    <row r="136" spans="1:15" x14ac:dyDescent="0.2">
      <c r="A136" s="1" t="str">
        <f t="shared" si="16"/>
        <v/>
      </c>
      <c r="B136" s="17"/>
      <c r="C136" s="18" t="str">
        <f>IF(B136="","",COUNTIF(INDEX($B:$B,5):B136,B136))</f>
        <v/>
      </c>
      <c r="D136" s="17"/>
      <c r="E136" s="19" t="str">
        <f t="shared" si="17"/>
        <v/>
      </c>
      <c r="F136" s="18" t="str">
        <f t="shared" si="18"/>
        <v/>
      </c>
      <c r="G136" s="6"/>
      <c r="H136" s="20" t="str">
        <f t="shared" si="19"/>
        <v/>
      </c>
      <c r="I136" s="21"/>
      <c r="J136" s="22" t="str">
        <f t="shared" si="20"/>
        <v/>
      </c>
      <c r="K136" s="20" t="str">
        <f t="shared" si="21"/>
        <v/>
      </c>
      <c r="L136" s="20" t="str">
        <f t="shared" si="22"/>
        <v/>
      </c>
      <c r="M136" s="6"/>
      <c r="N136" s="19" t="str">
        <f t="shared" si="23"/>
        <v/>
      </c>
      <c r="O136" s="23" t="str">
        <f>IF(B136="","",TRIM(IF(COUNTIF('Registru comenzi'!$B$5:$B$304,B136)=0,"Comandă inexistentă în registru. ","")&amp;IF(AND(D136&lt;&gt;"",E136=""),"Cod necunoscut. ","")&amp;IF(N(G136)&lt;=0,"Lipsește cantitatea. ","")&amp;IF(N(M136)&gt;N(G136),"Livrat mai mult decât s-a comandat. ","")&amp;IF(N(I136)&gt;0.3,"Discount neobișnuit de mare. ","")))</f>
        <v/>
      </c>
    </row>
    <row r="137" spans="1:15" x14ac:dyDescent="0.2">
      <c r="A137" s="1" t="str">
        <f t="shared" si="16"/>
        <v/>
      </c>
      <c r="B137" s="17"/>
      <c r="C137" s="18" t="str">
        <f>IF(B137="","",COUNTIF(INDEX($B:$B,5):B137,B137))</f>
        <v/>
      </c>
      <c r="D137" s="17"/>
      <c r="E137" s="19" t="str">
        <f t="shared" si="17"/>
        <v/>
      </c>
      <c r="F137" s="18" t="str">
        <f t="shared" si="18"/>
        <v/>
      </c>
      <c r="G137" s="6"/>
      <c r="H137" s="20" t="str">
        <f t="shared" si="19"/>
        <v/>
      </c>
      <c r="I137" s="21"/>
      <c r="J137" s="22" t="str">
        <f t="shared" si="20"/>
        <v/>
      </c>
      <c r="K137" s="20" t="str">
        <f t="shared" si="21"/>
        <v/>
      </c>
      <c r="L137" s="20" t="str">
        <f t="shared" si="22"/>
        <v/>
      </c>
      <c r="M137" s="6"/>
      <c r="N137" s="19" t="str">
        <f t="shared" si="23"/>
        <v/>
      </c>
      <c r="O137" s="23" t="str">
        <f>IF(B137="","",TRIM(IF(COUNTIF('Registru comenzi'!$B$5:$B$304,B137)=0,"Comandă inexistentă în registru. ","")&amp;IF(AND(D137&lt;&gt;"",E137=""),"Cod necunoscut. ","")&amp;IF(N(G137)&lt;=0,"Lipsește cantitatea. ","")&amp;IF(N(M137)&gt;N(G137),"Livrat mai mult decât s-a comandat. ","")&amp;IF(N(I137)&gt;0.3,"Discount neobișnuit de mare. ","")))</f>
        <v/>
      </c>
    </row>
    <row r="138" spans="1:15" x14ac:dyDescent="0.2">
      <c r="A138" s="1" t="str">
        <f t="shared" si="16"/>
        <v/>
      </c>
      <c r="B138" s="17"/>
      <c r="C138" s="18" t="str">
        <f>IF(B138="","",COUNTIF(INDEX($B:$B,5):B138,B138))</f>
        <v/>
      </c>
      <c r="D138" s="17"/>
      <c r="E138" s="19" t="str">
        <f t="shared" si="17"/>
        <v/>
      </c>
      <c r="F138" s="18" t="str">
        <f t="shared" si="18"/>
        <v/>
      </c>
      <c r="G138" s="6"/>
      <c r="H138" s="20" t="str">
        <f t="shared" si="19"/>
        <v/>
      </c>
      <c r="I138" s="21"/>
      <c r="J138" s="22" t="str">
        <f t="shared" si="20"/>
        <v/>
      </c>
      <c r="K138" s="20" t="str">
        <f t="shared" si="21"/>
        <v/>
      </c>
      <c r="L138" s="20" t="str">
        <f t="shared" si="22"/>
        <v/>
      </c>
      <c r="M138" s="6"/>
      <c r="N138" s="19" t="str">
        <f t="shared" si="23"/>
        <v/>
      </c>
      <c r="O138" s="23" t="str">
        <f>IF(B138="","",TRIM(IF(COUNTIF('Registru comenzi'!$B$5:$B$304,B138)=0,"Comandă inexistentă în registru. ","")&amp;IF(AND(D138&lt;&gt;"",E138=""),"Cod necunoscut. ","")&amp;IF(N(G138)&lt;=0,"Lipsește cantitatea. ","")&amp;IF(N(M138)&gt;N(G138),"Livrat mai mult decât s-a comandat. ","")&amp;IF(N(I138)&gt;0.3,"Discount neobișnuit de mare. ","")))</f>
        <v/>
      </c>
    </row>
    <row r="139" spans="1:15" x14ac:dyDescent="0.2">
      <c r="A139" s="1" t="str">
        <f t="shared" si="16"/>
        <v/>
      </c>
      <c r="B139" s="17"/>
      <c r="C139" s="18" t="str">
        <f>IF(B139="","",COUNTIF(INDEX($B:$B,5):B139,B139))</f>
        <v/>
      </c>
      <c r="D139" s="17"/>
      <c r="E139" s="19" t="str">
        <f t="shared" si="17"/>
        <v/>
      </c>
      <c r="F139" s="18" t="str">
        <f t="shared" si="18"/>
        <v/>
      </c>
      <c r="G139" s="6"/>
      <c r="H139" s="20" t="str">
        <f t="shared" si="19"/>
        <v/>
      </c>
      <c r="I139" s="21"/>
      <c r="J139" s="22" t="str">
        <f t="shared" si="20"/>
        <v/>
      </c>
      <c r="K139" s="20" t="str">
        <f t="shared" si="21"/>
        <v/>
      </c>
      <c r="L139" s="20" t="str">
        <f t="shared" si="22"/>
        <v/>
      </c>
      <c r="M139" s="6"/>
      <c r="N139" s="19" t="str">
        <f t="shared" si="23"/>
        <v/>
      </c>
      <c r="O139" s="23" t="str">
        <f>IF(B139="","",TRIM(IF(COUNTIF('Registru comenzi'!$B$5:$B$304,B139)=0,"Comandă inexistentă în registru. ","")&amp;IF(AND(D139&lt;&gt;"",E139=""),"Cod necunoscut. ","")&amp;IF(N(G139)&lt;=0,"Lipsește cantitatea. ","")&amp;IF(N(M139)&gt;N(G139),"Livrat mai mult decât s-a comandat. ","")&amp;IF(N(I139)&gt;0.3,"Discount neobișnuit de mare. ","")))</f>
        <v/>
      </c>
    </row>
    <row r="140" spans="1:15" x14ac:dyDescent="0.2">
      <c r="A140" s="1" t="str">
        <f t="shared" si="16"/>
        <v/>
      </c>
      <c r="B140" s="17"/>
      <c r="C140" s="18" t="str">
        <f>IF(B140="","",COUNTIF(INDEX($B:$B,5):B140,B140))</f>
        <v/>
      </c>
      <c r="D140" s="17"/>
      <c r="E140" s="19" t="str">
        <f t="shared" si="17"/>
        <v/>
      </c>
      <c r="F140" s="18" t="str">
        <f t="shared" si="18"/>
        <v/>
      </c>
      <c r="G140" s="6"/>
      <c r="H140" s="20" t="str">
        <f t="shared" si="19"/>
        <v/>
      </c>
      <c r="I140" s="21"/>
      <c r="J140" s="22" t="str">
        <f t="shared" si="20"/>
        <v/>
      </c>
      <c r="K140" s="20" t="str">
        <f t="shared" si="21"/>
        <v/>
      </c>
      <c r="L140" s="20" t="str">
        <f t="shared" si="22"/>
        <v/>
      </c>
      <c r="M140" s="6"/>
      <c r="N140" s="19" t="str">
        <f t="shared" si="23"/>
        <v/>
      </c>
      <c r="O140" s="23" t="str">
        <f>IF(B140="","",TRIM(IF(COUNTIF('Registru comenzi'!$B$5:$B$304,B140)=0,"Comandă inexistentă în registru. ","")&amp;IF(AND(D140&lt;&gt;"",E140=""),"Cod necunoscut. ","")&amp;IF(N(G140)&lt;=0,"Lipsește cantitatea. ","")&amp;IF(N(M140)&gt;N(G140),"Livrat mai mult decât s-a comandat. ","")&amp;IF(N(I140)&gt;0.3,"Discount neobișnuit de mare. ","")))</f>
        <v/>
      </c>
    </row>
    <row r="141" spans="1:15" x14ac:dyDescent="0.2">
      <c r="A141" s="1" t="str">
        <f t="shared" si="16"/>
        <v/>
      </c>
      <c r="B141" s="17"/>
      <c r="C141" s="18" t="str">
        <f>IF(B141="","",COUNTIF(INDEX($B:$B,5):B141,B141))</f>
        <v/>
      </c>
      <c r="D141" s="17"/>
      <c r="E141" s="19" t="str">
        <f t="shared" si="17"/>
        <v/>
      </c>
      <c r="F141" s="18" t="str">
        <f t="shared" si="18"/>
        <v/>
      </c>
      <c r="G141" s="6"/>
      <c r="H141" s="20" t="str">
        <f t="shared" si="19"/>
        <v/>
      </c>
      <c r="I141" s="21"/>
      <c r="J141" s="22" t="str">
        <f t="shared" si="20"/>
        <v/>
      </c>
      <c r="K141" s="20" t="str">
        <f t="shared" si="21"/>
        <v/>
      </c>
      <c r="L141" s="20" t="str">
        <f t="shared" si="22"/>
        <v/>
      </c>
      <c r="M141" s="6"/>
      <c r="N141" s="19" t="str">
        <f t="shared" si="23"/>
        <v/>
      </c>
      <c r="O141" s="23" t="str">
        <f>IF(B141="","",TRIM(IF(COUNTIF('Registru comenzi'!$B$5:$B$304,B141)=0,"Comandă inexistentă în registru. ","")&amp;IF(AND(D141&lt;&gt;"",E141=""),"Cod necunoscut. ","")&amp;IF(N(G141)&lt;=0,"Lipsește cantitatea. ","")&amp;IF(N(M141)&gt;N(G141),"Livrat mai mult decât s-a comandat. ","")&amp;IF(N(I141)&gt;0.3,"Discount neobișnuit de mare. ","")))</f>
        <v/>
      </c>
    </row>
    <row r="142" spans="1:15" x14ac:dyDescent="0.2">
      <c r="A142" s="1" t="str">
        <f t="shared" si="16"/>
        <v/>
      </c>
      <c r="B142" s="17"/>
      <c r="C142" s="18" t="str">
        <f>IF(B142="","",COUNTIF(INDEX($B:$B,5):B142,B142))</f>
        <v/>
      </c>
      <c r="D142" s="17"/>
      <c r="E142" s="19" t="str">
        <f t="shared" si="17"/>
        <v/>
      </c>
      <c r="F142" s="18" t="str">
        <f t="shared" si="18"/>
        <v/>
      </c>
      <c r="G142" s="6"/>
      <c r="H142" s="20" t="str">
        <f t="shared" si="19"/>
        <v/>
      </c>
      <c r="I142" s="21"/>
      <c r="J142" s="22" t="str">
        <f t="shared" si="20"/>
        <v/>
      </c>
      <c r="K142" s="20" t="str">
        <f t="shared" si="21"/>
        <v/>
      </c>
      <c r="L142" s="20" t="str">
        <f t="shared" si="22"/>
        <v/>
      </c>
      <c r="M142" s="6"/>
      <c r="N142" s="19" t="str">
        <f t="shared" si="23"/>
        <v/>
      </c>
      <c r="O142" s="23" t="str">
        <f>IF(B142="","",TRIM(IF(COUNTIF('Registru comenzi'!$B$5:$B$304,B142)=0,"Comandă inexistentă în registru. ","")&amp;IF(AND(D142&lt;&gt;"",E142=""),"Cod necunoscut. ","")&amp;IF(N(G142)&lt;=0,"Lipsește cantitatea. ","")&amp;IF(N(M142)&gt;N(G142),"Livrat mai mult decât s-a comandat. ","")&amp;IF(N(I142)&gt;0.3,"Discount neobișnuit de mare. ","")))</f>
        <v/>
      </c>
    </row>
    <row r="143" spans="1:15" x14ac:dyDescent="0.2">
      <c r="A143" s="1" t="str">
        <f t="shared" si="16"/>
        <v/>
      </c>
      <c r="B143" s="17"/>
      <c r="C143" s="18" t="str">
        <f>IF(B143="","",COUNTIF(INDEX($B:$B,5):B143,B143))</f>
        <v/>
      </c>
      <c r="D143" s="17"/>
      <c r="E143" s="19" t="str">
        <f t="shared" si="17"/>
        <v/>
      </c>
      <c r="F143" s="18" t="str">
        <f t="shared" si="18"/>
        <v/>
      </c>
      <c r="G143" s="6"/>
      <c r="H143" s="20" t="str">
        <f t="shared" si="19"/>
        <v/>
      </c>
      <c r="I143" s="21"/>
      <c r="J143" s="22" t="str">
        <f t="shared" si="20"/>
        <v/>
      </c>
      <c r="K143" s="20" t="str">
        <f t="shared" si="21"/>
        <v/>
      </c>
      <c r="L143" s="20" t="str">
        <f t="shared" si="22"/>
        <v/>
      </c>
      <c r="M143" s="6"/>
      <c r="N143" s="19" t="str">
        <f t="shared" si="23"/>
        <v/>
      </c>
      <c r="O143" s="23" t="str">
        <f>IF(B143="","",TRIM(IF(COUNTIF('Registru comenzi'!$B$5:$B$304,B143)=0,"Comandă inexistentă în registru. ","")&amp;IF(AND(D143&lt;&gt;"",E143=""),"Cod necunoscut. ","")&amp;IF(N(G143)&lt;=0,"Lipsește cantitatea. ","")&amp;IF(N(M143)&gt;N(G143),"Livrat mai mult decât s-a comandat. ","")&amp;IF(N(I143)&gt;0.3,"Discount neobișnuit de mare. ","")))</f>
        <v/>
      </c>
    </row>
    <row r="144" spans="1:15" x14ac:dyDescent="0.2">
      <c r="A144" s="1" t="str">
        <f t="shared" si="16"/>
        <v/>
      </c>
      <c r="B144" s="17"/>
      <c r="C144" s="18" t="str">
        <f>IF(B144="","",COUNTIF(INDEX($B:$B,5):B144,B144))</f>
        <v/>
      </c>
      <c r="D144" s="17"/>
      <c r="E144" s="19" t="str">
        <f t="shared" si="17"/>
        <v/>
      </c>
      <c r="F144" s="18" t="str">
        <f t="shared" si="18"/>
        <v/>
      </c>
      <c r="G144" s="6"/>
      <c r="H144" s="20" t="str">
        <f t="shared" si="19"/>
        <v/>
      </c>
      <c r="I144" s="21"/>
      <c r="J144" s="22" t="str">
        <f t="shared" si="20"/>
        <v/>
      </c>
      <c r="K144" s="20" t="str">
        <f t="shared" si="21"/>
        <v/>
      </c>
      <c r="L144" s="20" t="str">
        <f t="shared" si="22"/>
        <v/>
      </c>
      <c r="M144" s="6"/>
      <c r="N144" s="19" t="str">
        <f t="shared" si="23"/>
        <v/>
      </c>
      <c r="O144" s="23" t="str">
        <f>IF(B144="","",TRIM(IF(COUNTIF('Registru comenzi'!$B$5:$B$304,B144)=0,"Comandă inexistentă în registru. ","")&amp;IF(AND(D144&lt;&gt;"",E144=""),"Cod necunoscut. ","")&amp;IF(N(G144)&lt;=0,"Lipsește cantitatea. ","")&amp;IF(N(M144)&gt;N(G144),"Livrat mai mult decât s-a comandat. ","")&amp;IF(N(I144)&gt;0.3,"Discount neobișnuit de mare. ","")))</f>
        <v/>
      </c>
    </row>
    <row r="145" spans="1:15" x14ac:dyDescent="0.2">
      <c r="A145" s="1" t="str">
        <f t="shared" si="16"/>
        <v/>
      </c>
      <c r="B145" s="17"/>
      <c r="C145" s="18" t="str">
        <f>IF(B145="","",COUNTIF(INDEX($B:$B,5):B145,B145))</f>
        <v/>
      </c>
      <c r="D145" s="17"/>
      <c r="E145" s="19" t="str">
        <f t="shared" si="17"/>
        <v/>
      </c>
      <c r="F145" s="18" t="str">
        <f t="shared" si="18"/>
        <v/>
      </c>
      <c r="G145" s="6"/>
      <c r="H145" s="20" t="str">
        <f t="shared" si="19"/>
        <v/>
      </c>
      <c r="I145" s="21"/>
      <c r="J145" s="22" t="str">
        <f t="shared" si="20"/>
        <v/>
      </c>
      <c r="K145" s="20" t="str">
        <f t="shared" si="21"/>
        <v/>
      </c>
      <c r="L145" s="20" t="str">
        <f t="shared" si="22"/>
        <v/>
      </c>
      <c r="M145" s="6"/>
      <c r="N145" s="19" t="str">
        <f t="shared" si="23"/>
        <v/>
      </c>
      <c r="O145" s="23" t="str">
        <f>IF(B145="","",TRIM(IF(COUNTIF('Registru comenzi'!$B$5:$B$304,B145)=0,"Comandă inexistentă în registru. ","")&amp;IF(AND(D145&lt;&gt;"",E145=""),"Cod necunoscut. ","")&amp;IF(N(G145)&lt;=0,"Lipsește cantitatea. ","")&amp;IF(N(M145)&gt;N(G145),"Livrat mai mult decât s-a comandat. ","")&amp;IF(N(I145)&gt;0.3,"Discount neobișnuit de mare. ","")))</f>
        <v/>
      </c>
    </row>
    <row r="146" spans="1:15" x14ac:dyDescent="0.2">
      <c r="A146" s="1" t="str">
        <f t="shared" si="16"/>
        <v/>
      </c>
      <c r="B146" s="17"/>
      <c r="C146" s="18" t="str">
        <f>IF(B146="","",COUNTIF(INDEX($B:$B,5):B146,B146))</f>
        <v/>
      </c>
      <c r="D146" s="17"/>
      <c r="E146" s="19" t="str">
        <f t="shared" si="17"/>
        <v/>
      </c>
      <c r="F146" s="18" t="str">
        <f t="shared" si="18"/>
        <v/>
      </c>
      <c r="G146" s="6"/>
      <c r="H146" s="20" t="str">
        <f t="shared" si="19"/>
        <v/>
      </c>
      <c r="I146" s="21"/>
      <c r="J146" s="22" t="str">
        <f t="shared" si="20"/>
        <v/>
      </c>
      <c r="K146" s="20" t="str">
        <f t="shared" si="21"/>
        <v/>
      </c>
      <c r="L146" s="20" t="str">
        <f t="shared" si="22"/>
        <v/>
      </c>
      <c r="M146" s="6"/>
      <c r="N146" s="19" t="str">
        <f t="shared" si="23"/>
        <v/>
      </c>
      <c r="O146" s="23" t="str">
        <f>IF(B146="","",TRIM(IF(COUNTIF('Registru comenzi'!$B$5:$B$304,B146)=0,"Comandă inexistentă în registru. ","")&amp;IF(AND(D146&lt;&gt;"",E146=""),"Cod necunoscut. ","")&amp;IF(N(G146)&lt;=0,"Lipsește cantitatea. ","")&amp;IF(N(M146)&gt;N(G146),"Livrat mai mult decât s-a comandat. ","")&amp;IF(N(I146)&gt;0.3,"Discount neobișnuit de mare. ","")))</f>
        <v/>
      </c>
    </row>
    <row r="147" spans="1:15" x14ac:dyDescent="0.2">
      <c r="A147" s="1" t="str">
        <f t="shared" si="16"/>
        <v/>
      </c>
      <c r="B147" s="17"/>
      <c r="C147" s="18" t="str">
        <f>IF(B147="","",COUNTIF(INDEX($B:$B,5):B147,B147))</f>
        <v/>
      </c>
      <c r="D147" s="17"/>
      <c r="E147" s="19" t="str">
        <f t="shared" si="17"/>
        <v/>
      </c>
      <c r="F147" s="18" t="str">
        <f t="shared" si="18"/>
        <v/>
      </c>
      <c r="G147" s="6"/>
      <c r="H147" s="20" t="str">
        <f t="shared" si="19"/>
        <v/>
      </c>
      <c r="I147" s="21"/>
      <c r="J147" s="22" t="str">
        <f t="shared" si="20"/>
        <v/>
      </c>
      <c r="K147" s="20" t="str">
        <f t="shared" si="21"/>
        <v/>
      </c>
      <c r="L147" s="20" t="str">
        <f t="shared" si="22"/>
        <v/>
      </c>
      <c r="M147" s="6"/>
      <c r="N147" s="19" t="str">
        <f t="shared" si="23"/>
        <v/>
      </c>
      <c r="O147" s="23" t="str">
        <f>IF(B147="","",TRIM(IF(COUNTIF('Registru comenzi'!$B$5:$B$304,B147)=0,"Comandă inexistentă în registru. ","")&amp;IF(AND(D147&lt;&gt;"",E147=""),"Cod necunoscut. ","")&amp;IF(N(G147)&lt;=0,"Lipsește cantitatea. ","")&amp;IF(N(M147)&gt;N(G147),"Livrat mai mult decât s-a comandat. ","")&amp;IF(N(I147)&gt;0.3,"Discount neobișnuit de mare. ","")))</f>
        <v/>
      </c>
    </row>
    <row r="148" spans="1:15" x14ac:dyDescent="0.2">
      <c r="A148" s="1" t="str">
        <f t="shared" si="16"/>
        <v/>
      </c>
      <c r="B148" s="17"/>
      <c r="C148" s="18" t="str">
        <f>IF(B148="","",COUNTIF(INDEX($B:$B,5):B148,B148))</f>
        <v/>
      </c>
      <c r="D148" s="17"/>
      <c r="E148" s="19" t="str">
        <f t="shared" si="17"/>
        <v/>
      </c>
      <c r="F148" s="18" t="str">
        <f t="shared" si="18"/>
        <v/>
      </c>
      <c r="G148" s="6"/>
      <c r="H148" s="20" t="str">
        <f t="shared" si="19"/>
        <v/>
      </c>
      <c r="I148" s="21"/>
      <c r="J148" s="22" t="str">
        <f t="shared" si="20"/>
        <v/>
      </c>
      <c r="K148" s="20" t="str">
        <f t="shared" si="21"/>
        <v/>
      </c>
      <c r="L148" s="20" t="str">
        <f t="shared" si="22"/>
        <v/>
      </c>
      <c r="M148" s="6"/>
      <c r="N148" s="19" t="str">
        <f t="shared" si="23"/>
        <v/>
      </c>
      <c r="O148" s="23" t="str">
        <f>IF(B148="","",TRIM(IF(COUNTIF('Registru comenzi'!$B$5:$B$304,B148)=0,"Comandă inexistentă în registru. ","")&amp;IF(AND(D148&lt;&gt;"",E148=""),"Cod necunoscut. ","")&amp;IF(N(G148)&lt;=0,"Lipsește cantitatea. ","")&amp;IF(N(M148)&gt;N(G148),"Livrat mai mult decât s-a comandat. ","")&amp;IF(N(I148)&gt;0.3,"Discount neobișnuit de mare. ","")))</f>
        <v/>
      </c>
    </row>
    <row r="149" spans="1:15" x14ac:dyDescent="0.2">
      <c r="A149" s="1" t="str">
        <f t="shared" si="16"/>
        <v/>
      </c>
      <c r="B149" s="17"/>
      <c r="C149" s="18" t="str">
        <f>IF(B149="","",COUNTIF(INDEX($B:$B,5):B149,B149))</f>
        <v/>
      </c>
      <c r="D149" s="17"/>
      <c r="E149" s="19" t="str">
        <f t="shared" si="17"/>
        <v/>
      </c>
      <c r="F149" s="18" t="str">
        <f t="shared" si="18"/>
        <v/>
      </c>
      <c r="G149" s="6"/>
      <c r="H149" s="20" t="str">
        <f t="shared" si="19"/>
        <v/>
      </c>
      <c r="I149" s="21"/>
      <c r="J149" s="22" t="str">
        <f t="shared" si="20"/>
        <v/>
      </c>
      <c r="K149" s="20" t="str">
        <f t="shared" si="21"/>
        <v/>
      </c>
      <c r="L149" s="20" t="str">
        <f t="shared" si="22"/>
        <v/>
      </c>
      <c r="M149" s="6"/>
      <c r="N149" s="19" t="str">
        <f t="shared" si="23"/>
        <v/>
      </c>
      <c r="O149" s="23" t="str">
        <f>IF(B149="","",TRIM(IF(COUNTIF('Registru comenzi'!$B$5:$B$304,B149)=0,"Comandă inexistentă în registru. ","")&amp;IF(AND(D149&lt;&gt;"",E149=""),"Cod necunoscut. ","")&amp;IF(N(G149)&lt;=0,"Lipsește cantitatea. ","")&amp;IF(N(M149)&gt;N(G149),"Livrat mai mult decât s-a comandat. ","")&amp;IF(N(I149)&gt;0.3,"Discount neobișnuit de mare. ","")))</f>
        <v/>
      </c>
    </row>
    <row r="150" spans="1:15" x14ac:dyDescent="0.2">
      <c r="A150" s="1" t="str">
        <f t="shared" si="16"/>
        <v/>
      </c>
      <c r="B150" s="17"/>
      <c r="C150" s="18" t="str">
        <f>IF(B150="","",COUNTIF(INDEX($B:$B,5):B150,B150))</f>
        <v/>
      </c>
      <c r="D150" s="17"/>
      <c r="E150" s="19" t="str">
        <f t="shared" si="17"/>
        <v/>
      </c>
      <c r="F150" s="18" t="str">
        <f t="shared" si="18"/>
        <v/>
      </c>
      <c r="G150" s="6"/>
      <c r="H150" s="20" t="str">
        <f t="shared" si="19"/>
        <v/>
      </c>
      <c r="I150" s="21"/>
      <c r="J150" s="22" t="str">
        <f t="shared" si="20"/>
        <v/>
      </c>
      <c r="K150" s="20" t="str">
        <f t="shared" si="21"/>
        <v/>
      </c>
      <c r="L150" s="20" t="str">
        <f t="shared" si="22"/>
        <v/>
      </c>
      <c r="M150" s="6"/>
      <c r="N150" s="19" t="str">
        <f t="shared" si="23"/>
        <v/>
      </c>
      <c r="O150" s="23" t="str">
        <f>IF(B150="","",TRIM(IF(COUNTIF('Registru comenzi'!$B$5:$B$304,B150)=0,"Comandă inexistentă în registru. ","")&amp;IF(AND(D150&lt;&gt;"",E150=""),"Cod necunoscut. ","")&amp;IF(N(G150)&lt;=0,"Lipsește cantitatea. ","")&amp;IF(N(M150)&gt;N(G150),"Livrat mai mult decât s-a comandat. ","")&amp;IF(N(I150)&gt;0.3,"Discount neobișnuit de mare. ","")))</f>
        <v/>
      </c>
    </row>
    <row r="151" spans="1:15" x14ac:dyDescent="0.2">
      <c r="A151" s="1" t="str">
        <f t="shared" si="16"/>
        <v/>
      </c>
      <c r="B151" s="17"/>
      <c r="C151" s="18" t="str">
        <f>IF(B151="","",COUNTIF(INDEX($B:$B,5):B151,B151))</f>
        <v/>
      </c>
      <c r="D151" s="17"/>
      <c r="E151" s="19" t="str">
        <f t="shared" si="17"/>
        <v/>
      </c>
      <c r="F151" s="18" t="str">
        <f t="shared" si="18"/>
        <v/>
      </c>
      <c r="G151" s="6"/>
      <c r="H151" s="20" t="str">
        <f t="shared" si="19"/>
        <v/>
      </c>
      <c r="I151" s="21"/>
      <c r="J151" s="22" t="str">
        <f t="shared" si="20"/>
        <v/>
      </c>
      <c r="K151" s="20" t="str">
        <f t="shared" si="21"/>
        <v/>
      </c>
      <c r="L151" s="20" t="str">
        <f t="shared" si="22"/>
        <v/>
      </c>
      <c r="M151" s="6"/>
      <c r="N151" s="19" t="str">
        <f t="shared" si="23"/>
        <v/>
      </c>
      <c r="O151" s="23" t="str">
        <f>IF(B151="","",TRIM(IF(COUNTIF('Registru comenzi'!$B$5:$B$304,B151)=0,"Comandă inexistentă în registru. ","")&amp;IF(AND(D151&lt;&gt;"",E151=""),"Cod necunoscut. ","")&amp;IF(N(G151)&lt;=0,"Lipsește cantitatea. ","")&amp;IF(N(M151)&gt;N(G151),"Livrat mai mult decât s-a comandat. ","")&amp;IF(N(I151)&gt;0.3,"Discount neobișnuit de mare. ","")))</f>
        <v/>
      </c>
    </row>
    <row r="152" spans="1:15" x14ac:dyDescent="0.2">
      <c r="A152" s="1" t="str">
        <f t="shared" si="16"/>
        <v/>
      </c>
      <c r="B152" s="17"/>
      <c r="C152" s="18" t="str">
        <f>IF(B152="","",COUNTIF(INDEX($B:$B,5):B152,B152))</f>
        <v/>
      </c>
      <c r="D152" s="17"/>
      <c r="E152" s="19" t="str">
        <f t="shared" si="17"/>
        <v/>
      </c>
      <c r="F152" s="18" t="str">
        <f t="shared" si="18"/>
        <v/>
      </c>
      <c r="G152" s="6"/>
      <c r="H152" s="20" t="str">
        <f t="shared" si="19"/>
        <v/>
      </c>
      <c r="I152" s="21"/>
      <c r="J152" s="22" t="str">
        <f t="shared" si="20"/>
        <v/>
      </c>
      <c r="K152" s="20" t="str">
        <f t="shared" si="21"/>
        <v/>
      </c>
      <c r="L152" s="20" t="str">
        <f t="shared" si="22"/>
        <v/>
      </c>
      <c r="M152" s="6"/>
      <c r="N152" s="19" t="str">
        <f t="shared" si="23"/>
        <v/>
      </c>
      <c r="O152" s="23" t="str">
        <f>IF(B152="","",TRIM(IF(COUNTIF('Registru comenzi'!$B$5:$B$304,B152)=0,"Comandă inexistentă în registru. ","")&amp;IF(AND(D152&lt;&gt;"",E152=""),"Cod necunoscut. ","")&amp;IF(N(G152)&lt;=0,"Lipsește cantitatea. ","")&amp;IF(N(M152)&gt;N(G152),"Livrat mai mult decât s-a comandat. ","")&amp;IF(N(I152)&gt;0.3,"Discount neobișnuit de mare. ","")))</f>
        <v/>
      </c>
    </row>
    <row r="153" spans="1:15" x14ac:dyDescent="0.2">
      <c r="A153" s="1" t="str">
        <f t="shared" si="16"/>
        <v/>
      </c>
      <c r="B153" s="17"/>
      <c r="C153" s="18" t="str">
        <f>IF(B153="","",COUNTIF(INDEX($B:$B,5):B153,B153))</f>
        <v/>
      </c>
      <c r="D153" s="17"/>
      <c r="E153" s="19" t="str">
        <f t="shared" si="17"/>
        <v/>
      </c>
      <c r="F153" s="18" t="str">
        <f t="shared" si="18"/>
        <v/>
      </c>
      <c r="G153" s="6"/>
      <c r="H153" s="20" t="str">
        <f t="shared" si="19"/>
        <v/>
      </c>
      <c r="I153" s="21"/>
      <c r="J153" s="22" t="str">
        <f t="shared" si="20"/>
        <v/>
      </c>
      <c r="K153" s="20" t="str">
        <f t="shared" si="21"/>
        <v/>
      </c>
      <c r="L153" s="20" t="str">
        <f t="shared" si="22"/>
        <v/>
      </c>
      <c r="M153" s="6"/>
      <c r="N153" s="19" t="str">
        <f t="shared" si="23"/>
        <v/>
      </c>
      <c r="O153" s="23" t="str">
        <f>IF(B153="","",TRIM(IF(COUNTIF('Registru comenzi'!$B$5:$B$304,B153)=0,"Comandă inexistentă în registru. ","")&amp;IF(AND(D153&lt;&gt;"",E153=""),"Cod necunoscut. ","")&amp;IF(N(G153)&lt;=0,"Lipsește cantitatea. ","")&amp;IF(N(M153)&gt;N(G153),"Livrat mai mult decât s-a comandat. ","")&amp;IF(N(I153)&gt;0.3,"Discount neobișnuit de mare. ","")))</f>
        <v/>
      </c>
    </row>
    <row r="154" spans="1:15" x14ac:dyDescent="0.2">
      <c r="A154" s="1" t="str">
        <f t="shared" si="16"/>
        <v/>
      </c>
      <c r="B154" s="17"/>
      <c r="C154" s="18" t="str">
        <f>IF(B154="","",COUNTIF(INDEX($B:$B,5):B154,B154))</f>
        <v/>
      </c>
      <c r="D154" s="17"/>
      <c r="E154" s="19" t="str">
        <f t="shared" si="17"/>
        <v/>
      </c>
      <c r="F154" s="18" t="str">
        <f t="shared" si="18"/>
        <v/>
      </c>
      <c r="G154" s="6"/>
      <c r="H154" s="20" t="str">
        <f t="shared" si="19"/>
        <v/>
      </c>
      <c r="I154" s="21"/>
      <c r="J154" s="22" t="str">
        <f t="shared" si="20"/>
        <v/>
      </c>
      <c r="K154" s="20" t="str">
        <f t="shared" si="21"/>
        <v/>
      </c>
      <c r="L154" s="20" t="str">
        <f t="shared" si="22"/>
        <v/>
      </c>
      <c r="M154" s="6"/>
      <c r="N154" s="19" t="str">
        <f t="shared" si="23"/>
        <v/>
      </c>
      <c r="O154" s="23" t="str">
        <f>IF(B154="","",TRIM(IF(COUNTIF('Registru comenzi'!$B$5:$B$304,B154)=0,"Comandă inexistentă în registru. ","")&amp;IF(AND(D154&lt;&gt;"",E154=""),"Cod necunoscut. ","")&amp;IF(N(G154)&lt;=0,"Lipsește cantitatea. ","")&amp;IF(N(M154)&gt;N(G154),"Livrat mai mult decât s-a comandat. ","")&amp;IF(N(I154)&gt;0.3,"Discount neobișnuit de mare. ","")))</f>
        <v/>
      </c>
    </row>
    <row r="155" spans="1:15" x14ac:dyDescent="0.2">
      <c r="A155" s="1" t="str">
        <f t="shared" si="16"/>
        <v/>
      </c>
      <c r="B155" s="17"/>
      <c r="C155" s="18" t="str">
        <f>IF(B155="","",COUNTIF(INDEX($B:$B,5):B155,B155))</f>
        <v/>
      </c>
      <c r="D155" s="17"/>
      <c r="E155" s="19" t="str">
        <f t="shared" si="17"/>
        <v/>
      </c>
      <c r="F155" s="18" t="str">
        <f t="shared" si="18"/>
        <v/>
      </c>
      <c r="G155" s="6"/>
      <c r="H155" s="20" t="str">
        <f t="shared" si="19"/>
        <v/>
      </c>
      <c r="I155" s="21"/>
      <c r="J155" s="22" t="str">
        <f t="shared" si="20"/>
        <v/>
      </c>
      <c r="K155" s="20" t="str">
        <f t="shared" si="21"/>
        <v/>
      </c>
      <c r="L155" s="20" t="str">
        <f t="shared" si="22"/>
        <v/>
      </c>
      <c r="M155" s="6"/>
      <c r="N155" s="19" t="str">
        <f t="shared" si="23"/>
        <v/>
      </c>
      <c r="O155" s="23" t="str">
        <f>IF(B155="","",TRIM(IF(COUNTIF('Registru comenzi'!$B$5:$B$304,B155)=0,"Comandă inexistentă în registru. ","")&amp;IF(AND(D155&lt;&gt;"",E155=""),"Cod necunoscut. ","")&amp;IF(N(G155)&lt;=0,"Lipsește cantitatea. ","")&amp;IF(N(M155)&gt;N(G155),"Livrat mai mult decât s-a comandat. ","")&amp;IF(N(I155)&gt;0.3,"Discount neobișnuit de mare. ","")))</f>
        <v/>
      </c>
    </row>
    <row r="156" spans="1:15" x14ac:dyDescent="0.2">
      <c r="A156" s="1" t="str">
        <f t="shared" si="16"/>
        <v/>
      </c>
      <c r="B156" s="17"/>
      <c r="C156" s="18" t="str">
        <f>IF(B156="","",COUNTIF(INDEX($B:$B,5):B156,B156))</f>
        <v/>
      </c>
      <c r="D156" s="17"/>
      <c r="E156" s="19" t="str">
        <f t="shared" si="17"/>
        <v/>
      </c>
      <c r="F156" s="18" t="str">
        <f t="shared" si="18"/>
        <v/>
      </c>
      <c r="G156" s="6"/>
      <c r="H156" s="20" t="str">
        <f t="shared" si="19"/>
        <v/>
      </c>
      <c r="I156" s="21"/>
      <c r="J156" s="22" t="str">
        <f t="shared" si="20"/>
        <v/>
      </c>
      <c r="K156" s="20" t="str">
        <f t="shared" si="21"/>
        <v/>
      </c>
      <c r="L156" s="20" t="str">
        <f t="shared" si="22"/>
        <v/>
      </c>
      <c r="M156" s="6"/>
      <c r="N156" s="19" t="str">
        <f t="shared" si="23"/>
        <v/>
      </c>
      <c r="O156" s="23" t="str">
        <f>IF(B156="","",TRIM(IF(COUNTIF('Registru comenzi'!$B$5:$B$304,B156)=0,"Comandă inexistentă în registru. ","")&amp;IF(AND(D156&lt;&gt;"",E156=""),"Cod necunoscut. ","")&amp;IF(N(G156)&lt;=0,"Lipsește cantitatea. ","")&amp;IF(N(M156)&gt;N(G156),"Livrat mai mult decât s-a comandat. ","")&amp;IF(N(I156)&gt;0.3,"Discount neobișnuit de mare. ","")))</f>
        <v/>
      </c>
    </row>
    <row r="157" spans="1:15" x14ac:dyDescent="0.2">
      <c r="A157" s="1" t="str">
        <f t="shared" si="16"/>
        <v/>
      </c>
      <c r="B157" s="17"/>
      <c r="C157" s="18" t="str">
        <f>IF(B157="","",COUNTIF(INDEX($B:$B,5):B157,B157))</f>
        <v/>
      </c>
      <c r="D157" s="17"/>
      <c r="E157" s="19" t="str">
        <f t="shared" si="17"/>
        <v/>
      </c>
      <c r="F157" s="18" t="str">
        <f t="shared" si="18"/>
        <v/>
      </c>
      <c r="G157" s="6"/>
      <c r="H157" s="20" t="str">
        <f t="shared" si="19"/>
        <v/>
      </c>
      <c r="I157" s="21"/>
      <c r="J157" s="22" t="str">
        <f t="shared" si="20"/>
        <v/>
      </c>
      <c r="K157" s="20" t="str">
        <f t="shared" si="21"/>
        <v/>
      </c>
      <c r="L157" s="20" t="str">
        <f t="shared" si="22"/>
        <v/>
      </c>
      <c r="M157" s="6"/>
      <c r="N157" s="19" t="str">
        <f t="shared" si="23"/>
        <v/>
      </c>
      <c r="O157" s="23" t="str">
        <f>IF(B157="","",TRIM(IF(COUNTIF('Registru comenzi'!$B$5:$B$304,B157)=0,"Comandă inexistentă în registru. ","")&amp;IF(AND(D157&lt;&gt;"",E157=""),"Cod necunoscut. ","")&amp;IF(N(G157)&lt;=0,"Lipsește cantitatea. ","")&amp;IF(N(M157)&gt;N(G157),"Livrat mai mult decât s-a comandat. ","")&amp;IF(N(I157)&gt;0.3,"Discount neobișnuit de mare. ","")))</f>
        <v/>
      </c>
    </row>
    <row r="158" spans="1:15" x14ac:dyDescent="0.2">
      <c r="A158" s="1" t="str">
        <f t="shared" si="16"/>
        <v/>
      </c>
      <c r="B158" s="17"/>
      <c r="C158" s="18" t="str">
        <f>IF(B158="","",COUNTIF(INDEX($B:$B,5):B158,B158))</f>
        <v/>
      </c>
      <c r="D158" s="17"/>
      <c r="E158" s="19" t="str">
        <f t="shared" si="17"/>
        <v/>
      </c>
      <c r="F158" s="18" t="str">
        <f t="shared" si="18"/>
        <v/>
      </c>
      <c r="G158" s="6"/>
      <c r="H158" s="20" t="str">
        <f t="shared" si="19"/>
        <v/>
      </c>
      <c r="I158" s="21"/>
      <c r="J158" s="22" t="str">
        <f t="shared" si="20"/>
        <v/>
      </c>
      <c r="K158" s="20" t="str">
        <f t="shared" si="21"/>
        <v/>
      </c>
      <c r="L158" s="20" t="str">
        <f t="shared" si="22"/>
        <v/>
      </c>
      <c r="M158" s="6"/>
      <c r="N158" s="19" t="str">
        <f t="shared" si="23"/>
        <v/>
      </c>
      <c r="O158" s="23" t="str">
        <f>IF(B158="","",TRIM(IF(COUNTIF('Registru comenzi'!$B$5:$B$304,B158)=0,"Comandă inexistentă în registru. ","")&amp;IF(AND(D158&lt;&gt;"",E158=""),"Cod necunoscut. ","")&amp;IF(N(G158)&lt;=0,"Lipsește cantitatea. ","")&amp;IF(N(M158)&gt;N(G158),"Livrat mai mult decât s-a comandat. ","")&amp;IF(N(I158)&gt;0.3,"Discount neobișnuit de mare. ","")))</f>
        <v/>
      </c>
    </row>
    <row r="159" spans="1:15" x14ac:dyDescent="0.2">
      <c r="A159" s="1" t="str">
        <f t="shared" si="16"/>
        <v/>
      </c>
      <c r="B159" s="17"/>
      <c r="C159" s="18" t="str">
        <f>IF(B159="","",COUNTIF(INDEX($B:$B,5):B159,B159))</f>
        <v/>
      </c>
      <c r="D159" s="17"/>
      <c r="E159" s="19" t="str">
        <f t="shared" si="17"/>
        <v/>
      </c>
      <c r="F159" s="18" t="str">
        <f t="shared" si="18"/>
        <v/>
      </c>
      <c r="G159" s="6"/>
      <c r="H159" s="20" t="str">
        <f t="shared" si="19"/>
        <v/>
      </c>
      <c r="I159" s="21"/>
      <c r="J159" s="22" t="str">
        <f t="shared" si="20"/>
        <v/>
      </c>
      <c r="K159" s="20" t="str">
        <f t="shared" si="21"/>
        <v/>
      </c>
      <c r="L159" s="20" t="str">
        <f t="shared" si="22"/>
        <v/>
      </c>
      <c r="M159" s="6"/>
      <c r="N159" s="19" t="str">
        <f t="shared" si="23"/>
        <v/>
      </c>
      <c r="O159" s="23" t="str">
        <f>IF(B159="","",TRIM(IF(COUNTIF('Registru comenzi'!$B$5:$B$304,B159)=0,"Comandă inexistentă în registru. ","")&amp;IF(AND(D159&lt;&gt;"",E159=""),"Cod necunoscut. ","")&amp;IF(N(G159)&lt;=0,"Lipsește cantitatea. ","")&amp;IF(N(M159)&gt;N(G159),"Livrat mai mult decât s-a comandat. ","")&amp;IF(N(I159)&gt;0.3,"Discount neobișnuit de mare. ","")))</f>
        <v/>
      </c>
    </row>
    <row r="160" spans="1:15" x14ac:dyDescent="0.2">
      <c r="A160" s="1" t="str">
        <f t="shared" si="16"/>
        <v/>
      </c>
      <c r="B160" s="17"/>
      <c r="C160" s="18" t="str">
        <f>IF(B160="","",COUNTIF(INDEX($B:$B,5):B160,B160))</f>
        <v/>
      </c>
      <c r="D160" s="17"/>
      <c r="E160" s="19" t="str">
        <f t="shared" si="17"/>
        <v/>
      </c>
      <c r="F160" s="18" t="str">
        <f t="shared" si="18"/>
        <v/>
      </c>
      <c r="G160" s="6"/>
      <c r="H160" s="20" t="str">
        <f t="shared" si="19"/>
        <v/>
      </c>
      <c r="I160" s="21"/>
      <c r="J160" s="22" t="str">
        <f t="shared" si="20"/>
        <v/>
      </c>
      <c r="K160" s="20" t="str">
        <f t="shared" si="21"/>
        <v/>
      </c>
      <c r="L160" s="20" t="str">
        <f t="shared" si="22"/>
        <v/>
      </c>
      <c r="M160" s="6"/>
      <c r="N160" s="19" t="str">
        <f t="shared" si="23"/>
        <v/>
      </c>
      <c r="O160" s="23" t="str">
        <f>IF(B160="","",TRIM(IF(COUNTIF('Registru comenzi'!$B$5:$B$304,B160)=0,"Comandă inexistentă în registru. ","")&amp;IF(AND(D160&lt;&gt;"",E160=""),"Cod necunoscut. ","")&amp;IF(N(G160)&lt;=0,"Lipsește cantitatea. ","")&amp;IF(N(M160)&gt;N(G160),"Livrat mai mult decât s-a comandat. ","")&amp;IF(N(I160)&gt;0.3,"Discount neobișnuit de mare. ","")))</f>
        <v/>
      </c>
    </row>
    <row r="161" spans="1:15" x14ac:dyDescent="0.2">
      <c r="A161" s="1" t="str">
        <f t="shared" si="16"/>
        <v/>
      </c>
      <c r="B161" s="17"/>
      <c r="C161" s="18" t="str">
        <f>IF(B161="","",COUNTIF(INDEX($B:$B,5):B161,B161))</f>
        <v/>
      </c>
      <c r="D161" s="17"/>
      <c r="E161" s="19" t="str">
        <f t="shared" si="17"/>
        <v/>
      </c>
      <c r="F161" s="18" t="str">
        <f t="shared" si="18"/>
        <v/>
      </c>
      <c r="G161" s="6"/>
      <c r="H161" s="20" t="str">
        <f t="shared" si="19"/>
        <v/>
      </c>
      <c r="I161" s="21"/>
      <c r="J161" s="22" t="str">
        <f t="shared" si="20"/>
        <v/>
      </c>
      <c r="K161" s="20" t="str">
        <f t="shared" si="21"/>
        <v/>
      </c>
      <c r="L161" s="20" t="str">
        <f t="shared" si="22"/>
        <v/>
      </c>
      <c r="M161" s="6"/>
      <c r="N161" s="19" t="str">
        <f t="shared" si="23"/>
        <v/>
      </c>
      <c r="O161" s="23" t="str">
        <f>IF(B161="","",TRIM(IF(COUNTIF('Registru comenzi'!$B$5:$B$304,B161)=0,"Comandă inexistentă în registru. ","")&amp;IF(AND(D161&lt;&gt;"",E161=""),"Cod necunoscut. ","")&amp;IF(N(G161)&lt;=0,"Lipsește cantitatea. ","")&amp;IF(N(M161)&gt;N(G161),"Livrat mai mult decât s-a comandat. ","")&amp;IF(N(I161)&gt;0.3,"Discount neobișnuit de mare. ","")))</f>
        <v/>
      </c>
    </row>
    <row r="162" spans="1:15" x14ac:dyDescent="0.2">
      <c r="A162" s="1" t="str">
        <f t="shared" si="16"/>
        <v/>
      </c>
      <c r="B162" s="17"/>
      <c r="C162" s="18" t="str">
        <f>IF(B162="","",COUNTIF(INDEX($B:$B,5):B162,B162))</f>
        <v/>
      </c>
      <c r="D162" s="17"/>
      <c r="E162" s="19" t="str">
        <f t="shared" si="17"/>
        <v/>
      </c>
      <c r="F162" s="18" t="str">
        <f t="shared" si="18"/>
        <v/>
      </c>
      <c r="G162" s="6"/>
      <c r="H162" s="20" t="str">
        <f t="shared" si="19"/>
        <v/>
      </c>
      <c r="I162" s="21"/>
      <c r="J162" s="22" t="str">
        <f t="shared" si="20"/>
        <v/>
      </c>
      <c r="K162" s="20" t="str">
        <f t="shared" si="21"/>
        <v/>
      </c>
      <c r="L162" s="20" t="str">
        <f t="shared" si="22"/>
        <v/>
      </c>
      <c r="M162" s="6"/>
      <c r="N162" s="19" t="str">
        <f t="shared" si="23"/>
        <v/>
      </c>
      <c r="O162" s="23" t="str">
        <f>IF(B162="","",TRIM(IF(COUNTIF('Registru comenzi'!$B$5:$B$304,B162)=0,"Comandă inexistentă în registru. ","")&amp;IF(AND(D162&lt;&gt;"",E162=""),"Cod necunoscut. ","")&amp;IF(N(G162)&lt;=0,"Lipsește cantitatea. ","")&amp;IF(N(M162)&gt;N(G162),"Livrat mai mult decât s-a comandat. ","")&amp;IF(N(I162)&gt;0.3,"Discount neobișnuit de mare. ","")))</f>
        <v/>
      </c>
    </row>
    <row r="163" spans="1:15" x14ac:dyDescent="0.2">
      <c r="A163" s="1" t="str">
        <f t="shared" si="16"/>
        <v/>
      </c>
      <c r="B163" s="17"/>
      <c r="C163" s="18" t="str">
        <f>IF(B163="","",COUNTIF(INDEX($B:$B,5):B163,B163))</f>
        <v/>
      </c>
      <c r="D163" s="17"/>
      <c r="E163" s="19" t="str">
        <f t="shared" si="17"/>
        <v/>
      </c>
      <c r="F163" s="18" t="str">
        <f t="shared" si="18"/>
        <v/>
      </c>
      <c r="G163" s="6"/>
      <c r="H163" s="20" t="str">
        <f t="shared" si="19"/>
        <v/>
      </c>
      <c r="I163" s="21"/>
      <c r="J163" s="22" t="str">
        <f t="shared" si="20"/>
        <v/>
      </c>
      <c r="K163" s="20" t="str">
        <f t="shared" si="21"/>
        <v/>
      </c>
      <c r="L163" s="20" t="str">
        <f t="shared" si="22"/>
        <v/>
      </c>
      <c r="M163" s="6"/>
      <c r="N163" s="19" t="str">
        <f t="shared" si="23"/>
        <v/>
      </c>
      <c r="O163" s="23" t="str">
        <f>IF(B163="","",TRIM(IF(COUNTIF('Registru comenzi'!$B$5:$B$304,B163)=0,"Comandă inexistentă în registru. ","")&amp;IF(AND(D163&lt;&gt;"",E163=""),"Cod necunoscut. ","")&amp;IF(N(G163)&lt;=0,"Lipsește cantitatea. ","")&amp;IF(N(M163)&gt;N(G163),"Livrat mai mult decât s-a comandat. ","")&amp;IF(N(I163)&gt;0.3,"Discount neobișnuit de mare. ","")))</f>
        <v/>
      </c>
    </row>
    <row r="164" spans="1:15" x14ac:dyDescent="0.2">
      <c r="A164" s="1" t="str">
        <f t="shared" si="16"/>
        <v/>
      </c>
      <c r="B164" s="17"/>
      <c r="C164" s="18" t="str">
        <f>IF(B164="","",COUNTIF(INDEX($B:$B,5):B164,B164))</f>
        <v/>
      </c>
      <c r="D164" s="17"/>
      <c r="E164" s="19" t="str">
        <f t="shared" si="17"/>
        <v/>
      </c>
      <c r="F164" s="18" t="str">
        <f t="shared" si="18"/>
        <v/>
      </c>
      <c r="G164" s="6"/>
      <c r="H164" s="20" t="str">
        <f t="shared" si="19"/>
        <v/>
      </c>
      <c r="I164" s="21"/>
      <c r="J164" s="22" t="str">
        <f t="shared" si="20"/>
        <v/>
      </c>
      <c r="K164" s="20" t="str">
        <f t="shared" si="21"/>
        <v/>
      </c>
      <c r="L164" s="20" t="str">
        <f t="shared" si="22"/>
        <v/>
      </c>
      <c r="M164" s="6"/>
      <c r="N164" s="19" t="str">
        <f t="shared" si="23"/>
        <v/>
      </c>
      <c r="O164" s="23" t="str">
        <f>IF(B164="","",TRIM(IF(COUNTIF('Registru comenzi'!$B$5:$B$304,B164)=0,"Comandă inexistentă în registru. ","")&amp;IF(AND(D164&lt;&gt;"",E164=""),"Cod necunoscut. ","")&amp;IF(N(G164)&lt;=0,"Lipsește cantitatea. ","")&amp;IF(N(M164)&gt;N(G164),"Livrat mai mult decât s-a comandat. ","")&amp;IF(N(I164)&gt;0.3,"Discount neobișnuit de mare. ","")))</f>
        <v/>
      </c>
    </row>
    <row r="165" spans="1:15" x14ac:dyDescent="0.2">
      <c r="A165" s="1" t="str">
        <f t="shared" si="16"/>
        <v/>
      </c>
      <c r="B165" s="17"/>
      <c r="C165" s="18" t="str">
        <f>IF(B165="","",COUNTIF(INDEX($B:$B,5):B165,B165))</f>
        <v/>
      </c>
      <c r="D165" s="17"/>
      <c r="E165" s="19" t="str">
        <f t="shared" si="17"/>
        <v/>
      </c>
      <c r="F165" s="18" t="str">
        <f t="shared" si="18"/>
        <v/>
      </c>
      <c r="G165" s="6"/>
      <c r="H165" s="20" t="str">
        <f t="shared" si="19"/>
        <v/>
      </c>
      <c r="I165" s="21"/>
      <c r="J165" s="22" t="str">
        <f t="shared" si="20"/>
        <v/>
      </c>
      <c r="K165" s="20" t="str">
        <f t="shared" si="21"/>
        <v/>
      </c>
      <c r="L165" s="20" t="str">
        <f t="shared" si="22"/>
        <v/>
      </c>
      <c r="M165" s="6"/>
      <c r="N165" s="19" t="str">
        <f t="shared" si="23"/>
        <v/>
      </c>
      <c r="O165" s="23" t="str">
        <f>IF(B165="","",TRIM(IF(COUNTIF('Registru comenzi'!$B$5:$B$304,B165)=0,"Comandă inexistentă în registru. ","")&amp;IF(AND(D165&lt;&gt;"",E165=""),"Cod necunoscut. ","")&amp;IF(N(G165)&lt;=0,"Lipsește cantitatea. ","")&amp;IF(N(M165)&gt;N(G165),"Livrat mai mult decât s-a comandat. ","")&amp;IF(N(I165)&gt;0.3,"Discount neobișnuit de mare. ","")))</f>
        <v/>
      </c>
    </row>
    <row r="166" spans="1:15" x14ac:dyDescent="0.2">
      <c r="A166" s="1" t="str">
        <f t="shared" si="16"/>
        <v/>
      </c>
      <c r="B166" s="17"/>
      <c r="C166" s="18" t="str">
        <f>IF(B166="","",COUNTIF(INDEX($B:$B,5):B166,B166))</f>
        <v/>
      </c>
      <c r="D166" s="17"/>
      <c r="E166" s="19" t="str">
        <f t="shared" si="17"/>
        <v/>
      </c>
      <c r="F166" s="18" t="str">
        <f t="shared" si="18"/>
        <v/>
      </c>
      <c r="G166" s="6"/>
      <c r="H166" s="20" t="str">
        <f t="shared" si="19"/>
        <v/>
      </c>
      <c r="I166" s="21"/>
      <c r="J166" s="22" t="str">
        <f t="shared" si="20"/>
        <v/>
      </c>
      <c r="K166" s="20" t="str">
        <f t="shared" si="21"/>
        <v/>
      </c>
      <c r="L166" s="20" t="str">
        <f t="shared" si="22"/>
        <v/>
      </c>
      <c r="M166" s="6"/>
      <c r="N166" s="19" t="str">
        <f t="shared" si="23"/>
        <v/>
      </c>
      <c r="O166" s="23" t="str">
        <f>IF(B166="","",TRIM(IF(COUNTIF('Registru comenzi'!$B$5:$B$304,B166)=0,"Comandă inexistentă în registru. ","")&amp;IF(AND(D166&lt;&gt;"",E166=""),"Cod necunoscut. ","")&amp;IF(N(G166)&lt;=0,"Lipsește cantitatea. ","")&amp;IF(N(M166)&gt;N(G166),"Livrat mai mult decât s-a comandat. ","")&amp;IF(N(I166)&gt;0.3,"Discount neobișnuit de mare. ","")))</f>
        <v/>
      </c>
    </row>
    <row r="167" spans="1:15" x14ac:dyDescent="0.2">
      <c r="A167" s="1" t="str">
        <f t="shared" si="16"/>
        <v/>
      </c>
      <c r="B167" s="17"/>
      <c r="C167" s="18" t="str">
        <f>IF(B167="","",COUNTIF(INDEX($B:$B,5):B167,B167))</f>
        <v/>
      </c>
      <c r="D167" s="17"/>
      <c r="E167" s="19" t="str">
        <f t="shared" si="17"/>
        <v/>
      </c>
      <c r="F167" s="18" t="str">
        <f t="shared" si="18"/>
        <v/>
      </c>
      <c r="G167" s="6"/>
      <c r="H167" s="20" t="str">
        <f t="shared" si="19"/>
        <v/>
      </c>
      <c r="I167" s="21"/>
      <c r="J167" s="22" t="str">
        <f t="shared" si="20"/>
        <v/>
      </c>
      <c r="K167" s="20" t="str">
        <f t="shared" si="21"/>
        <v/>
      </c>
      <c r="L167" s="20" t="str">
        <f t="shared" si="22"/>
        <v/>
      </c>
      <c r="M167" s="6"/>
      <c r="N167" s="19" t="str">
        <f t="shared" si="23"/>
        <v/>
      </c>
      <c r="O167" s="23" t="str">
        <f>IF(B167="","",TRIM(IF(COUNTIF('Registru comenzi'!$B$5:$B$304,B167)=0,"Comandă inexistentă în registru. ","")&amp;IF(AND(D167&lt;&gt;"",E167=""),"Cod necunoscut. ","")&amp;IF(N(G167)&lt;=0,"Lipsește cantitatea. ","")&amp;IF(N(M167)&gt;N(G167),"Livrat mai mult decât s-a comandat. ","")&amp;IF(N(I167)&gt;0.3,"Discount neobișnuit de mare. ","")))</f>
        <v/>
      </c>
    </row>
    <row r="168" spans="1:15" x14ac:dyDescent="0.2">
      <c r="A168" s="1" t="str">
        <f t="shared" si="16"/>
        <v/>
      </c>
      <c r="B168" s="17"/>
      <c r="C168" s="18" t="str">
        <f>IF(B168="","",COUNTIF(INDEX($B:$B,5):B168,B168))</f>
        <v/>
      </c>
      <c r="D168" s="17"/>
      <c r="E168" s="19" t="str">
        <f t="shared" si="17"/>
        <v/>
      </c>
      <c r="F168" s="18" t="str">
        <f t="shared" si="18"/>
        <v/>
      </c>
      <c r="G168" s="6"/>
      <c r="H168" s="20" t="str">
        <f t="shared" si="19"/>
        <v/>
      </c>
      <c r="I168" s="21"/>
      <c r="J168" s="22" t="str">
        <f t="shared" si="20"/>
        <v/>
      </c>
      <c r="K168" s="20" t="str">
        <f t="shared" si="21"/>
        <v/>
      </c>
      <c r="L168" s="20" t="str">
        <f t="shared" si="22"/>
        <v/>
      </c>
      <c r="M168" s="6"/>
      <c r="N168" s="19" t="str">
        <f t="shared" si="23"/>
        <v/>
      </c>
      <c r="O168" s="23" t="str">
        <f>IF(B168="","",TRIM(IF(COUNTIF('Registru comenzi'!$B$5:$B$304,B168)=0,"Comandă inexistentă în registru. ","")&amp;IF(AND(D168&lt;&gt;"",E168=""),"Cod necunoscut. ","")&amp;IF(N(G168)&lt;=0,"Lipsește cantitatea. ","")&amp;IF(N(M168)&gt;N(G168),"Livrat mai mult decât s-a comandat. ","")&amp;IF(N(I168)&gt;0.3,"Discount neobișnuit de mare. ","")))</f>
        <v/>
      </c>
    </row>
    <row r="169" spans="1:15" x14ac:dyDescent="0.2">
      <c r="A169" s="1" t="str">
        <f t="shared" si="16"/>
        <v/>
      </c>
      <c r="B169" s="17"/>
      <c r="C169" s="18" t="str">
        <f>IF(B169="","",COUNTIF(INDEX($B:$B,5):B169,B169))</f>
        <v/>
      </c>
      <c r="D169" s="17"/>
      <c r="E169" s="19" t="str">
        <f t="shared" si="17"/>
        <v/>
      </c>
      <c r="F169" s="18" t="str">
        <f t="shared" si="18"/>
        <v/>
      </c>
      <c r="G169" s="6"/>
      <c r="H169" s="20" t="str">
        <f t="shared" si="19"/>
        <v/>
      </c>
      <c r="I169" s="21"/>
      <c r="J169" s="22" t="str">
        <f t="shared" si="20"/>
        <v/>
      </c>
      <c r="K169" s="20" t="str">
        <f t="shared" si="21"/>
        <v/>
      </c>
      <c r="L169" s="20" t="str">
        <f t="shared" si="22"/>
        <v/>
      </c>
      <c r="M169" s="6"/>
      <c r="N169" s="19" t="str">
        <f t="shared" si="23"/>
        <v/>
      </c>
      <c r="O169" s="23" t="str">
        <f>IF(B169="","",TRIM(IF(COUNTIF('Registru comenzi'!$B$5:$B$304,B169)=0,"Comandă inexistentă în registru. ","")&amp;IF(AND(D169&lt;&gt;"",E169=""),"Cod necunoscut. ","")&amp;IF(N(G169)&lt;=0,"Lipsește cantitatea. ","")&amp;IF(N(M169)&gt;N(G169),"Livrat mai mult decât s-a comandat. ","")&amp;IF(N(I169)&gt;0.3,"Discount neobișnuit de mare. ","")))</f>
        <v/>
      </c>
    </row>
    <row r="170" spans="1:15" x14ac:dyDescent="0.2">
      <c r="A170" s="1" t="str">
        <f t="shared" si="16"/>
        <v/>
      </c>
      <c r="B170" s="17"/>
      <c r="C170" s="18" t="str">
        <f>IF(B170="","",COUNTIF(INDEX($B:$B,5):B170,B170))</f>
        <v/>
      </c>
      <c r="D170" s="17"/>
      <c r="E170" s="19" t="str">
        <f t="shared" si="17"/>
        <v/>
      </c>
      <c r="F170" s="18" t="str">
        <f t="shared" si="18"/>
        <v/>
      </c>
      <c r="G170" s="6"/>
      <c r="H170" s="20" t="str">
        <f t="shared" si="19"/>
        <v/>
      </c>
      <c r="I170" s="21"/>
      <c r="J170" s="22" t="str">
        <f t="shared" si="20"/>
        <v/>
      </c>
      <c r="K170" s="20" t="str">
        <f t="shared" si="21"/>
        <v/>
      </c>
      <c r="L170" s="20" t="str">
        <f t="shared" si="22"/>
        <v/>
      </c>
      <c r="M170" s="6"/>
      <c r="N170" s="19" t="str">
        <f t="shared" si="23"/>
        <v/>
      </c>
      <c r="O170" s="23" t="str">
        <f>IF(B170="","",TRIM(IF(COUNTIF('Registru comenzi'!$B$5:$B$304,B170)=0,"Comandă inexistentă în registru. ","")&amp;IF(AND(D170&lt;&gt;"",E170=""),"Cod necunoscut. ","")&amp;IF(N(G170)&lt;=0,"Lipsește cantitatea. ","")&amp;IF(N(M170)&gt;N(G170),"Livrat mai mult decât s-a comandat. ","")&amp;IF(N(I170)&gt;0.3,"Discount neobișnuit de mare. ","")))</f>
        <v/>
      </c>
    </row>
    <row r="171" spans="1:15" x14ac:dyDescent="0.2">
      <c r="A171" s="1" t="str">
        <f t="shared" si="16"/>
        <v/>
      </c>
      <c r="B171" s="17"/>
      <c r="C171" s="18" t="str">
        <f>IF(B171="","",COUNTIF(INDEX($B:$B,5):B171,B171))</f>
        <v/>
      </c>
      <c r="D171" s="17"/>
      <c r="E171" s="19" t="str">
        <f t="shared" si="17"/>
        <v/>
      </c>
      <c r="F171" s="18" t="str">
        <f t="shared" si="18"/>
        <v/>
      </c>
      <c r="G171" s="6"/>
      <c r="H171" s="20" t="str">
        <f t="shared" si="19"/>
        <v/>
      </c>
      <c r="I171" s="21"/>
      <c r="J171" s="22" t="str">
        <f t="shared" si="20"/>
        <v/>
      </c>
      <c r="K171" s="20" t="str">
        <f t="shared" si="21"/>
        <v/>
      </c>
      <c r="L171" s="20" t="str">
        <f t="shared" si="22"/>
        <v/>
      </c>
      <c r="M171" s="6"/>
      <c r="N171" s="19" t="str">
        <f t="shared" si="23"/>
        <v/>
      </c>
      <c r="O171" s="23" t="str">
        <f>IF(B171="","",TRIM(IF(COUNTIF('Registru comenzi'!$B$5:$B$304,B171)=0,"Comandă inexistentă în registru. ","")&amp;IF(AND(D171&lt;&gt;"",E171=""),"Cod necunoscut. ","")&amp;IF(N(G171)&lt;=0,"Lipsește cantitatea. ","")&amp;IF(N(M171)&gt;N(G171),"Livrat mai mult decât s-a comandat. ","")&amp;IF(N(I171)&gt;0.3,"Discount neobișnuit de mare. ","")))</f>
        <v/>
      </c>
    </row>
    <row r="172" spans="1:15" x14ac:dyDescent="0.2">
      <c r="A172" s="1" t="str">
        <f t="shared" si="16"/>
        <v/>
      </c>
      <c r="B172" s="17"/>
      <c r="C172" s="18" t="str">
        <f>IF(B172="","",COUNTIF(INDEX($B:$B,5):B172,B172))</f>
        <v/>
      </c>
      <c r="D172" s="17"/>
      <c r="E172" s="19" t="str">
        <f t="shared" si="17"/>
        <v/>
      </c>
      <c r="F172" s="18" t="str">
        <f t="shared" si="18"/>
        <v/>
      </c>
      <c r="G172" s="6"/>
      <c r="H172" s="20" t="str">
        <f t="shared" si="19"/>
        <v/>
      </c>
      <c r="I172" s="21"/>
      <c r="J172" s="22" t="str">
        <f t="shared" si="20"/>
        <v/>
      </c>
      <c r="K172" s="20" t="str">
        <f t="shared" si="21"/>
        <v/>
      </c>
      <c r="L172" s="20" t="str">
        <f t="shared" si="22"/>
        <v/>
      </c>
      <c r="M172" s="6"/>
      <c r="N172" s="19" t="str">
        <f t="shared" si="23"/>
        <v/>
      </c>
      <c r="O172" s="23" t="str">
        <f>IF(B172="","",TRIM(IF(COUNTIF('Registru comenzi'!$B$5:$B$304,B172)=0,"Comandă inexistentă în registru. ","")&amp;IF(AND(D172&lt;&gt;"",E172=""),"Cod necunoscut. ","")&amp;IF(N(G172)&lt;=0,"Lipsește cantitatea. ","")&amp;IF(N(M172)&gt;N(G172),"Livrat mai mult decât s-a comandat. ","")&amp;IF(N(I172)&gt;0.3,"Discount neobișnuit de mare. ","")))</f>
        <v/>
      </c>
    </row>
    <row r="173" spans="1:15" x14ac:dyDescent="0.2">
      <c r="A173" s="1" t="str">
        <f t="shared" si="16"/>
        <v/>
      </c>
      <c r="B173" s="17"/>
      <c r="C173" s="18" t="str">
        <f>IF(B173="","",COUNTIF(INDEX($B:$B,5):B173,B173))</f>
        <v/>
      </c>
      <c r="D173" s="17"/>
      <c r="E173" s="19" t="str">
        <f t="shared" si="17"/>
        <v/>
      </c>
      <c r="F173" s="18" t="str">
        <f t="shared" si="18"/>
        <v/>
      </c>
      <c r="G173" s="6"/>
      <c r="H173" s="20" t="str">
        <f t="shared" si="19"/>
        <v/>
      </c>
      <c r="I173" s="21"/>
      <c r="J173" s="22" t="str">
        <f t="shared" si="20"/>
        <v/>
      </c>
      <c r="K173" s="20" t="str">
        <f t="shared" si="21"/>
        <v/>
      </c>
      <c r="L173" s="20" t="str">
        <f t="shared" si="22"/>
        <v/>
      </c>
      <c r="M173" s="6"/>
      <c r="N173" s="19" t="str">
        <f t="shared" si="23"/>
        <v/>
      </c>
      <c r="O173" s="23" t="str">
        <f>IF(B173="","",TRIM(IF(COUNTIF('Registru comenzi'!$B$5:$B$304,B173)=0,"Comandă inexistentă în registru. ","")&amp;IF(AND(D173&lt;&gt;"",E173=""),"Cod necunoscut. ","")&amp;IF(N(G173)&lt;=0,"Lipsește cantitatea. ","")&amp;IF(N(M173)&gt;N(G173),"Livrat mai mult decât s-a comandat. ","")&amp;IF(N(I173)&gt;0.3,"Discount neobișnuit de mare. ","")))</f>
        <v/>
      </c>
    </row>
    <row r="174" spans="1:15" x14ac:dyDescent="0.2">
      <c r="A174" s="1" t="str">
        <f t="shared" si="16"/>
        <v/>
      </c>
      <c r="B174" s="17"/>
      <c r="C174" s="18" t="str">
        <f>IF(B174="","",COUNTIF(INDEX($B:$B,5):B174,B174))</f>
        <v/>
      </c>
      <c r="D174" s="17"/>
      <c r="E174" s="19" t="str">
        <f t="shared" si="17"/>
        <v/>
      </c>
      <c r="F174" s="18" t="str">
        <f t="shared" si="18"/>
        <v/>
      </c>
      <c r="G174" s="6"/>
      <c r="H174" s="20" t="str">
        <f t="shared" si="19"/>
        <v/>
      </c>
      <c r="I174" s="21"/>
      <c r="J174" s="22" t="str">
        <f t="shared" si="20"/>
        <v/>
      </c>
      <c r="K174" s="20" t="str">
        <f t="shared" si="21"/>
        <v/>
      </c>
      <c r="L174" s="20" t="str">
        <f t="shared" si="22"/>
        <v/>
      </c>
      <c r="M174" s="6"/>
      <c r="N174" s="19" t="str">
        <f t="shared" si="23"/>
        <v/>
      </c>
      <c r="O174" s="23" t="str">
        <f>IF(B174="","",TRIM(IF(COUNTIF('Registru comenzi'!$B$5:$B$304,B174)=0,"Comandă inexistentă în registru. ","")&amp;IF(AND(D174&lt;&gt;"",E174=""),"Cod necunoscut. ","")&amp;IF(N(G174)&lt;=0,"Lipsește cantitatea. ","")&amp;IF(N(M174)&gt;N(G174),"Livrat mai mult decât s-a comandat. ","")&amp;IF(N(I174)&gt;0.3,"Discount neobișnuit de mare. ","")))</f>
        <v/>
      </c>
    </row>
    <row r="175" spans="1:15" x14ac:dyDescent="0.2">
      <c r="A175" s="1" t="str">
        <f t="shared" si="16"/>
        <v/>
      </c>
      <c r="B175" s="17"/>
      <c r="C175" s="18" t="str">
        <f>IF(B175="","",COUNTIF(INDEX($B:$B,5):B175,B175))</f>
        <v/>
      </c>
      <c r="D175" s="17"/>
      <c r="E175" s="19" t="str">
        <f t="shared" si="17"/>
        <v/>
      </c>
      <c r="F175" s="18" t="str">
        <f t="shared" si="18"/>
        <v/>
      </c>
      <c r="G175" s="6"/>
      <c r="H175" s="20" t="str">
        <f t="shared" si="19"/>
        <v/>
      </c>
      <c r="I175" s="21"/>
      <c r="J175" s="22" t="str">
        <f t="shared" si="20"/>
        <v/>
      </c>
      <c r="K175" s="20" t="str">
        <f t="shared" si="21"/>
        <v/>
      </c>
      <c r="L175" s="20" t="str">
        <f t="shared" si="22"/>
        <v/>
      </c>
      <c r="M175" s="6"/>
      <c r="N175" s="19" t="str">
        <f t="shared" si="23"/>
        <v/>
      </c>
      <c r="O175" s="23" t="str">
        <f>IF(B175="","",TRIM(IF(COUNTIF('Registru comenzi'!$B$5:$B$304,B175)=0,"Comandă inexistentă în registru. ","")&amp;IF(AND(D175&lt;&gt;"",E175=""),"Cod necunoscut. ","")&amp;IF(N(G175)&lt;=0,"Lipsește cantitatea. ","")&amp;IF(N(M175)&gt;N(G175),"Livrat mai mult decât s-a comandat. ","")&amp;IF(N(I175)&gt;0.3,"Discount neobișnuit de mare. ","")))</f>
        <v/>
      </c>
    </row>
    <row r="176" spans="1:15" x14ac:dyDescent="0.2">
      <c r="A176" s="1" t="str">
        <f t="shared" si="16"/>
        <v/>
      </c>
      <c r="B176" s="17"/>
      <c r="C176" s="18" t="str">
        <f>IF(B176="","",COUNTIF(INDEX($B:$B,5):B176,B176))</f>
        <v/>
      </c>
      <c r="D176" s="17"/>
      <c r="E176" s="19" t="str">
        <f t="shared" si="17"/>
        <v/>
      </c>
      <c r="F176" s="18" t="str">
        <f t="shared" si="18"/>
        <v/>
      </c>
      <c r="G176" s="6"/>
      <c r="H176" s="20" t="str">
        <f t="shared" si="19"/>
        <v/>
      </c>
      <c r="I176" s="21"/>
      <c r="J176" s="22" t="str">
        <f t="shared" si="20"/>
        <v/>
      </c>
      <c r="K176" s="20" t="str">
        <f t="shared" si="21"/>
        <v/>
      </c>
      <c r="L176" s="20" t="str">
        <f t="shared" si="22"/>
        <v/>
      </c>
      <c r="M176" s="6"/>
      <c r="N176" s="19" t="str">
        <f t="shared" si="23"/>
        <v/>
      </c>
      <c r="O176" s="23" t="str">
        <f>IF(B176="","",TRIM(IF(COUNTIF('Registru comenzi'!$B$5:$B$304,B176)=0,"Comandă inexistentă în registru. ","")&amp;IF(AND(D176&lt;&gt;"",E176=""),"Cod necunoscut. ","")&amp;IF(N(G176)&lt;=0,"Lipsește cantitatea. ","")&amp;IF(N(M176)&gt;N(G176),"Livrat mai mult decât s-a comandat. ","")&amp;IF(N(I176)&gt;0.3,"Discount neobișnuit de mare. ","")))</f>
        <v/>
      </c>
    </row>
    <row r="177" spans="1:15" x14ac:dyDescent="0.2">
      <c r="A177" s="1" t="str">
        <f t="shared" si="16"/>
        <v/>
      </c>
      <c r="B177" s="17"/>
      <c r="C177" s="18" t="str">
        <f>IF(B177="","",COUNTIF(INDEX($B:$B,5):B177,B177))</f>
        <v/>
      </c>
      <c r="D177" s="17"/>
      <c r="E177" s="19" t="str">
        <f t="shared" si="17"/>
        <v/>
      </c>
      <c r="F177" s="18" t="str">
        <f t="shared" si="18"/>
        <v/>
      </c>
      <c r="G177" s="6"/>
      <c r="H177" s="20" t="str">
        <f t="shared" si="19"/>
        <v/>
      </c>
      <c r="I177" s="21"/>
      <c r="J177" s="22" t="str">
        <f t="shared" si="20"/>
        <v/>
      </c>
      <c r="K177" s="20" t="str">
        <f t="shared" si="21"/>
        <v/>
      </c>
      <c r="L177" s="20" t="str">
        <f t="shared" si="22"/>
        <v/>
      </c>
      <c r="M177" s="6"/>
      <c r="N177" s="19" t="str">
        <f t="shared" si="23"/>
        <v/>
      </c>
      <c r="O177" s="23" t="str">
        <f>IF(B177="","",TRIM(IF(COUNTIF('Registru comenzi'!$B$5:$B$304,B177)=0,"Comandă inexistentă în registru. ","")&amp;IF(AND(D177&lt;&gt;"",E177=""),"Cod necunoscut. ","")&amp;IF(N(G177)&lt;=0,"Lipsește cantitatea. ","")&amp;IF(N(M177)&gt;N(G177),"Livrat mai mult decât s-a comandat. ","")&amp;IF(N(I177)&gt;0.3,"Discount neobișnuit de mare. ","")))</f>
        <v/>
      </c>
    </row>
    <row r="178" spans="1:15" x14ac:dyDescent="0.2">
      <c r="A178" s="1" t="str">
        <f t="shared" si="16"/>
        <v/>
      </c>
      <c r="B178" s="17"/>
      <c r="C178" s="18" t="str">
        <f>IF(B178="","",COUNTIF(INDEX($B:$B,5):B178,B178))</f>
        <v/>
      </c>
      <c r="D178" s="17"/>
      <c r="E178" s="19" t="str">
        <f t="shared" si="17"/>
        <v/>
      </c>
      <c r="F178" s="18" t="str">
        <f t="shared" si="18"/>
        <v/>
      </c>
      <c r="G178" s="6"/>
      <c r="H178" s="20" t="str">
        <f t="shared" si="19"/>
        <v/>
      </c>
      <c r="I178" s="21"/>
      <c r="J178" s="22" t="str">
        <f t="shared" si="20"/>
        <v/>
      </c>
      <c r="K178" s="20" t="str">
        <f t="shared" si="21"/>
        <v/>
      </c>
      <c r="L178" s="20" t="str">
        <f t="shared" si="22"/>
        <v/>
      </c>
      <c r="M178" s="6"/>
      <c r="N178" s="19" t="str">
        <f t="shared" si="23"/>
        <v/>
      </c>
      <c r="O178" s="23" t="str">
        <f>IF(B178="","",TRIM(IF(COUNTIF('Registru comenzi'!$B$5:$B$304,B178)=0,"Comandă inexistentă în registru. ","")&amp;IF(AND(D178&lt;&gt;"",E178=""),"Cod necunoscut. ","")&amp;IF(N(G178)&lt;=0,"Lipsește cantitatea. ","")&amp;IF(N(M178)&gt;N(G178),"Livrat mai mult decât s-a comandat. ","")&amp;IF(N(I178)&gt;0.3,"Discount neobișnuit de mare. ","")))</f>
        <v/>
      </c>
    </row>
    <row r="179" spans="1:15" x14ac:dyDescent="0.2">
      <c r="A179" s="1" t="str">
        <f t="shared" si="16"/>
        <v/>
      </c>
      <c r="B179" s="17"/>
      <c r="C179" s="18" t="str">
        <f>IF(B179="","",COUNTIF(INDEX($B:$B,5):B179,B179))</f>
        <v/>
      </c>
      <c r="D179" s="17"/>
      <c r="E179" s="19" t="str">
        <f t="shared" si="17"/>
        <v/>
      </c>
      <c r="F179" s="18" t="str">
        <f t="shared" si="18"/>
        <v/>
      </c>
      <c r="G179" s="6"/>
      <c r="H179" s="20" t="str">
        <f t="shared" si="19"/>
        <v/>
      </c>
      <c r="I179" s="21"/>
      <c r="J179" s="22" t="str">
        <f t="shared" si="20"/>
        <v/>
      </c>
      <c r="K179" s="20" t="str">
        <f t="shared" si="21"/>
        <v/>
      </c>
      <c r="L179" s="20" t="str">
        <f t="shared" si="22"/>
        <v/>
      </c>
      <c r="M179" s="6"/>
      <c r="N179" s="19" t="str">
        <f t="shared" si="23"/>
        <v/>
      </c>
      <c r="O179" s="23" t="str">
        <f>IF(B179="","",TRIM(IF(COUNTIF('Registru comenzi'!$B$5:$B$304,B179)=0,"Comandă inexistentă în registru. ","")&amp;IF(AND(D179&lt;&gt;"",E179=""),"Cod necunoscut. ","")&amp;IF(N(G179)&lt;=0,"Lipsește cantitatea. ","")&amp;IF(N(M179)&gt;N(G179),"Livrat mai mult decât s-a comandat. ","")&amp;IF(N(I179)&gt;0.3,"Discount neobișnuit de mare. ","")))</f>
        <v/>
      </c>
    </row>
    <row r="180" spans="1:15" x14ac:dyDescent="0.2">
      <c r="A180" s="1" t="str">
        <f t="shared" si="16"/>
        <v/>
      </c>
      <c r="B180" s="17"/>
      <c r="C180" s="18" t="str">
        <f>IF(B180="","",COUNTIF(INDEX($B:$B,5):B180,B180))</f>
        <v/>
      </c>
      <c r="D180" s="17"/>
      <c r="E180" s="19" t="str">
        <f t="shared" si="17"/>
        <v/>
      </c>
      <c r="F180" s="18" t="str">
        <f t="shared" si="18"/>
        <v/>
      </c>
      <c r="G180" s="6"/>
      <c r="H180" s="20" t="str">
        <f t="shared" si="19"/>
        <v/>
      </c>
      <c r="I180" s="21"/>
      <c r="J180" s="22" t="str">
        <f t="shared" si="20"/>
        <v/>
      </c>
      <c r="K180" s="20" t="str">
        <f t="shared" si="21"/>
        <v/>
      </c>
      <c r="L180" s="20" t="str">
        <f t="shared" si="22"/>
        <v/>
      </c>
      <c r="M180" s="6"/>
      <c r="N180" s="19" t="str">
        <f t="shared" si="23"/>
        <v/>
      </c>
      <c r="O180" s="23" t="str">
        <f>IF(B180="","",TRIM(IF(COUNTIF('Registru comenzi'!$B$5:$B$304,B180)=0,"Comandă inexistentă în registru. ","")&amp;IF(AND(D180&lt;&gt;"",E180=""),"Cod necunoscut. ","")&amp;IF(N(G180)&lt;=0,"Lipsește cantitatea. ","")&amp;IF(N(M180)&gt;N(G180),"Livrat mai mult decât s-a comandat. ","")&amp;IF(N(I180)&gt;0.3,"Discount neobișnuit de mare. ","")))</f>
        <v/>
      </c>
    </row>
    <row r="181" spans="1:15" x14ac:dyDescent="0.2">
      <c r="A181" s="1" t="str">
        <f t="shared" si="16"/>
        <v/>
      </c>
      <c r="B181" s="17"/>
      <c r="C181" s="18" t="str">
        <f>IF(B181="","",COUNTIF(INDEX($B:$B,5):B181,B181))</f>
        <v/>
      </c>
      <c r="D181" s="17"/>
      <c r="E181" s="19" t="str">
        <f t="shared" si="17"/>
        <v/>
      </c>
      <c r="F181" s="18" t="str">
        <f t="shared" si="18"/>
        <v/>
      </c>
      <c r="G181" s="6"/>
      <c r="H181" s="20" t="str">
        <f t="shared" si="19"/>
        <v/>
      </c>
      <c r="I181" s="21"/>
      <c r="J181" s="22" t="str">
        <f t="shared" si="20"/>
        <v/>
      </c>
      <c r="K181" s="20" t="str">
        <f t="shared" si="21"/>
        <v/>
      </c>
      <c r="L181" s="20" t="str">
        <f t="shared" si="22"/>
        <v/>
      </c>
      <c r="M181" s="6"/>
      <c r="N181" s="19" t="str">
        <f t="shared" si="23"/>
        <v/>
      </c>
      <c r="O181" s="23" t="str">
        <f>IF(B181="","",TRIM(IF(COUNTIF('Registru comenzi'!$B$5:$B$304,B181)=0,"Comandă inexistentă în registru. ","")&amp;IF(AND(D181&lt;&gt;"",E181=""),"Cod necunoscut. ","")&amp;IF(N(G181)&lt;=0,"Lipsește cantitatea. ","")&amp;IF(N(M181)&gt;N(G181),"Livrat mai mult decât s-a comandat. ","")&amp;IF(N(I181)&gt;0.3,"Discount neobișnuit de mare. ","")))</f>
        <v/>
      </c>
    </row>
    <row r="182" spans="1:15" x14ac:dyDescent="0.2">
      <c r="A182" s="1" t="str">
        <f t="shared" si="16"/>
        <v/>
      </c>
      <c r="B182" s="17"/>
      <c r="C182" s="18" t="str">
        <f>IF(B182="","",COUNTIF(INDEX($B:$B,5):B182,B182))</f>
        <v/>
      </c>
      <c r="D182" s="17"/>
      <c r="E182" s="19" t="str">
        <f t="shared" si="17"/>
        <v/>
      </c>
      <c r="F182" s="18" t="str">
        <f t="shared" si="18"/>
        <v/>
      </c>
      <c r="G182" s="6"/>
      <c r="H182" s="20" t="str">
        <f t="shared" si="19"/>
        <v/>
      </c>
      <c r="I182" s="21"/>
      <c r="J182" s="22" t="str">
        <f t="shared" si="20"/>
        <v/>
      </c>
      <c r="K182" s="20" t="str">
        <f t="shared" si="21"/>
        <v/>
      </c>
      <c r="L182" s="20" t="str">
        <f t="shared" si="22"/>
        <v/>
      </c>
      <c r="M182" s="6"/>
      <c r="N182" s="19" t="str">
        <f t="shared" si="23"/>
        <v/>
      </c>
      <c r="O182" s="23" t="str">
        <f>IF(B182="","",TRIM(IF(COUNTIF('Registru comenzi'!$B$5:$B$304,B182)=0,"Comandă inexistentă în registru. ","")&amp;IF(AND(D182&lt;&gt;"",E182=""),"Cod necunoscut. ","")&amp;IF(N(G182)&lt;=0,"Lipsește cantitatea. ","")&amp;IF(N(M182)&gt;N(G182),"Livrat mai mult decât s-a comandat. ","")&amp;IF(N(I182)&gt;0.3,"Discount neobișnuit de mare. ","")))</f>
        <v/>
      </c>
    </row>
    <row r="183" spans="1:15" x14ac:dyDescent="0.2">
      <c r="A183" s="1" t="str">
        <f t="shared" si="16"/>
        <v/>
      </c>
      <c r="B183" s="17"/>
      <c r="C183" s="18" t="str">
        <f>IF(B183="","",COUNTIF(INDEX($B:$B,5):B183,B183))</f>
        <v/>
      </c>
      <c r="D183" s="17"/>
      <c r="E183" s="19" t="str">
        <f t="shared" si="17"/>
        <v/>
      </c>
      <c r="F183" s="18" t="str">
        <f t="shared" si="18"/>
        <v/>
      </c>
      <c r="G183" s="6"/>
      <c r="H183" s="20" t="str">
        <f t="shared" si="19"/>
        <v/>
      </c>
      <c r="I183" s="21"/>
      <c r="J183" s="22" t="str">
        <f t="shared" si="20"/>
        <v/>
      </c>
      <c r="K183" s="20" t="str">
        <f t="shared" si="21"/>
        <v/>
      </c>
      <c r="L183" s="20" t="str">
        <f t="shared" si="22"/>
        <v/>
      </c>
      <c r="M183" s="6"/>
      <c r="N183" s="19" t="str">
        <f t="shared" si="23"/>
        <v/>
      </c>
      <c r="O183" s="23" t="str">
        <f>IF(B183="","",TRIM(IF(COUNTIF('Registru comenzi'!$B$5:$B$304,B183)=0,"Comandă inexistentă în registru. ","")&amp;IF(AND(D183&lt;&gt;"",E183=""),"Cod necunoscut. ","")&amp;IF(N(G183)&lt;=0,"Lipsește cantitatea. ","")&amp;IF(N(M183)&gt;N(G183),"Livrat mai mult decât s-a comandat. ","")&amp;IF(N(I183)&gt;0.3,"Discount neobișnuit de mare. ","")))</f>
        <v/>
      </c>
    </row>
    <row r="184" spans="1:15" x14ac:dyDescent="0.2">
      <c r="A184" s="1" t="str">
        <f t="shared" si="16"/>
        <v/>
      </c>
      <c r="B184" s="17"/>
      <c r="C184" s="18" t="str">
        <f>IF(B184="","",COUNTIF(INDEX($B:$B,5):B184,B184))</f>
        <v/>
      </c>
      <c r="D184" s="17"/>
      <c r="E184" s="19" t="str">
        <f t="shared" si="17"/>
        <v/>
      </c>
      <c r="F184" s="18" t="str">
        <f t="shared" si="18"/>
        <v/>
      </c>
      <c r="G184" s="6"/>
      <c r="H184" s="20" t="str">
        <f t="shared" si="19"/>
        <v/>
      </c>
      <c r="I184" s="21"/>
      <c r="J184" s="22" t="str">
        <f t="shared" si="20"/>
        <v/>
      </c>
      <c r="K184" s="20" t="str">
        <f t="shared" si="21"/>
        <v/>
      </c>
      <c r="L184" s="20" t="str">
        <f t="shared" si="22"/>
        <v/>
      </c>
      <c r="M184" s="6"/>
      <c r="N184" s="19" t="str">
        <f t="shared" si="23"/>
        <v/>
      </c>
      <c r="O184" s="23" t="str">
        <f>IF(B184="","",TRIM(IF(COUNTIF('Registru comenzi'!$B$5:$B$304,B184)=0,"Comandă inexistentă în registru. ","")&amp;IF(AND(D184&lt;&gt;"",E184=""),"Cod necunoscut. ","")&amp;IF(N(G184)&lt;=0,"Lipsește cantitatea. ","")&amp;IF(N(M184)&gt;N(G184),"Livrat mai mult decât s-a comandat. ","")&amp;IF(N(I184)&gt;0.3,"Discount neobișnuit de mare. ","")))</f>
        <v/>
      </c>
    </row>
    <row r="185" spans="1:15" x14ac:dyDescent="0.2">
      <c r="A185" s="1" t="str">
        <f t="shared" si="16"/>
        <v/>
      </c>
      <c r="B185" s="17"/>
      <c r="C185" s="18" t="str">
        <f>IF(B185="","",COUNTIF(INDEX($B:$B,5):B185,B185))</f>
        <v/>
      </c>
      <c r="D185" s="17"/>
      <c r="E185" s="19" t="str">
        <f t="shared" si="17"/>
        <v/>
      </c>
      <c r="F185" s="18" t="str">
        <f t="shared" si="18"/>
        <v/>
      </c>
      <c r="G185" s="6"/>
      <c r="H185" s="20" t="str">
        <f t="shared" si="19"/>
        <v/>
      </c>
      <c r="I185" s="21"/>
      <c r="J185" s="22" t="str">
        <f t="shared" si="20"/>
        <v/>
      </c>
      <c r="K185" s="20" t="str">
        <f t="shared" si="21"/>
        <v/>
      </c>
      <c r="L185" s="20" t="str">
        <f t="shared" si="22"/>
        <v/>
      </c>
      <c r="M185" s="6"/>
      <c r="N185" s="19" t="str">
        <f t="shared" si="23"/>
        <v/>
      </c>
      <c r="O185" s="23" t="str">
        <f>IF(B185="","",TRIM(IF(COUNTIF('Registru comenzi'!$B$5:$B$304,B185)=0,"Comandă inexistentă în registru. ","")&amp;IF(AND(D185&lt;&gt;"",E185=""),"Cod necunoscut. ","")&amp;IF(N(G185)&lt;=0,"Lipsește cantitatea. ","")&amp;IF(N(M185)&gt;N(G185),"Livrat mai mult decât s-a comandat. ","")&amp;IF(N(I185)&gt;0.3,"Discount neobișnuit de mare. ","")))</f>
        <v/>
      </c>
    </row>
    <row r="186" spans="1:15" x14ac:dyDescent="0.2">
      <c r="A186" s="1" t="str">
        <f t="shared" si="16"/>
        <v/>
      </c>
      <c r="B186" s="17"/>
      <c r="C186" s="18" t="str">
        <f>IF(B186="","",COUNTIF(INDEX($B:$B,5):B186,B186))</f>
        <v/>
      </c>
      <c r="D186" s="17"/>
      <c r="E186" s="19" t="str">
        <f t="shared" si="17"/>
        <v/>
      </c>
      <c r="F186" s="18" t="str">
        <f t="shared" si="18"/>
        <v/>
      </c>
      <c r="G186" s="6"/>
      <c r="H186" s="20" t="str">
        <f t="shared" si="19"/>
        <v/>
      </c>
      <c r="I186" s="21"/>
      <c r="J186" s="22" t="str">
        <f t="shared" si="20"/>
        <v/>
      </c>
      <c r="K186" s="20" t="str">
        <f t="shared" si="21"/>
        <v/>
      </c>
      <c r="L186" s="20" t="str">
        <f t="shared" si="22"/>
        <v/>
      </c>
      <c r="M186" s="6"/>
      <c r="N186" s="19" t="str">
        <f t="shared" si="23"/>
        <v/>
      </c>
      <c r="O186" s="23" t="str">
        <f>IF(B186="","",TRIM(IF(COUNTIF('Registru comenzi'!$B$5:$B$304,B186)=0,"Comandă inexistentă în registru. ","")&amp;IF(AND(D186&lt;&gt;"",E186=""),"Cod necunoscut. ","")&amp;IF(N(G186)&lt;=0,"Lipsește cantitatea. ","")&amp;IF(N(M186)&gt;N(G186),"Livrat mai mult decât s-a comandat. ","")&amp;IF(N(I186)&gt;0.3,"Discount neobișnuit de mare. ","")))</f>
        <v/>
      </c>
    </row>
    <row r="187" spans="1:15" x14ac:dyDescent="0.2">
      <c r="A187" s="1" t="str">
        <f t="shared" si="16"/>
        <v/>
      </c>
      <c r="B187" s="17"/>
      <c r="C187" s="18" t="str">
        <f>IF(B187="","",COUNTIF(INDEX($B:$B,5):B187,B187))</f>
        <v/>
      </c>
      <c r="D187" s="17"/>
      <c r="E187" s="19" t="str">
        <f t="shared" si="17"/>
        <v/>
      </c>
      <c r="F187" s="18" t="str">
        <f t="shared" si="18"/>
        <v/>
      </c>
      <c r="G187" s="6"/>
      <c r="H187" s="20" t="str">
        <f t="shared" si="19"/>
        <v/>
      </c>
      <c r="I187" s="21"/>
      <c r="J187" s="22" t="str">
        <f t="shared" si="20"/>
        <v/>
      </c>
      <c r="K187" s="20" t="str">
        <f t="shared" si="21"/>
        <v/>
      </c>
      <c r="L187" s="20" t="str">
        <f t="shared" si="22"/>
        <v/>
      </c>
      <c r="M187" s="6"/>
      <c r="N187" s="19" t="str">
        <f t="shared" si="23"/>
        <v/>
      </c>
      <c r="O187" s="23" t="str">
        <f>IF(B187="","",TRIM(IF(COUNTIF('Registru comenzi'!$B$5:$B$304,B187)=0,"Comandă inexistentă în registru. ","")&amp;IF(AND(D187&lt;&gt;"",E187=""),"Cod necunoscut. ","")&amp;IF(N(G187)&lt;=0,"Lipsește cantitatea. ","")&amp;IF(N(M187)&gt;N(G187),"Livrat mai mult decât s-a comandat. ","")&amp;IF(N(I187)&gt;0.3,"Discount neobișnuit de mare. ","")))</f>
        <v/>
      </c>
    </row>
    <row r="188" spans="1:15" x14ac:dyDescent="0.2">
      <c r="A188" s="1" t="str">
        <f t="shared" si="16"/>
        <v/>
      </c>
      <c r="B188" s="17"/>
      <c r="C188" s="18" t="str">
        <f>IF(B188="","",COUNTIF(INDEX($B:$B,5):B188,B188))</f>
        <v/>
      </c>
      <c r="D188" s="17"/>
      <c r="E188" s="19" t="str">
        <f t="shared" si="17"/>
        <v/>
      </c>
      <c r="F188" s="18" t="str">
        <f t="shared" si="18"/>
        <v/>
      </c>
      <c r="G188" s="6"/>
      <c r="H188" s="20" t="str">
        <f t="shared" si="19"/>
        <v/>
      </c>
      <c r="I188" s="21"/>
      <c r="J188" s="22" t="str">
        <f t="shared" si="20"/>
        <v/>
      </c>
      <c r="K188" s="20" t="str">
        <f t="shared" si="21"/>
        <v/>
      </c>
      <c r="L188" s="20" t="str">
        <f t="shared" si="22"/>
        <v/>
      </c>
      <c r="M188" s="6"/>
      <c r="N188" s="19" t="str">
        <f t="shared" si="23"/>
        <v/>
      </c>
      <c r="O188" s="23" t="str">
        <f>IF(B188="","",TRIM(IF(COUNTIF('Registru comenzi'!$B$5:$B$304,B188)=0,"Comandă inexistentă în registru. ","")&amp;IF(AND(D188&lt;&gt;"",E188=""),"Cod necunoscut. ","")&amp;IF(N(G188)&lt;=0,"Lipsește cantitatea. ","")&amp;IF(N(M188)&gt;N(G188),"Livrat mai mult decât s-a comandat. ","")&amp;IF(N(I188)&gt;0.3,"Discount neobișnuit de mare. ","")))</f>
        <v/>
      </c>
    </row>
    <row r="189" spans="1:15" x14ac:dyDescent="0.2">
      <c r="A189" s="1" t="str">
        <f t="shared" si="16"/>
        <v/>
      </c>
      <c r="B189" s="17"/>
      <c r="C189" s="18" t="str">
        <f>IF(B189="","",COUNTIF(INDEX($B:$B,5):B189,B189))</f>
        <v/>
      </c>
      <c r="D189" s="17"/>
      <c r="E189" s="19" t="str">
        <f t="shared" si="17"/>
        <v/>
      </c>
      <c r="F189" s="18" t="str">
        <f t="shared" si="18"/>
        <v/>
      </c>
      <c r="G189" s="6"/>
      <c r="H189" s="20" t="str">
        <f t="shared" si="19"/>
        <v/>
      </c>
      <c r="I189" s="21"/>
      <c r="J189" s="22" t="str">
        <f t="shared" si="20"/>
        <v/>
      </c>
      <c r="K189" s="20" t="str">
        <f t="shared" si="21"/>
        <v/>
      </c>
      <c r="L189" s="20" t="str">
        <f t="shared" si="22"/>
        <v/>
      </c>
      <c r="M189" s="6"/>
      <c r="N189" s="19" t="str">
        <f t="shared" si="23"/>
        <v/>
      </c>
      <c r="O189" s="23" t="str">
        <f>IF(B189="","",TRIM(IF(COUNTIF('Registru comenzi'!$B$5:$B$304,B189)=0,"Comandă inexistentă în registru. ","")&amp;IF(AND(D189&lt;&gt;"",E189=""),"Cod necunoscut. ","")&amp;IF(N(G189)&lt;=0,"Lipsește cantitatea. ","")&amp;IF(N(M189)&gt;N(G189),"Livrat mai mult decât s-a comandat. ","")&amp;IF(N(I189)&gt;0.3,"Discount neobișnuit de mare. ","")))</f>
        <v/>
      </c>
    </row>
    <row r="190" spans="1:15" x14ac:dyDescent="0.2">
      <c r="A190" s="1" t="str">
        <f t="shared" si="16"/>
        <v/>
      </c>
      <c r="B190" s="17"/>
      <c r="C190" s="18" t="str">
        <f>IF(B190="","",COUNTIF(INDEX($B:$B,5):B190,B190))</f>
        <v/>
      </c>
      <c r="D190" s="17"/>
      <c r="E190" s="19" t="str">
        <f t="shared" si="17"/>
        <v/>
      </c>
      <c r="F190" s="18" t="str">
        <f t="shared" si="18"/>
        <v/>
      </c>
      <c r="G190" s="6"/>
      <c r="H190" s="20" t="str">
        <f t="shared" si="19"/>
        <v/>
      </c>
      <c r="I190" s="21"/>
      <c r="J190" s="22" t="str">
        <f t="shared" si="20"/>
        <v/>
      </c>
      <c r="K190" s="20" t="str">
        <f t="shared" si="21"/>
        <v/>
      </c>
      <c r="L190" s="20" t="str">
        <f t="shared" si="22"/>
        <v/>
      </c>
      <c r="M190" s="6"/>
      <c r="N190" s="19" t="str">
        <f t="shared" si="23"/>
        <v/>
      </c>
      <c r="O190" s="23" t="str">
        <f>IF(B190="","",TRIM(IF(COUNTIF('Registru comenzi'!$B$5:$B$304,B190)=0,"Comandă inexistentă în registru. ","")&amp;IF(AND(D190&lt;&gt;"",E190=""),"Cod necunoscut. ","")&amp;IF(N(G190)&lt;=0,"Lipsește cantitatea. ","")&amp;IF(N(M190)&gt;N(G190),"Livrat mai mult decât s-a comandat. ","")&amp;IF(N(I190)&gt;0.3,"Discount neobișnuit de mare. ","")))</f>
        <v/>
      </c>
    </row>
    <row r="191" spans="1:15" x14ac:dyDescent="0.2">
      <c r="A191" s="1" t="str">
        <f t="shared" si="16"/>
        <v/>
      </c>
      <c r="B191" s="17"/>
      <c r="C191" s="18" t="str">
        <f>IF(B191="","",COUNTIF(INDEX($B:$B,5):B191,B191))</f>
        <v/>
      </c>
      <c r="D191" s="17"/>
      <c r="E191" s="19" t="str">
        <f t="shared" si="17"/>
        <v/>
      </c>
      <c r="F191" s="18" t="str">
        <f t="shared" si="18"/>
        <v/>
      </c>
      <c r="G191" s="6"/>
      <c r="H191" s="20" t="str">
        <f t="shared" si="19"/>
        <v/>
      </c>
      <c r="I191" s="21"/>
      <c r="J191" s="22" t="str">
        <f t="shared" si="20"/>
        <v/>
      </c>
      <c r="K191" s="20" t="str">
        <f t="shared" si="21"/>
        <v/>
      </c>
      <c r="L191" s="20" t="str">
        <f t="shared" si="22"/>
        <v/>
      </c>
      <c r="M191" s="6"/>
      <c r="N191" s="19" t="str">
        <f t="shared" si="23"/>
        <v/>
      </c>
      <c r="O191" s="23" t="str">
        <f>IF(B191="","",TRIM(IF(COUNTIF('Registru comenzi'!$B$5:$B$304,B191)=0,"Comandă inexistentă în registru. ","")&amp;IF(AND(D191&lt;&gt;"",E191=""),"Cod necunoscut. ","")&amp;IF(N(G191)&lt;=0,"Lipsește cantitatea. ","")&amp;IF(N(M191)&gt;N(G191),"Livrat mai mult decât s-a comandat. ","")&amp;IF(N(I191)&gt;0.3,"Discount neobișnuit de mare. ","")))</f>
        <v/>
      </c>
    </row>
    <row r="192" spans="1:15" x14ac:dyDescent="0.2">
      <c r="A192" s="1" t="str">
        <f t="shared" si="16"/>
        <v/>
      </c>
      <c r="B192" s="17"/>
      <c r="C192" s="18" t="str">
        <f>IF(B192="","",COUNTIF(INDEX($B:$B,5):B192,B192))</f>
        <v/>
      </c>
      <c r="D192" s="17"/>
      <c r="E192" s="19" t="str">
        <f t="shared" si="17"/>
        <v/>
      </c>
      <c r="F192" s="18" t="str">
        <f t="shared" si="18"/>
        <v/>
      </c>
      <c r="G192" s="6"/>
      <c r="H192" s="20" t="str">
        <f t="shared" si="19"/>
        <v/>
      </c>
      <c r="I192" s="21"/>
      <c r="J192" s="22" t="str">
        <f t="shared" si="20"/>
        <v/>
      </c>
      <c r="K192" s="20" t="str">
        <f t="shared" si="21"/>
        <v/>
      </c>
      <c r="L192" s="20" t="str">
        <f t="shared" si="22"/>
        <v/>
      </c>
      <c r="M192" s="6"/>
      <c r="N192" s="19" t="str">
        <f t="shared" si="23"/>
        <v/>
      </c>
      <c r="O192" s="23" t="str">
        <f>IF(B192="","",TRIM(IF(COUNTIF('Registru comenzi'!$B$5:$B$304,B192)=0,"Comandă inexistentă în registru. ","")&amp;IF(AND(D192&lt;&gt;"",E192=""),"Cod necunoscut. ","")&amp;IF(N(G192)&lt;=0,"Lipsește cantitatea. ","")&amp;IF(N(M192)&gt;N(G192),"Livrat mai mult decât s-a comandat. ","")&amp;IF(N(I192)&gt;0.3,"Discount neobișnuit de mare. ","")))</f>
        <v/>
      </c>
    </row>
    <row r="193" spans="1:15" x14ac:dyDescent="0.2">
      <c r="A193" s="1" t="str">
        <f t="shared" si="16"/>
        <v/>
      </c>
      <c r="B193" s="17"/>
      <c r="C193" s="18" t="str">
        <f>IF(B193="","",COUNTIF(INDEX($B:$B,5):B193,B193))</f>
        <v/>
      </c>
      <c r="D193" s="17"/>
      <c r="E193" s="19" t="str">
        <f t="shared" si="17"/>
        <v/>
      </c>
      <c r="F193" s="18" t="str">
        <f t="shared" si="18"/>
        <v/>
      </c>
      <c r="G193" s="6"/>
      <c r="H193" s="20" t="str">
        <f t="shared" si="19"/>
        <v/>
      </c>
      <c r="I193" s="21"/>
      <c r="J193" s="22" t="str">
        <f t="shared" si="20"/>
        <v/>
      </c>
      <c r="K193" s="20" t="str">
        <f t="shared" si="21"/>
        <v/>
      </c>
      <c r="L193" s="20" t="str">
        <f t="shared" si="22"/>
        <v/>
      </c>
      <c r="M193" s="6"/>
      <c r="N193" s="19" t="str">
        <f t="shared" si="23"/>
        <v/>
      </c>
      <c r="O193" s="23" t="str">
        <f>IF(B193="","",TRIM(IF(COUNTIF('Registru comenzi'!$B$5:$B$304,B193)=0,"Comandă inexistentă în registru. ","")&amp;IF(AND(D193&lt;&gt;"",E193=""),"Cod necunoscut. ","")&amp;IF(N(G193)&lt;=0,"Lipsește cantitatea. ","")&amp;IF(N(M193)&gt;N(G193),"Livrat mai mult decât s-a comandat. ","")&amp;IF(N(I193)&gt;0.3,"Discount neobișnuit de mare. ","")))</f>
        <v/>
      </c>
    </row>
    <row r="194" spans="1:15" x14ac:dyDescent="0.2">
      <c r="A194" s="1" t="str">
        <f t="shared" si="16"/>
        <v/>
      </c>
      <c r="B194" s="17"/>
      <c r="C194" s="18" t="str">
        <f>IF(B194="","",COUNTIF(INDEX($B:$B,5):B194,B194))</f>
        <v/>
      </c>
      <c r="D194" s="17"/>
      <c r="E194" s="19" t="str">
        <f t="shared" si="17"/>
        <v/>
      </c>
      <c r="F194" s="18" t="str">
        <f t="shared" si="18"/>
        <v/>
      </c>
      <c r="G194" s="6"/>
      <c r="H194" s="20" t="str">
        <f t="shared" si="19"/>
        <v/>
      </c>
      <c r="I194" s="21"/>
      <c r="J194" s="22" t="str">
        <f t="shared" si="20"/>
        <v/>
      </c>
      <c r="K194" s="20" t="str">
        <f t="shared" si="21"/>
        <v/>
      </c>
      <c r="L194" s="20" t="str">
        <f t="shared" si="22"/>
        <v/>
      </c>
      <c r="M194" s="6"/>
      <c r="N194" s="19" t="str">
        <f t="shared" si="23"/>
        <v/>
      </c>
      <c r="O194" s="23" t="str">
        <f>IF(B194="","",TRIM(IF(COUNTIF('Registru comenzi'!$B$5:$B$304,B194)=0,"Comandă inexistentă în registru. ","")&amp;IF(AND(D194&lt;&gt;"",E194=""),"Cod necunoscut. ","")&amp;IF(N(G194)&lt;=0,"Lipsește cantitatea. ","")&amp;IF(N(M194)&gt;N(G194),"Livrat mai mult decât s-a comandat. ","")&amp;IF(N(I194)&gt;0.3,"Discount neobișnuit de mare. ","")))</f>
        <v/>
      </c>
    </row>
    <row r="195" spans="1:15" x14ac:dyDescent="0.2">
      <c r="A195" s="1" t="str">
        <f t="shared" si="16"/>
        <v/>
      </c>
      <c r="B195" s="17"/>
      <c r="C195" s="18" t="str">
        <f>IF(B195="","",COUNTIF(INDEX($B:$B,5):B195,B195))</f>
        <v/>
      </c>
      <c r="D195" s="17"/>
      <c r="E195" s="19" t="str">
        <f t="shared" si="17"/>
        <v/>
      </c>
      <c r="F195" s="18" t="str">
        <f t="shared" si="18"/>
        <v/>
      </c>
      <c r="G195" s="6"/>
      <c r="H195" s="20" t="str">
        <f t="shared" si="19"/>
        <v/>
      </c>
      <c r="I195" s="21"/>
      <c r="J195" s="22" t="str">
        <f t="shared" si="20"/>
        <v/>
      </c>
      <c r="K195" s="20" t="str">
        <f t="shared" si="21"/>
        <v/>
      </c>
      <c r="L195" s="20" t="str">
        <f t="shared" si="22"/>
        <v/>
      </c>
      <c r="M195" s="6"/>
      <c r="N195" s="19" t="str">
        <f t="shared" si="23"/>
        <v/>
      </c>
      <c r="O195" s="23" t="str">
        <f>IF(B195="","",TRIM(IF(COUNTIF('Registru comenzi'!$B$5:$B$304,B195)=0,"Comandă inexistentă în registru. ","")&amp;IF(AND(D195&lt;&gt;"",E195=""),"Cod necunoscut. ","")&amp;IF(N(G195)&lt;=0,"Lipsește cantitatea. ","")&amp;IF(N(M195)&gt;N(G195),"Livrat mai mult decât s-a comandat. ","")&amp;IF(N(I195)&gt;0.3,"Discount neobișnuit de mare. ","")))</f>
        <v/>
      </c>
    </row>
    <row r="196" spans="1:15" x14ac:dyDescent="0.2">
      <c r="A196" s="1" t="str">
        <f t="shared" si="16"/>
        <v/>
      </c>
      <c r="B196" s="17"/>
      <c r="C196" s="18" t="str">
        <f>IF(B196="","",COUNTIF(INDEX($B:$B,5):B196,B196))</f>
        <v/>
      </c>
      <c r="D196" s="17"/>
      <c r="E196" s="19" t="str">
        <f t="shared" si="17"/>
        <v/>
      </c>
      <c r="F196" s="18" t="str">
        <f t="shared" si="18"/>
        <v/>
      </c>
      <c r="G196" s="6"/>
      <c r="H196" s="20" t="str">
        <f t="shared" si="19"/>
        <v/>
      </c>
      <c r="I196" s="21"/>
      <c r="J196" s="22" t="str">
        <f t="shared" si="20"/>
        <v/>
      </c>
      <c r="K196" s="20" t="str">
        <f t="shared" si="21"/>
        <v/>
      </c>
      <c r="L196" s="20" t="str">
        <f t="shared" si="22"/>
        <v/>
      </c>
      <c r="M196" s="6"/>
      <c r="N196" s="19" t="str">
        <f t="shared" si="23"/>
        <v/>
      </c>
      <c r="O196" s="23" t="str">
        <f>IF(B196="","",TRIM(IF(COUNTIF('Registru comenzi'!$B$5:$B$304,B196)=0,"Comandă inexistentă în registru. ","")&amp;IF(AND(D196&lt;&gt;"",E196=""),"Cod necunoscut. ","")&amp;IF(N(G196)&lt;=0,"Lipsește cantitatea. ","")&amp;IF(N(M196)&gt;N(G196),"Livrat mai mult decât s-a comandat. ","")&amp;IF(N(I196)&gt;0.3,"Discount neobișnuit de mare. ","")))</f>
        <v/>
      </c>
    </row>
    <row r="197" spans="1:15" x14ac:dyDescent="0.2">
      <c r="A197" s="1" t="str">
        <f t="shared" ref="A197:A260" si="24">IF(B197="","",B197&amp;"|"&amp;C197)</f>
        <v/>
      </c>
      <c r="B197" s="17"/>
      <c r="C197" s="18" t="str">
        <f>IF(B197="","",COUNTIF(INDEX($B:$B,5):B197,B197))</f>
        <v/>
      </c>
      <c r="D197" s="17"/>
      <c r="E197" s="19" t="str">
        <f t="shared" ref="E197:E260" si="25">IF(D197="","",IFERROR(VLOOKUP(D197,Catalog,2,FALSE),""))</f>
        <v/>
      </c>
      <c r="F197" s="18" t="str">
        <f t="shared" ref="F197:F260" si="26">IF(D197="","",IFERROR(VLOOKUP(D197,Catalog,3,FALSE),""))</f>
        <v/>
      </c>
      <c r="G197" s="6"/>
      <c r="H197" s="20" t="str">
        <f t="shared" ref="H197:H260" si="27">IF(D197="","",IFERROR(VLOOKUP(D197,Catalog,4,FALSE),""))</f>
        <v/>
      </c>
      <c r="I197" s="21"/>
      <c r="J197" s="22" t="str">
        <f t="shared" ref="J197:J260" si="28">IF(D197="","",IFERROR(VLOOKUP(D197,Catalog,5,FALSE),""))</f>
        <v/>
      </c>
      <c r="K197" s="20" t="str">
        <f t="shared" ref="K197:K260" si="29">IF(OR(G197="",H197=""),"",ROUND(G197*H197*(1-N(I197)),2))</f>
        <v/>
      </c>
      <c r="L197" s="20" t="str">
        <f t="shared" ref="L197:L260" si="30">IF(OR(K197="",J197=""),"",ROUND(K197*J197,2))</f>
        <v/>
      </c>
      <c r="M197" s="6"/>
      <c r="N197" s="19" t="str">
        <f t="shared" ref="N197:N260" si="31">IF(G197="","",G197-N(M197))</f>
        <v/>
      </c>
      <c r="O197" s="23" t="str">
        <f>IF(B197="","",TRIM(IF(COUNTIF('Registru comenzi'!$B$5:$B$304,B197)=0,"Comandă inexistentă în registru. ","")&amp;IF(AND(D197&lt;&gt;"",E197=""),"Cod necunoscut. ","")&amp;IF(N(G197)&lt;=0,"Lipsește cantitatea. ","")&amp;IF(N(M197)&gt;N(G197),"Livrat mai mult decât s-a comandat. ","")&amp;IF(N(I197)&gt;0.3,"Discount neobișnuit de mare. ","")))</f>
        <v/>
      </c>
    </row>
    <row r="198" spans="1:15" x14ac:dyDescent="0.2">
      <c r="A198" s="1" t="str">
        <f t="shared" si="24"/>
        <v/>
      </c>
      <c r="B198" s="17"/>
      <c r="C198" s="18" t="str">
        <f>IF(B198="","",COUNTIF(INDEX($B:$B,5):B198,B198))</f>
        <v/>
      </c>
      <c r="D198" s="17"/>
      <c r="E198" s="19" t="str">
        <f t="shared" si="25"/>
        <v/>
      </c>
      <c r="F198" s="18" t="str">
        <f t="shared" si="26"/>
        <v/>
      </c>
      <c r="G198" s="6"/>
      <c r="H198" s="20" t="str">
        <f t="shared" si="27"/>
        <v/>
      </c>
      <c r="I198" s="21"/>
      <c r="J198" s="22" t="str">
        <f t="shared" si="28"/>
        <v/>
      </c>
      <c r="K198" s="20" t="str">
        <f t="shared" si="29"/>
        <v/>
      </c>
      <c r="L198" s="20" t="str">
        <f t="shared" si="30"/>
        <v/>
      </c>
      <c r="M198" s="6"/>
      <c r="N198" s="19" t="str">
        <f t="shared" si="31"/>
        <v/>
      </c>
      <c r="O198" s="23" t="str">
        <f>IF(B198="","",TRIM(IF(COUNTIF('Registru comenzi'!$B$5:$B$304,B198)=0,"Comandă inexistentă în registru. ","")&amp;IF(AND(D198&lt;&gt;"",E198=""),"Cod necunoscut. ","")&amp;IF(N(G198)&lt;=0,"Lipsește cantitatea. ","")&amp;IF(N(M198)&gt;N(G198),"Livrat mai mult decât s-a comandat. ","")&amp;IF(N(I198)&gt;0.3,"Discount neobișnuit de mare. ","")))</f>
        <v/>
      </c>
    </row>
    <row r="199" spans="1:15" x14ac:dyDescent="0.2">
      <c r="A199" s="1" t="str">
        <f t="shared" si="24"/>
        <v/>
      </c>
      <c r="B199" s="17"/>
      <c r="C199" s="18" t="str">
        <f>IF(B199="","",COUNTIF(INDEX($B:$B,5):B199,B199))</f>
        <v/>
      </c>
      <c r="D199" s="17"/>
      <c r="E199" s="19" t="str">
        <f t="shared" si="25"/>
        <v/>
      </c>
      <c r="F199" s="18" t="str">
        <f t="shared" si="26"/>
        <v/>
      </c>
      <c r="G199" s="6"/>
      <c r="H199" s="20" t="str">
        <f t="shared" si="27"/>
        <v/>
      </c>
      <c r="I199" s="21"/>
      <c r="J199" s="22" t="str">
        <f t="shared" si="28"/>
        <v/>
      </c>
      <c r="K199" s="20" t="str">
        <f t="shared" si="29"/>
        <v/>
      </c>
      <c r="L199" s="20" t="str">
        <f t="shared" si="30"/>
        <v/>
      </c>
      <c r="M199" s="6"/>
      <c r="N199" s="19" t="str">
        <f t="shared" si="31"/>
        <v/>
      </c>
      <c r="O199" s="23" t="str">
        <f>IF(B199="","",TRIM(IF(COUNTIF('Registru comenzi'!$B$5:$B$304,B199)=0,"Comandă inexistentă în registru. ","")&amp;IF(AND(D199&lt;&gt;"",E199=""),"Cod necunoscut. ","")&amp;IF(N(G199)&lt;=0,"Lipsește cantitatea. ","")&amp;IF(N(M199)&gt;N(G199),"Livrat mai mult decât s-a comandat. ","")&amp;IF(N(I199)&gt;0.3,"Discount neobișnuit de mare. ","")))</f>
        <v/>
      </c>
    </row>
    <row r="200" spans="1:15" x14ac:dyDescent="0.2">
      <c r="A200" s="1" t="str">
        <f t="shared" si="24"/>
        <v/>
      </c>
      <c r="B200" s="17"/>
      <c r="C200" s="18" t="str">
        <f>IF(B200="","",COUNTIF(INDEX($B:$B,5):B200,B200))</f>
        <v/>
      </c>
      <c r="D200" s="17"/>
      <c r="E200" s="19" t="str">
        <f t="shared" si="25"/>
        <v/>
      </c>
      <c r="F200" s="18" t="str">
        <f t="shared" si="26"/>
        <v/>
      </c>
      <c r="G200" s="6"/>
      <c r="H200" s="20" t="str">
        <f t="shared" si="27"/>
        <v/>
      </c>
      <c r="I200" s="21"/>
      <c r="J200" s="22" t="str">
        <f t="shared" si="28"/>
        <v/>
      </c>
      <c r="K200" s="20" t="str">
        <f t="shared" si="29"/>
        <v/>
      </c>
      <c r="L200" s="20" t="str">
        <f t="shared" si="30"/>
        <v/>
      </c>
      <c r="M200" s="6"/>
      <c r="N200" s="19" t="str">
        <f t="shared" si="31"/>
        <v/>
      </c>
      <c r="O200" s="23" t="str">
        <f>IF(B200="","",TRIM(IF(COUNTIF('Registru comenzi'!$B$5:$B$304,B200)=0,"Comandă inexistentă în registru. ","")&amp;IF(AND(D200&lt;&gt;"",E200=""),"Cod necunoscut. ","")&amp;IF(N(G200)&lt;=0,"Lipsește cantitatea. ","")&amp;IF(N(M200)&gt;N(G200),"Livrat mai mult decât s-a comandat. ","")&amp;IF(N(I200)&gt;0.3,"Discount neobișnuit de mare. ","")))</f>
        <v/>
      </c>
    </row>
    <row r="201" spans="1:15" x14ac:dyDescent="0.2">
      <c r="A201" s="1" t="str">
        <f t="shared" si="24"/>
        <v/>
      </c>
      <c r="B201" s="17"/>
      <c r="C201" s="18" t="str">
        <f>IF(B201="","",COUNTIF(INDEX($B:$B,5):B201,B201))</f>
        <v/>
      </c>
      <c r="D201" s="17"/>
      <c r="E201" s="19" t="str">
        <f t="shared" si="25"/>
        <v/>
      </c>
      <c r="F201" s="18" t="str">
        <f t="shared" si="26"/>
        <v/>
      </c>
      <c r="G201" s="6"/>
      <c r="H201" s="20" t="str">
        <f t="shared" si="27"/>
        <v/>
      </c>
      <c r="I201" s="21"/>
      <c r="J201" s="22" t="str">
        <f t="shared" si="28"/>
        <v/>
      </c>
      <c r="K201" s="20" t="str">
        <f t="shared" si="29"/>
        <v/>
      </c>
      <c r="L201" s="20" t="str">
        <f t="shared" si="30"/>
        <v/>
      </c>
      <c r="M201" s="6"/>
      <c r="N201" s="19" t="str">
        <f t="shared" si="31"/>
        <v/>
      </c>
      <c r="O201" s="23" t="str">
        <f>IF(B201="","",TRIM(IF(COUNTIF('Registru comenzi'!$B$5:$B$304,B201)=0,"Comandă inexistentă în registru. ","")&amp;IF(AND(D201&lt;&gt;"",E201=""),"Cod necunoscut. ","")&amp;IF(N(G201)&lt;=0,"Lipsește cantitatea. ","")&amp;IF(N(M201)&gt;N(G201),"Livrat mai mult decât s-a comandat. ","")&amp;IF(N(I201)&gt;0.3,"Discount neobișnuit de mare. ","")))</f>
        <v/>
      </c>
    </row>
    <row r="202" spans="1:15" x14ac:dyDescent="0.2">
      <c r="A202" s="1" t="str">
        <f t="shared" si="24"/>
        <v/>
      </c>
      <c r="B202" s="17"/>
      <c r="C202" s="18" t="str">
        <f>IF(B202="","",COUNTIF(INDEX($B:$B,5):B202,B202))</f>
        <v/>
      </c>
      <c r="D202" s="17"/>
      <c r="E202" s="19" t="str">
        <f t="shared" si="25"/>
        <v/>
      </c>
      <c r="F202" s="18" t="str">
        <f t="shared" si="26"/>
        <v/>
      </c>
      <c r="G202" s="6"/>
      <c r="H202" s="20" t="str">
        <f t="shared" si="27"/>
        <v/>
      </c>
      <c r="I202" s="21"/>
      <c r="J202" s="22" t="str">
        <f t="shared" si="28"/>
        <v/>
      </c>
      <c r="K202" s="20" t="str">
        <f t="shared" si="29"/>
        <v/>
      </c>
      <c r="L202" s="20" t="str">
        <f t="shared" si="30"/>
        <v/>
      </c>
      <c r="M202" s="6"/>
      <c r="N202" s="19" t="str">
        <f t="shared" si="31"/>
        <v/>
      </c>
      <c r="O202" s="23" t="str">
        <f>IF(B202="","",TRIM(IF(COUNTIF('Registru comenzi'!$B$5:$B$304,B202)=0,"Comandă inexistentă în registru. ","")&amp;IF(AND(D202&lt;&gt;"",E202=""),"Cod necunoscut. ","")&amp;IF(N(G202)&lt;=0,"Lipsește cantitatea. ","")&amp;IF(N(M202)&gt;N(G202),"Livrat mai mult decât s-a comandat. ","")&amp;IF(N(I202)&gt;0.3,"Discount neobișnuit de mare. ","")))</f>
        <v/>
      </c>
    </row>
    <row r="203" spans="1:15" x14ac:dyDescent="0.2">
      <c r="A203" s="1" t="str">
        <f t="shared" si="24"/>
        <v/>
      </c>
      <c r="B203" s="17"/>
      <c r="C203" s="18" t="str">
        <f>IF(B203="","",COUNTIF(INDEX($B:$B,5):B203,B203))</f>
        <v/>
      </c>
      <c r="D203" s="17"/>
      <c r="E203" s="19" t="str">
        <f t="shared" si="25"/>
        <v/>
      </c>
      <c r="F203" s="18" t="str">
        <f t="shared" si="26"/>
        <v/>
      </c>
      <c r="G203" s="6"/>
      <c r="H203" s="20" t="str">
        <f t="shared" si="27"/>
        <v/>
      </c>
      <c r="I203" s="21"/>
      <c r="J203" s="22" t="str">
        <f t="shared" si="28"/>
        <v/>
      </c>
      <c r="K203" s="20" t="str">
        <f t="shared" si="29"/>
        <v/>
      </c>
      <c r="L203" s="20" t="str">
        <f t="shared" si="30"/>
        <v/>
      </c>
      <c r="M203" s="6"/>
      <c r="N203" s="19" t="str">
        <f t="shared" si="31"/>
        <v/>
      </c>
      <c r="O203" s="23" t="str">
        <f>IF(B203="","",TRIM(IF(COUNTIF('Registru comenzi'!$B$5:$B$304,B203)=0,"Comandă inexistentă în registru. ","")&amp;IF(AND(D203&lt;&gt;"",E203=""),"Cod necunoscut. ","")&amp;IF(N(G203)&lt;=0,"Lipsește cantitatea. ","")&amp;IF(N(M203)&gt;N(G203),"Livrat mai mult decât s-a comandat. ","")&amp;IF(N(I203)&gt;0.3,"Discount neobișnuit de mare. ","")))</f>
        <v/>
      </c>
    </row>
    <row r="204" spans="1:15" x14ac:dyDescent="0.2">
      <c r="A204" s="1" t="str">
        <f t="shared" si="24"/>
        <v/>
      </c>
      <c r="B204" s="17"/>
      <c r="C204" s="18" t="str">
        <f>IF(B204="","",COUNTIF(INDEX($B:$B,5):B204,B204))</f>
        <v/>
      </c>
      <c r="D204" s="17"/>
      <c r="E204" s="19" t="str">
        <f t="shared" si="25"/>
        <v/>
      </c>
      <c r="F204" s="18" t="str">
        <f t="shared" si="26"/>
        <v/>
      </c>
      <c r="G204" s="6"/>
      <c r="H204" s="20" t="str">
        <f t="shared" si="27"/>
        <v/>
      </c>
      <c r="I204" s="21"/>
      <c r="J204" s="22" t="str">
        <f t="shared" si="28"/>
        <v/>
      </c>
      <c r="K204" s="20" t="str">
        <f t="shared" si="29"/>
        <v/>
      </c>
      <c r="L204" s="20" t="str">
        <f t="shared" si="30"/>
        <v/>
      </c>
      <c r="M204" s="6"/>
      <c r="N204" s="19" t="str">
        <f t="shared" si="31"/>
        <v/>
      </c>
      <c r="O204" s="23" t="str">
        <f>IF(B204="","",TRIM(IF(COUNTIF('Registru comenzi'!$B$5:$B$304,B204)=0,"Comandă inexistentă în registru. ","")&amp;IF(AND(D204&lt;&gt;"",E204=""),"Cod necunoscut. ","")&amp;IF(N(G204)&lt;=0,"Lipsește cantitatea. ","")&amp;IF(N(M204)&gt;N(G204),"Livrat mai mult decât s-a comandat. ","")&amp;IF(N(I204)&gt;0.3,"Discount neobișnuit de mare. ","")))</f>
        <v/>
      </c>
    </row>
    <row r="205" spans="1:15" x14ac:dyDescent="0.2">
      <c r="A205" s="1" t="str">
        <f t="shared" si="24"/>
        <v/>
      </c>
      <c r="B205" s="17"/>
      <c r="C205" s="18" t="str">
        <f>IF(B205="","",COUNTIF(INDEX($B:$B,5):B205,B205))</f>
        <v/>
      </c>
      <c r="D205" s="17"/>
      <c r="E205" s="19" t="str">
        <f t="shared" si="25"/>
        <v/>
      </c>
      <c r="F205" s="18" t="str">
        <f t="shared" si="26"/>
        <v/>
      </c>
      <c r="G205" s="6"/>
      <c r="H205" s="20" t="str">
        <f t="shared" si="27"/>
        <v/>
      </c>
      <c r="I205" s="21"/>
      <c r="J205" s="22" t="str">
        <f t="shared" si="28"/>
        <v/>
      </c>
      <c r="K205" s="20" t="str">
        <f t="shared" si="29"/>
        <v/>
      </c>
      <c r="L205" s="20" t="str">
        <f t="shared" si="30"/>
        <v/>
      </c>
      <c r="M205" s="6"/>
      <c r="N205" s="19" t="str">
        <f t="shared" si="31"/>
        <v/>
      </c>
      <c r="O205" s="23" t="str">
        <f>IF(B205="","",TRIM(IF(COUNTIF('Registru comenzi'!$B$5:$B$304,B205)=0,"Comandă inexistentă în registru. ","")&amp;IF(AND(D205&lt;&gt;"",E205=""),"Cod necunoscut. ","")&amp;IF(N(G205)&lt;=0,"Lipsește cantitatea. ","")&amp;IF(N(M205)&gt;N(G205),"Livrat mai mult decât s-a comandat. ","")&amp;IF(N(I205)&gt;0.3,"Discount neobișnuit de mare. ","")))</f>
        <v/>
      </c>
    </row>
    <row r="206" spans="1:15" x14ac:dyDescent="0.2">
      <c r="A206" s="1" t="str">
        <f t="shared" si="24"/>
        <v/>
      </c>
      <c r="B206" s="17"/>
      <c r="C206" s="18" t="str">
        <f>IF(B206="","",COUNTIF(INDEX($B:$B,5):B206,B206))</f>
        <v/>
      </c>
      <c r="D206" s="17"/>
      <c r="E206" s="19" t="str">
        <f t="shared" si="25"/>
        <v/>
      </c>
      <c r="F206" s="18" t="str">
        <f t="shared" si="26"/>
        <v/>
      </c>
      <c r="G206" s="6"/>
      <c r="H206" s="20" t="str">
        <f t="shared" si="27"/>
        <v/>
      </c>
      <c r="I206" s="21"/>
      <c r="J206" s="22" t="str">
        <f t="shared" si="28"/>
        <v/>
      </c>
      <c r="K206" s="20" t="str">
        <f t="shared" si="29"/>
        <v/>
      </c>
      <c r="L206" s="20" t="str">
        <f t="shared" si="30"/>
        <v/>
      </c>
      <c r="M206" s="6"/>
      <c r="N206" s="19" t="str">
        <f t="shared" si="31"/>
        <v/>
      </c>
      <c r="O206" s="23" t="str">
        <f>IF(B206="","",TRIM(IF(COUNTIF('Registru comenzi'!$B$5:$B$304,B206)=0,"Comandă inexistentă în registru. ","")&amp;IF(AND(D206&lt;&gt;"",E206=""),"Cod necunoscut. ","")&amp;IF(N(G206)&lt;=0,"Lipsește cantitatea. ","")&amp;IF(N(M206)&gt;N(G206),"Livrat mai mult decât s-a comandat. ","")&amp;IF(N(I206)&gt;0.3,"Discount neobișnuit de mare. ","")))</f>
        <v/>
      </c>
    </row>
    <row r="207" spans="1:15" x14ac:dyDescent="0.2">
      <c r="A207" s="1" t="str">
        <f t="shared" si="24"/>
        <v/>
      </c>
      <c r="B207" s="17"/>
      <c r="C207" s="18" t="str">
        <f>IF(B207="","",COUNTIF(INDEX($B:$B,5):B207,B207))</f>
        <v/>
      </c>
      <c r="D207" s="17"/>
      <c r="E207" s="19" t="str">
        <f t="shared" si="25"/>
        <v/>
      </c>
      <c r="F207" s="18" t="str">
        <f t="shared" si="26"/>
        <v/>
      </c>
      <c r="G207" s="6"/>
      <c r="H207" s="20" t="str">
        <f t="shared" si="27"/>
        <v/>
      </c>
      <c r="I207" s="21"/>
      <c r="J207" s="22" t="str">
        <f t="shared" si="28"/>
        <v/>
      </c>
      <c r="K207" s="20" t="str">
        <f t="shared" si="29"/>
        <v/>
      </c>
      <c r="L207" s="20" t="str">
        <f t="shared" si="30"/>
        <v/>
      </c>
      <c r="M207" s="6"/>
      <c r="N207" s="19" t="str">
        <f t="shared" si="31"/>
        <v/>
      </c>
      <c r="O207" s="23" t="str">
        <f>IF(B207="","",TRIM(IF(COUNTIF('Registru comenzi'!$B$5:$B$304,B207)=0,"Comandă inexistentă în registru. ","")&amp;IF(AND(D207&lt;&gt;"",E207=""),"Cod necunoscut. ","")&amp;IF(N(G207)&lt;=0,"Lipsește cantitatea. ","")&amp;IF(N(M207)&gt;N(G207),"Livrat mai mult decât s-a comandat. ","")&amp;IF(N(I207)&gt;0.3,"Discount neobișnuit de mare. ","")))</f>
        <v/>
      </c>
    </row>
    <row r="208" spans="1:15" x14ac:dyDescent="0.2">
      <c r="A208" s="1" t="str">
        <f t="shared" si="24"/>
        <v/>
      </c>
      <c r="B208" s="17"/>
      <c r="C208" s="18" t="str">
        <f>IF(B208="","",COUNTIF(INDEX($B:$B,5):B208,B208))</f>
        <v/>
      </c>
      <c r="D208" s="17"/>
      <c r="E208" s="19" t="str">
        <f t="shared" si="25"/>
        <v/>
      </c>
      <c r="F208" s="18" t="str">
        <f t="shared" si="26"/>
        <v/>
      </c>
      <c r="G208" s="6"/>
      <c r="H208" s="20" t="str">
        <f t="shared" si="27"/>
        <v/>
      </c>
      <c r="I208" s="21"/>
      <c r="J208" s="22" t="str">
        <f t="shared" si="28"/>
        <v/>
      </c>
      <c r="K208" s="20" t="str">
        <f t="shared" si="29"/>
        <v/>
      </c>
      <c r="L208" s="20" t="str">
        <f t="shared" si="30"/>
        <v/>
      </c>
      <c r="M208" s="6"/>
      <c r="N208" s="19" t="str">
        <f t="shared" si="31"/>
        <v/>
      </c>
      <c r="O208" s="23" t="str">
        <f>IF(B208="","",TRIM(IF(COUNTIF('Registru comenzi'!$B$5:$B$304,B208)=0,"Comandă inexistentă în registru. ","")&amp;IF(AND(D208&lt;&gt;"",E208=""),"Cod necunoscut. ","")&amp;IF(N(G208)&lt;=0,"Lipsește cantitatea. ","")&amp;IF(N(M208)&gt;N(G208),"Livrat mai mult decât s-a comandat. ","")&amp;IF(N(I208)&gt;0.3,"Discount neobișnuit de mare. ","")))</f>
        <v/>
      </c>
    </row>
    <row r="209" spans="1:15" x14ac:dyDescent="0.2">
      <c r="A209" s="1" t="str">
        <f t="shared" si="24"/>
        <v/>
      </c>
      <c r="B209" s="17"/>
      <c r="C209" s="18" t="str">
        <f>IF(B209="","",COUNTIF(INDEX($B:$B,5):B209,B209))</f>
        <v/>
      </c>
      <c r="D209" s="17"/>
      <c r="E209" s="19" t="str">
        <f t="shared" si="25"/>
        <v/>
      </c>
      <c r="F209" s="18" t="str">
        <f t="shared" si="26"/>
        <v/>
      </c>
      <c r="G209" s="6"/>
      <c r="H209" s="20" t="str">
        <f t="shared" si="27"/>
        <v/>
      </c>
      <c r="I209" s="21"/>
      <c r="J209" s="22" t="str">
        <f t="shared" si="28"/>
        <v/>
      </c>
      <c r="K209" s="20" t="str">
        <f t="shared" si="29"/>
        <v/>
      </c>
      <c r="L209" s="20" t="str">
        <f t="shared" si="30"/>
        <v/>
      </c>
      <c r="M209" s="6"/>
      <c r="N209" s="19" t="str">
        <f t="shared" si="31"/>
        <v/>
      </c>
      <c r="O209" s="23" t="str">
        <f>IF(B209="","",TRIM(IF(COUNTIF('Registru comenzi'!$B$5:$B$304,B209)=0,"Comandă inexistentă în registru. ","")&amp;IF(AND(D209&lt;&gt;"",E209=""),"Cod necunoscut. ","")&amp;IF(N(G209)&lt;=0,"Lipsește cantitatea. ","")&amp;IF(N(M209)&gt;N(G209),"Livrat mai mult decât s-a comandat. ","")&amp;IF(N(I209)&gt;0.3,"Discount neobișnuit de mare. ","")))</f>
        <v/>
      </c>
    </row>
    <row r="210" spans="1:15" x14ac:dyDescent="0.2">
      <c r="A210" s="1" t="str">
        <f t="shared" si="24"/>
        <v/>
      </c>
      <c r="B210" s="17"/>
      <c r="C210" s="18" t="str">
        <f>IF(B210="","",COUNTIF(INDEX($B:$B,5):B210,B210))</f>
        <v/>
      </c>
      <c r="D210" s="17"/>
      <c r="E210" s="19" t="str">
        <f t="shared" si="25"/>
        <v/>
      </c>
      <c r="F210" s="18" t="str">
        <f t="shared" si="26"/>
        <v/>
      </c>
      <c r="G210" s="6"/>
      <c r="H210" s="20" t="str">
        <f t="shared" si="27"/>
        <v/>
      </c>
      <c r="I210" s="21"/>
      <c r="J210" s="22" t="str">
        <f t="shared" si="28"/>
        <v/>
      </c>
      <c r="K210" s="20" t="str">
        <f t="shared" si="29"/>
        <v/>
      </c>
      <c r="L210" s="20" t="str">
        <f t="shared" si="30"/>
        <v/>
      </c>
      <c r="M210" s="6"/>
      <c r="N210" s="19" t="str">
        <f t="shared" si="31"/>
        <v/>
      </c>
      <c r="O210" s="23" t="str">
        <f>IF(B210="","",TRIM(IF(COUNTIF('Registru comenzi'!$B$5:$B$304,B210)=0,"Comandă inexistentă în registru. ","")&amp;IF(AND(D210&lt;&gt;"",E210=""),"Cod necunoscut. ","")&amp;IF(N(G210)&lt;=0,"Lipsește cantitatea. ","")&amp;IF(N(M210)&gt;N(G210),"Livrat mai mult decât s-a comandat. ","")&amp;IF(N(I210)&gt;0.3,"Discount neobișnuit de mare. ","")))</f>
        <v/>
      </c>
    </row>
    <row r="211" spans="1:15" x14ac:dyDescent="0.2">
      <c r="A211" s="1" t="str">
        <f t="shared" si="24"/>
        <v/>
      </c>
      <c r="B211" s="17"/>
      <c r="C211" s="18" t="str">
        <f>IF(B211="","",COUNTIF(INDEX($B:$B,5):B211,B211))</f>
        <v/>
      </c>
      <c r="D211" s="17"/>
      <c r="E211" s="19" t="str">
        <f t="shared" si="25"/>
        <v/>
      </c>
      <c r="F211" s="18" t="str">
        <f t="shared" si="26"/>
        <v/>
      </c>
      <c r="G211" s="6"/>
      <c r="H211" s="20" t="str">
        <f t="shared" si="27"/>
        <v/>
      </c>
      <c r="I211" s="21"/>
      <c r="J211" s="22" t="str">
        <f t="shared" si="28"/>
        <v/>
      </c>
      <c r="K211" s="20" t="str">
        <f t="shared" si="29"/>
        <v/>
      </c>
      <c r="L211" s="20" t="str">
        <f t="shared" si="30"/>
        <v/>
      </c>
      <c r="M211" s="6"/>
      <c r="N211" s="19" t="str">
        <f t="shared" si="31"/>
        <v/>
      </c>
      <c r="O211" s="23" t="str">
        <f>IF(B211="","",TRIM(IF(COUNTIF('Registru comenzi'!$B$5:$B$304,B211)=0,"Comandă inexistentă în registru. ","")&amp;IF(AND(D211&lt;&gt;"",E211=""),"Cod necunoscut. ","")&amp;IF(N(G211)&lt;=0,"Lipsește cantitatea. ","")&amp;IF(N(M211)&gt;N(G211),"Livrat mai mult decât s-a comandat. ","")&amp;IF(N(I211)&gt;0.3,"Discount neobișnuit de mare. ","")))</f>
        <v/>
      </c>
    </row>
    <row r="212" spans="1:15" x14ac:dyDescent="0.2">
      <c r="A212" s="1" t="str">
        <f t="shared" si="24"/>
        <v/>
      </c>
      <c r="B212" s="17"/>
      <c r="C212" s="18" t="str">
        <f>IF(B212="","",COUNTIF(INDEX($B:$B,5):B212,B212))</f>
        <v/>
      </c>
      <c r="D212" s="17"/>
      <c r="E212" s="19" t="str">
        <f t="shared" si="25"/>
        <v/>
      </c>
      <c r="F212" s="18" t="str">
        <f t="shared" si="26"/>
        <v/>
      </c>
      <c r="G212" s="6"/>
      <c r="H212" s="20" t="str">
        <f t="shared" si="27"/>
        <v/>
      </c>
      <c r="I212" s="21"/>
      <c r="J212" s="22" t="str">
        <f t="shared" si="28"/>
        <v/>
      </c>
      <c r="K212" s="20" t="str">
        <f t="shared" si="29"/>
        <v/>
      </c>
      <c r="L212" s="20" t="str">
        <f t="shared" si="30"/>
        <v/>
      </c>
      <c r="M212" s="6"/>
      <c r="N212" s="19" t="str">
        <f t="shared" si="31"/>
        <v/>
      </c>
      <c r="O212" s="23" t="str">
        <f>IF(B212="","",TRIM(IF(COUNTIF('Registru comenzi'!$B$5:$B$304,B212)=0,"Comandă inexistentă în registru. ","")&amp;IF(AND(D212&lt;&gt;"",E212=""),"Cod necunoscut. ","")&amp;IF(N(G212)&lt;=0,"Lipsește cantitatea. ","")&amp;IF(N(M212)&gt;N(G212),"Livrat mai mult decât s-a comandat. ","")&amp;IF(N(I212)&gt;0.3,"Discount neobișnuit de mare. ","")))</f>
        <v/>
      </c>
    </row>
    <row r="213" spans="1:15" x14ac:dyDescent="0.2">
      <c r="A213" s="1" t="str">
        <f t="shared" si="24"/>
        <v/>
      </c>
      <c r="B213" s="17"/>
      <c r="C213" s="18" t="str">
        <f>IF(B213="","",COUNTIF(INDEX($B:$B,5):B213,B213))</f>
        <v/>
      </c>
      <c r="D213" s="17"/>
      <c r="E213" s="19" t="str">
        <f t="shared" si="25"/>
        <v/>
      </c>
      <c r="F213" s="18" t="str">
        <f t="shared" si="26"/>
        <v/>
      </c>
      <c r="G213" s="6"/>
      <c r="H213" s="20" t="str">
        <f t="shared" si="27"/>
        <v/>
      </c>
      <c r="I213" s="21"/>
      <c r="J213" s="22" t="str">
        <f t="shared" si="28"/>
        <v/>
      </c>
      <c r="K213" s="20" t="str">
        <f t="shared" si="29"/>
        <v/>
      </c>
      <c r="L213" s="20" t="str">
        <f t="shared" si="30"/>
        <v/>
      </c>
      <c r="M213" s="6"/>
      <c r="N213" s="19" t="str">
        <f t="shared" si="31"/>
        <v/>
      </c>
      <c r="O213" s="23" t="str">
        <f>IF(B213="","",TRIM(IF(COUNTIF('Registru comenzi'!$B$5:$B$304,B213)=0,"Comandă inexistentă în registru. ","")&amp;IF(AND(D213&lt;&gt;"",E213=""),"Cod necunoscut. ","")&amp;IF(N(G213)&lt;=0,"Lipsește cantitatea. ","")&amp;IF(N(M213)&gt;N(G213),"Livrat mai mult decât s-a comandat. ","")&amp;IF(N(I213)&gt;0.3,"Discount neobișnuit de mare. ","")))</f>
        <v/>
      </c>
    </row>
    <row r="214" spans="1:15" x14ac:dyDescent="0.2">
      <c r="A214" s="1" t="str">
        <f t="shared" si="24"/>
        <v/>
      </c>
      <c r="B214" s="17"/>
      <c r="C214" s="18" t="str">
        <f>IF(B214="","",COUNTIF(INDEX($B:$B,5):B214,B214))</f>
        <v/>
      </c>
      <c r="D214" s="17"/>
      <c r="E214" s="19" t="str">
        <f t="shared" si="25"/>
        <v/>
      </c>
      <c r="F214" s="18" t="str">
        <f t="shared" si="26"/>
        <v/>
      </c>
      <c r="G214" s="6"/>
      <c r="H214" s="20" t="str">
        <f t="shared" si="27"/>
        <v/>
      </c>
      <c r="I214" s="21"/>
      <c r="J214" s="22" t="str">
        <f t="shared" si="28"/>
        <v/>
      </c>
      <c r="K214" s="20" t="str">
        <f t="shared" si="29"/>
        <v/>
      </c>
      <c r="L214" s="20" t="str">
        <f t="shared" si="30"/>
        <v/>
      </c>
      <c r="M214" s="6"/>
      <c r="N214" s="19" t="str">
        <f t="shared" si="31"/>
        <v/>
      </c>
      <c r="O214" s="23" t="str">
        <f>IF(B214="","",TRIM(IF(COUNTIF('Registru comenzi'!$B$5:$B$304,B214)=0,"Comandă inexistentă în registru. ","")&amp;IF(AND(D214&lt;&gt;"",E214=""),"Cod necunoscut. ","")&amp;IF(N(G214)&lt;=0,"Lipsește cantitatea. ","")&amp;IF(N(M214)&gt;N(G214),"Livrat mai mult decât s-a comandat. ","")&amp;IF(N(I214)&gt;0.3,"Discount neobișnuit de mare. ","")))</f>
        <v/>
      </c>
    </row>
    <row r="215" spans="1:15" x14ac:dyDescent="0.2">
      <c r="A215" s="1" t="str">
        <f t="shared" si="24"/>
        <v/>
      </c>
      <c r="B215" s="17"/>
      <c r="C215" s="18" t="str">
        <f>IF(B215="","",COUNTIF(INDEX($B:$B,5):B215,B215))</f>
        <v/>
      </c>
      <c r="D215" s="17"/>
      <c r="E215" s="19" t="str">
        <f t="shared" si="25"/>
        <v/>
      </c>
      <c r="F215" s="18" t="str">
        <f t="shared" si="26"/>
        <v/>
      </c>
      <c r="G215" s="6"/>
      <c r="H215" s="20" t="str">
        <f t="shared" si="27"/>
        <v/>
      </c>
      <c r="I215" s="21"/>
      <c r="J215" s="22" t="str">
        <f t="shared" si="28"/>
        <v/>
      </c>
      <c r="K215" s="20" t="str">
        <f t="shared" si="29"/>
        <v/>
      </c>
      <c r="L215" s="20" t="str">
        <f t="shared" si="30"/>
        <v/>
      </c>
      <c r="M215" s="6"/>
      <c r="N215" s="19" t="str">
        <f t="shared" si="31"/>
        <v/>
      </c>
      <c r="O215" s="23" t="str">
        <f>IF(B215="","",TRIM(IF(COUNTIF('Registru comenzi'!$B$5:$B$304,B215)=0,"Comandă inexistentă în registru. ","")&amp;IF(AND(D215&lt;&gt;"",E215=""),"Cod necunoscut. ","")&amp;IF(N(G215)&lt;=0,"Lipsește cantitatea. ","")&amp;IF(N(M215)&gt;N(G215),"Livrat mai mult decât s-a comandat. ","")&amp;IF(N(I215)&gt;0.3,"Discount neobișnuit de mare. ","")))</f>
        <v/>
      </c>
    </row>
    <row r="216" spans="1:15" x14ac:dyDescent="0.2">
      <c r="A216" s="1" t="str">
        <f t="shared" si="24"/>
        <v/>
      </c>
      <c r="B216" s="17"/>
      <c r="C216" s="18" t="str">
        <f>IF(B216="","",COUNTIF(INDEX($B:$B,5):B216,B216))</f>
        <v/>
      </c>
      <c r="D216" s="17"/>
      <c r="E216" s="19" t="str">
        <f t="shared" si="25"/>
        <v/>
      </c>
      <c r="F216" s="18" t="str">
        <f t="shared" si="26"/>
        <v/>
      </c>
      <c r="G216" s="6"/>
      <c r="H216" s="20" t="str">
        <f t="shared" si="27"/>
        <v/>
      </c>
      <c r="I216" s="21"/>
      <c r="J216" s="22" t="str">
        <f t="shared" si="28"/>
        <v/>
      </c>
      <c r="K216" s="20" t="str">
        <f t="shared" si="29"/>
        <v/>
      </c>
      <c r="L216" s="20" t="str">
        <f t="shared" si="30"/>
        <v/>
      </c>
      <c r="M216" s="6"/>
      <c r="N216" s="19" t="str">
        <f t="shared" si="31"/>
        <v/>
      </c>
      <c r="O216" s="23" t="str">
        <f>IF(B216="","",TRIM(IF(COUNTIF('Registru comenzi'!$B$5:$B$304,B216)=0,"Comandă inexistentă în registru. ","")&amp;IF(AND(D216&lt;&gt;"",E216=""),"Cod necunoscut. ","")&amp;IF(N(G216)&lt;=0,"Lipsește cantitatea. ","")&amp;IF(N(M216)&gt;N(G216),"Livrat mai mult decât s-a comandat. ","")&amp;IF(N(I216)&gt;0.3,"Discount neobișnuit de mare. ","")))</f>
        <v/>
      </c>
    </row>
    <row r="217" spans="1:15" x14ac:dyDescent="0.2">
      <c r="A217" s="1" t="str">
        <f t="shared" si="24"/>
        <v/>
      </c>
      <c r="B217" s="17"/>
      <c r="C217" s="18" t="str">
        <f>IF(B217="","",COUNTIF(INDEX($B:$B,5):B217,B217))</f>
        <v/>
      </c>
      <c r="D217" s="17"/>
      <c r="E217" s="19" t="str">
        <f t="shared" si="25"/>
        <v/>
      </c>
      <c r="F217" s="18" t="str">
        <f t="shared" si="26"/>
        <v/>
      </c>
      <c r="G217" s="6"/>
      <c r="H217" s="20" t="str">
        <f t="shared" si="27"/>
        <v/>
      </c>
      <c r="I217" s="21"/>
      <c r="J217" s="22" t="str">
        <f t="shared" si="28"/>
        <v/>
      </c>
      <c r="K217" s="20" t="str">
        <f t="shared" si="29"/>
        <v/>
      </c>
      <c r="L217" s="20" t="str">
        <f t="shared" si="30"/>
        <v/>
      </c>
      <c r="M217" s="6"/>
      <c r="N217" s="19" t="str">
        <f t="shared" si="31"/>
        <v/>
      </c>
      <c r="O217" s="23" t="str">
        <f>IF(B217="","",TRIM(IF(COUNTIF('Registru comenzi'!$B$5:$B$304,B217)=0,"Comandă inexistentă în registru. ","")&amp;IF(AND(D217&lt;&gt;"",E217=""),"Cod necunoscut. ","")&amp;IF(N(G217)&lt;=0,"Lipsește cantitatea. ","")&amp;IF(N(M217)&gt;N(G217),"Livrat mai mult decât s-a comandat. ","")&amp;IF(N(I217)&gt;0.3,"Discount neobișnuit de mare. ","")))</f>
        <v/>
      </c>
    </row>
    <row r="218" spans="1:15" x14ac:dyDescent="0.2">
      <c r="A218" s="1" t="str">
        <f t="shared" si="24"/>
        <v/>
      </c>
      <c r="B218" s="17"/>
      <c r="C218" s="18" t="str">
        <f>IF(B218="","",COUNTIF(INDEX($B:$B,5):B218,B218))</f>
        <v/>
      </c>
      <c r="D218" s="17"/>
      <c r="E218" s="19" t="str">
        <f t="shared" si="25"/>
        <v/>
      </c>
      <c r="F218" s="18" t="str">
        <f t="shared" si="26"/>
        <v/>
      </c>
      <c r="G218" s="6"/>
      <c r="H218" s="20" t="str">
        <f t="shared" si="27"/>
        <v/>
      </c>
      <c r="I218" s="21"/>
      <c r="J218" s="22" t="str">
        <f t="shared" si="28"/>
        <v/>
      </c>
      <c r="K218" s="20" t="str">
        <f t="shared" si="29"/>
        <v/>
      </c>
      <c r="L218" s="20" t="str">
        <f t="shared" si="30"/>
        <v/>
      </c>
      <c r="M218" s="6"/>
      <c r="N218" s="19" t="str">
        <f t="shared" si="31"/>
        <v/>
      </c>
      <c r="O218" s="23" t="str">
        <f>IF(B218="","",TRIM(IF(COUNTIF('Registru comenzi'!$B$5:$B$304,B218)=0,"Comandă inexistentă în registru. ","")&amp;IF(AND(D218&lt;&gt;"",E218=""),"Cod necunoscut. ","")&amp;IF(N(G218)&lt;=0,"Lipsește cantitatea. ","")&amp;IF(N(M218)&gt;N(G218),"Livrat mai mult decât s-a comandat. ","")&amp;IF(N(I218)&gt;0.3,"Discount neobișnuit de mare. ","")))</f>
        <v/>
      </c>
    </row>
    <row r="219" spans="1:15" x14ac:dyDescent="0.2">
      <c r="A219" s="1" t="str">
        <f t="shared" si="24"/>
        <v/>
      </c>
      <c r="B219" s="17"/>
      <c r="C219" s="18" t="str">
        <f>IF(B219="","",COUNTIF(INDEX($B:$B,5):B219,B219))</f>
        <v/>
      </c>
      <c r="D219" s="17"/>
      <c r="E219" s="19" t="str">
        <f t="shared" si="25"/>
        <v/>
      </c>
      <c r="F219" s="18" t="str">
        <f t="shared" si="26"/>
        <v/>
      </c>
      <c r="G219" s="6"/>
      <c r="H219" s="20" t="str">
        <f t="shared" si="27"/>
        <v/>
      </c>
      <c r="I219" s="21"/>
      <c r="J219" s="22" t="str">
        <f t="shared" si="28"/>
        <v/>
      </c>
      <c r="K219" s="20" t="str">
        <f t="shared" si="29"/>
        <v/>
      </c>
      <c r="L219" s="20" t="str">
        <f t="shared" si="30"/>
        <v/>
      </c>
      <c r="M219" s="6"/>
      <c r="N219" s="19" t="str">
        <f t="shared" si="31"/>
        <v/>
      </c>
      <c r="O219" s="23" t="str">
        <f>IF(B219="","",TRIM(IF(COUNTIF('Registru comenzi'!$B$5:$B$304,B219)=0,"Comandă inexistentă în registru. ","")&amp;IF(AND(D219&lt;&gt;"",E219=""),"Cod necunoscut. ","")&amp;IF(N(G219)&lt;=0,"Lipsește cantitatea. ","")&amp;IF(N(M219)&gt;N(G219),"Livrat mai mult decât s-a comandat. ","")&amp;IF(N(I219)&gt;0.3,"Discount neobișnuit de mare. ","")))</f>
        <v/>
      </c>
    </row>
    <row r="220" spans="1:15" x14ac:dyDescent="0.2">
      <c r="A220" s="1" t="str">
        <f t="shared" si="24"/>
        <v/>
      </c>
      <c r="B220" s="17"/>
      <c r="C220" s="18" t="str">
        <f>IF(B220="","",COUNTIF(INDEX($B:$B,5):B220,B220))</f>
        <v/>
      </c>
      <c r="D220" s="17"/>
      <c r="E220" s="19" t="str">
        <f t="shared" si="25"/>
        <v/>
      </c>
      <c r="F220" s="18" t="str">
        <f t="shared" si="26"/>
        <v/>
      </c>
      <c r="G220" s="6"/>
      <c r="H220" s="20" t="str">
        <f t="shared" si="27"/>
        <v/>
      </c>
      <c r="I220" s="21"/>
      <c r="J220" s="22" t="str">
        <f t="shared" si="28"/>
        <v/>
      </c>
      <c r="K220" s="20" t="str">
        <f t="shared" si="29"/>
        <v/>
      </c>
      <c r="L220" s="20" t="str">
        <f t="shared" si="30"/>
        <v/>
      </c>
      <c r="M220" s="6"/>
      <c r="N220" s="19" t="str">
        <f t="shared" si="31"/>
        <v/>
      </c>
      <c r="O220" s="23" t="str">
        <f>IF(B220="","",TRIM(IF(COUNTIF('Registru comenzi'!$B$5:$B$304,B220)=0,"Comandă inexistentă în registru. ","")&amp;IF(AND(D220&lt;&gt;"",E220=""),"Cod necunoscut. ","")&amp;IF(N(G220)&lt;=0,"Lipsește cantitatea. ","")&amp;IF(N(M220)&gt;N(G220),"Livrat mai mult decât s-a comandat. ","")&amp;IF(N(I220)&gt;0.3,"Discount neobișnuit de mare. ","")))</f>
        <v/>
      </c>
    </row>
    <row r="221" spans="1:15" x14ac:dyDescent="0.2">
      <c r="A221" s="1" t="str">
        <f t="shared" si="24"/>
        <v/>
      </c>
      <c r="B221" s="17"/>
      <c r="C221" s="18" t="str">
        <f>IF(B221="","",COUNTIF(INDEX($B:$B,5):B221,B221))</f>
        <v/>
      </c>
      <c r="D221" s="17"/>
      <c r="E221" s="19" t="str">
        <f t="shared" si="25"/>
        <v/>
      </c>
      <c r="F221" s="18" t="str">
        <f t="shared" si="26"/>
        <v/>
      </c>
      <c r="G221" s="6"/>
      <c r="H221" s="20" t="str">
        <f t="shared" si="27"/>
        <v/>
      </c>
      <c r="I221" s="21"/>
      <c r="J221" s="22" t="str">
        <f t="shared" si="28"/>
        <v/>
      </c>
      <c r="K221" s="20" t="str">
        <f t="shared" si="29"/>
        <v/>
      </c>
      <c r="L221" s="20" t="str">
        <f t="shared" si="30"/>
        <v/>
      </c>
      <c r="M221" s="6"/>
      <c r="N221" s="19" t="str">
        <f t="shared" si="31"/>
        <v/>
      </c>
      <c r="O221" s="23" t="str">
        <f>IF(B221="","",TRIM(IF(COUNTIF('Registru comenzi'!$B$5:$B$304,B221)=0,"Comandă inexistentă în registru. ","")&amp;IF(AND(D221&lt;&gt;"",E221=""),"Cod necunoscut. ","")&amp;IF(N(G221)&lt;=0,"Lipsește cantitatea. ","")&amp;IF(N(M221)&gt;N(G221),"Livrat mai mult decât s-a comandat. ","")&amp;IF(N(I221)&gt;0.3,"Discount neobișnuit de mare. ","")))</f>
        <v/>
      </c>
    </row>
    <row r="222" spans="1:15" x14ac:dyDescent="0.2">
      <c r="A222" s="1" t="str">
        <f t="shared" si="24"/>
        <v/>
      </c>
      <c r="B222" s="17"/>
      <c r="C222" s="18" t="str">
        <f>IF(B222="","",COUNTIF(INDEX($B:$B,5):B222,B222))</f>
        <v/>
      </c>
      <c r="D222" s="17"/>
      <c r="E222" s="19" t="str">
        <f t="shared" si="25"/>
        <v/>
      </c>
      <c r="F222" s="18" t="str">
        <f t="shared" si="26"/>
        <v/>
      </c>
      <c r="G222" s="6"/>
      <c r="H222" s="20" t="str">
        <f t="shared" si="27"/>
        <v/>
      </c>
      <c r="I222" s="21"/>
      <c r="J222" s="22" t="str">
        <f t="shared" si="28"/>
        <v/>
      </c>
      <c r="K222" s="20" t="str">
        <f t="shared" si="29"/>
        <v/>
      </c>
      <c r="L222" s="20" t="str">
        <f t="shared" si="30"/>
        <v/>
      </c>
      <c r="M222" s="6"/>
      <c r="N222" s="19" t="str">
        <f t="shared" si="31"/>
        <v/>
      </c>
      <c r="O222" s="23" t="str">
        <f>IF(B222="","",TRIM(IF(COUNTIF('Registru comenzi'!$B$5:$B$304,B222)=0,"Comandă inexistentă în registru. ","")&amp;IF(AND(D222&lt;&gt;"",E222=""),"Cod necunoscut. ","")&amp;IF(N(G222)&lt;=0,"Lipsește cantitatea. ","")&amp;IF(N(M222)&gt;N(G222),"Livrat mai mult decât s-a comandat. ","")&amp;IF(N(I222)&gt;0.3,"Discount neobișnuit de mare. ","")))</f>
        <v/>
      </c>
    </row>
    <row r="223" spans="1:15" x14ac:dyDescent="0.2">
      <c r="A223" s="1" t="str">
        <f t="shared" si="24"/>
        <v/>
      </c>
      <c r="B223" s="17"/>
      <c r="C223" s="18" t="str">
        <f>IF(B223="","",COUNTIF(INDEX($B:$B,5):B223,B223))</f>
        <v/>
      </c>
      <c r="D223" s="17"/>
      <c r="E223" s="19" t="str">
        <f t="shared" si="25"/>
        <v/>
      </c>
      <c r="F223" s="18" t="str">
        <f t="shared" si="26"/>
        <v/>
      </c>
      <c r="G223" s="6"/>
      <c r="H223" s="20" t="str">
        <f t="shared" si="27"/>
        <v/>
      </c>
      <c r="I223" s="21"/>
      <c r="J223" s="22" t="str">
        <f t="shared" si="28"/>
        <v/>
      </c>
      <c r="K223" s="20" t="str">
        <f t="shared" si="29"/>
        <v/>
      </c>
      <c r="L223" s="20" t="str">
        <f t="shared" si="30"/>
        <v/>
      </c>
      <c r="M223" s="6"/>
      <c r="N223" s="19" t="str">
        <f t="shared" si="31"/>
        <v/>
      </c>
      <c r="O223" s="23" t="str">
        <f>IF(B223="","",TRIM(IF(COUNTIF('Registru comenzi'!$B$5:$B$304,B223)=0,"Comandă inexistentă în registru. ","")&amp;IF(AND(D223&lt;&gt;"",E223=""),"Cod necunoscut. ","")&amp;IF(N(G223)&lt;=0,"Lipsește cantitatea. ","")&amp;IF(N(M223)&gt;N(G223),"Livrat mai mult decât s-a comandat. ","")&amp;IF(N(I223)&gt;0.3,"Discount neobișnuit de mare. ","")))</f>
        <v/>
      </c>
    </row>
    <row r="224" spans="1:15" x14ac:dyDescent="0.2">
      <c r="A224" s="1" t="str">
        <f t="shared" si="24"/>
        <v/>
      </c>
      <c r="B224" s="17"/>
      <c r="C224" s="18" t="str">
        <f>IF(B224="","",COUNTIF(INDEX($B:$B,5):B224,B224))</f>
        <v/>
      </c>
      <c r="D224" s="17"/>
      <c r="E224" s="19" t="str">
        <f t="shared" si="25"/>
        <v/>
      </c>
      <c r="F224" s="18" t="str">
        <f t="shared" si="26"/>
        <v/>
      </c>
      <c r="G224" s="6"/>
      <c r="H224" s="20" t="str">
        <f t="shared" si="27"/>
        <v/>
      </c>
      <c r="I224" s="21"/>
      <c r="J224" s="22" t="str">
        <f t="shared" si="28"/>
        <v/>
      </c>
      <c r="K224" s="20" t="str">
        <f t="shared" si="29"/>
        <v/>
      </c>
      <c r="L224" s="20" t="str">
        <f t="shared" si="30"/>
        <v/>
      </c>
      <c r="M224" s="6"/>
      <c r="N224" s="19" t="str">
        <f t="shared" si="31"/>
        <v/>
      </c>
      <c r="O224" s="23" t="str">
        <f>IF(B224="","",TRIM(IF(COUNTIF('Registru comenzi'!$B$5:$B$304,B224)=0,"Comandă inexistentă în registru. ","")&amp;IF(AND(D224&lt;&gt;"",E224=""),"Cod necunoscut. ","")&amp;IF(N(G224)&lt;=0,"Lipsește cantitatea. ","")&amp;IF(N(M224)&gt;N(G224),"Livrat mai mult decât s-a comandat. ","")&amp;IF(N(I224)&gt;0.3,"Discount neobișnuit de mare. ","")))</f>
        <v/>
      </c>
    </row>
    <row r="225" spans="1:15" x14ac:dyDescent="0.2">
      <c r="A225" s="1" t="str">
        <f t="shared" si="24"/>
        <v/>
      </c>
      <c r="B225" s="17"/>
      <c r="C225" s="18" t="str">
        <f>IF(B225="","",COUNTIF(INDEX($B:$B,5):B225,B225))</f>
        <v/>
      </c>
      <c r="D225" s="17"/>
      <c r="E225" s="19" t="str">
        <f t="shared" si="25"/>
        <v/>
      </c>
      <c r="F225" s="18" t="str">
        <f t="shared" si="26"/>
        <v/>
      </c>
      <c r="G225" s="6"/>
      <c r="H225" s="20" t="str">
        <f t="shared" si="27"/>
        <v/>
      </c>
      <c r="I225" s="21"/>
      <c r="J225" s="22" t="str">
        <f t="shared" si="28"/>
        <v/>
      </c>
      <c r="K225" s="20" t="str">
        <f t="shared" si="29"/>
        <v/>
      </c>
      <c r="L225" s="20" t="str">
        <f t="shared" si="30"/>
        <v/>
      </c>
      <c r="M225" s="6"/>
      <c r="N225" s="19" t="str">
        <f t="shared" si="31"/>
        <v/>
      </c>
      <c r="O225" s="23" t="str">
        <f>IF(B225="","",TRIM(IF(COUNTIF('Registru comenzi'!$B$5:$B$304,B225)=0,"Comandă inexistentă în registru. ","")&amp;IF(AND(D225&lt;&gt;"",E225=""),"Cod necunoscut. ","")&amp;IF(N(G225)&lt;=0,"Lipsește cantitatea. ","")&amp;IF(N(M225)&gt;N(G225),"Livrat mai mult decât s-a comandat. ","")&amp;IF(N(I225)&gt;0.3,"Discount neobișnuit de mare. ","")))</f>
        <v/>
      </c>
    </row>
    <row r="226" spans="1:15" x14ac:dyDescent="0.2">
      <c r="A226" s="1" t="str">
        <f t="shared" si="24"/>
        <v/>
      </c>
      <c r="B226" s="17"/>
      <c r="C226" s="18" t="str">
        <f>IF(B226="","",COUNTIF(INDEX($B:$B,5):B226,B226))</f>
        <v/>
      </c>
      <c r="D226" s="17"/>
      <c r="E226" s="19" t="str">
        <f t="shared" si="25"/>
        <v/>
      </c>
      <c r="F226" s="18" t="str">
        <f t="shared" si="26"/>
        <v/>
      </c>
      <c r="G226" s="6"/>
      <c r="H226" s="20" t="str">
        <f t="shared" si="27"/>
        <v/>
      </c>
      <c r="I226" s="21"/>
      <c r="J226" s="22" t="str">
        <f t="shared" si="28"/>
        <v/>
      </c>
      <c r="K226" s="20" t="str">
        <f t="shared" si="29"/>
        <v/>
      </c>
      <c r="L226" s="20" t="str">
        <f t="shared" si="30"/>
        <v/>
      </c>
      <c r="M226" s="6"/>
      <c r="N226" s="19" t="str">
        <f t="shared" si="31"/>
        <v/>
      </c>
      <c r="O226" s="23" t="str">
        <f>IF(B226="","",TRIM(IF(COUNTIF('Registru comenzi'!$B$5:$B$304,B226)=0,"Comandă inexistentă în registru. ","")&amp;IF(AND(D226&lt;&gt;"",E226=""),"Cod necunoscut. ","")&amp;IF(N(G226)&lt;=0,"Lipsește cantitatea. ","")&amp;IF(N(M226)&gt;N(G226),"Livrat mai mult decât s-a comandat. ","")&amp;IF(N(I226)&gt;0.3,"Discount neobișnuit de mare. ","")))</f>
        <v/>
      </c>
    </row>
    <row r="227" spans="1:15" x14ac:dyDescent="0.2">
      <c r="A227" s="1" t="str">
        <f t="shared" si="24"/>
        <v/>
      </c>
      <c r="B227" s="17"/>
      <c r="C227" s="18" t="str">
        <f>IF(B227="","",COUNTIF(INDEX($B:$B,5):B227,B227))</f>
        <v/>
      </c>
      <c r="D227" s="17"/>
      <c r="E227" s="19" t="str">
        <f t="shared" si="25"/>
        <v/>
      </c>
      <c r="F227" s="18" t="str">
        <f t="shared" si="26"/>
        <v/>
      </c>
      <c r="G227" s="6"/>
      <c r="H227" s="20" t="str">
        <f t="shared" si="27"/>
        <v/>
      </c>
      <c r="I227" s="21"/>
      <c r="J227" s="22" t="str">
        <f t="shared" si="28"/>
        <v/>
      </c>
      <c r="K227" s="20" t="str">
        <f t="shared" si="29"/>
        <v/>
      </c>
      <c r="L227" s="20" t="str">
        <f t="shared" si="30"/>
        <v/>
      </c>
      <c r="M227" s="6"/>
      <c r="N227" s="19" t="str">
        <f t="shared" si="31"/>
        <v/>
      </c>
      <c r="O227" s="23" t="str">
        <f>IF(B227="","",TRIM(IF(COUNTIF('Registru comenzi'!$B$5:$B$304,B227)=0,"Comandă inexistentă în registru. ","")&amp;IF(AND(D227&lt;&gt;"",E227=""),"Cod necunoscut. ","")&amp;IF(N(G227)&lt;=0,"Lipsește cantitatea. ","")&amp;IF(N(M227)&gt;N(G227),"Livrat mai mult decât s-a comandat. ","")&amp;IF(N(I227)&gt;0.3,"Discount neobișnuit de mare. ","")))</f>
        <v/>
      </c>
    </row>
    <row r="228" spans="1:15" x14ac:dyDescent="0.2">
      <c r="A228" s="1" t="str">
        <f t="shared" si="24"/>
        <v/>
      </c>
      <c r="B228" s="17"/>
      <c r="C228" s="18" t="str">
        <f>IF(B228="","",COUNTIF(INDEX($B:$B,5):B228,B228))</f>
        <v/>
      </c>
      <c r="D228" s="17"/>
      <c r="E228" s="19" t="str">
        <f t="shared" si="25"/>
        <v/>
      </c>
      <c r="F228" s="18" t="str">
        <f t="shared" si="26"/>
        <v/>
      </c>
      <c r="G228" s="6"/>
      <c r="H228" s="20" t="str">
        <f t="shared" si="27"/>
        <v/>
      </c>
      <c r="I228" s="21"/>
      <c r="J228" s="22" t="str">
        <f t="shared" si="28"/>
        <v/>
      </c>
      <c r="K228" s="20" t="str">
        <f t="shared" si="29"/>
        <v/>
      </c>
      <c r="L228" s="20" t="str">
        <f t="shared" si="30"/>
        <v/>
      </c>
      <c r="M228" s="6"/>
      <c r="N228" s="19" t="str">
        <f t="shared" si="31"/>
        <v/>
      </c>
      <c r="O228" s="23" t="str">
        <f>IF(B228="","",TRIM(IF(COUNTIF('Registru comenzi'!$B$5:$B$304,B228)=0,"Comandă inexistentă în registru. ","")&amp;IF(AND(D228&lt;&gt;"",E228=""),"Cod necunoscut. ","")&amp;IF(N(G228)&lt;=0,"Lipsește cantitatea. ","")&amp;IF(N(M228)&gt;N(G228),"Livrat mai mult decât s-a comandat. ","")&amp;IF(N(I228)&gt;0.3,"Discount neobișnuit de mare. ","")))</f>
        <v/>
      </c>
    </row>
    <row r="229" spans="1:15" x14ac:dyDescent="0.2">
      <c r="A229" s="1" t="str">
        <f t="shared" si="24"/>
        <v/>
      </c>
      <c r="B229" s="17"/>
      <c r="C229" s="18" t="str">
        <f>IF(B229="","",COUNTIF(INDEX($B:$B,5):B229,B229))</f>
        <v/>
      </c>
      <c r="D229" s="17"/>
      <c r="E229" s="19" t="str">
        <f t="shared" si="25"/>
        <v/>
      </c>
      <c r="F229" s="18" t="str">
        <f t="shared" si="26"/>
        <v/>
      </c>
      <c r="G229" s="6"/>
      <c r="H229" s="20" t="str">
        <f t="shared" si="27"/>
        <v/>
      </c>
      <c r="I229" s="21"/>
      <c r="J229" s="22" t="str">
        <f t="shared" si="28"/>
        <v/>
      </c>
      <c r="K229" s="20" t="str">
        <f t="shared" si="29"/>
        <v/>
      </c>
      <c r="L229" s="20" t="str">
        <f t="shared" si="30"/>
        <v/>
      </c>
      <c r="M229" s="6"/>
      <c r="N229" s="19" t="str">
        <f t="shared" si="31"/>
        <v/>
      </c>
      <c r="O229" s="23" t="str">
        <f>IF(B229="","",TRIM(IF(COUNTIF('Registru comenzi'!$B$5:$B$304,B229)=0,"Comandă inexistentă în registru. ","")&amp;IF(AND(D229&lt;&gt;"",E229=""),"Cod necunoscut. ","")&amp;IF(N(G229)&lt;=0,"Lipsește cantitatea. ","")&amp;IF(N(M229)&gt;N(G229),"Livrat mai mult decât s-a comandat. ","")&amp;IF(N(I229)&gt;0.3,"Discount neobișnuit de mare. ","")))</f>
        <v/>
      </c>
    </row>
    <row r="230" spans="1:15" x14ac:dyDescent="0.2">
      <c r="A230" s="1" t="str">
        <f t="shared" si="24"/>
        <v/>
      </c>
      <c r="B230" s="17"/>
      <c r="C230" s="18" t="str">
        <f>IF(B230="","",COUNTIF(INDEX($B:$B,5):B230,B230))</f>
        <v/>
      </c>
      <c r="D230" s="17"/>
      <c r="E230" s="19" t="str">
        <f t="shared" si="25"/>
        <v/>
      </c>
      <c r="F230" s="18" t="str">
        <f t="shared" si="26"/>
        <v/>
      </c>
      <c r="G230" s="6"/>
      <c r="H230" s="20" t="str">
        <f t="shared" si="27"/>
        <v/>
      </c>
      <c r="I230" s="21"/>
      <c r="J230" s="22" t="str">
        <f t="shared" si="28"/>
        <v/>
      </c>
      <c r="K230" s="20" t="str">
        <f t="shared" si="29"/>
        <v/>
      </c>
      <c r="L230" s="20" t="str">
        <f t="shared" si="30"/>
        <v/>
      </c>
      <c r="M230" s="6"/>
      <c r="N230" s="19" t="str">
        <f t="shared" si="31"/>
        <v/>
      </c>
      <c r="O230" s="23" t="str">
        <f>IF(B230="","",TRIM(IF(COUNTIF('Registru comenzi'!$B$5:$B$304,B230)=0,"Comandă inexistentă în registru. ","")&amp;IF(AND(D230&lt;&gt;"",E230=""),"Cod necunoscut. ","")&amp;IF(N(G230)&lt;=0,"Lipsește cantitatea. ","")&amp;IF(N(M230)&gt;N(G230),"Livrat mai mult decât s-a comandat. ","")&amp;IF(N(I230)&gt;0.3,"Discount neobișnuit de mare. ","")))</f>
        <v/>
      </c>
    </row>
    <row r="231" spans="1:15" x14ac:dyDescent="0.2">
      <c r="A231" s="1" t="str">
        <f t="shared" si="24"/>
        <v/>
      </c>
      <c r="B231" s="17"/>
      <c r="C231" s="18" t="str">
        <f>IF(B231="","",COUNTIF(INDEX($B:$B,5):B231,B231))</f>
        <v/>
      </c>
      <c r="D231" s="17"/>
      <c r="E231" s="19" t="str">
        <f t="shared" si="25"/>
        <v/>
      </c>
      <c r="F231" s="18" t="str">
        <f t="shared" si="26"/>
        <v/>
      </c>
      <c r="G231" s="6"/>
      <c r="H231" s="20" t="str">
        <f t="shared" si="27"/>
        <v/>
      </c>
      <c r="I231" s="21"/>
      <c r="J231" s="22" t="str">
        <f t="shared" si="28"/>
        <v/>
      </c>
      <c r="K231" s="20" t="str">
        <f t="shared" si="29"/>
        <v/>
      </c>
      <c r="L231" s="20" t="str">
        <f t="shared" si="30"/>
        <v/>
      </c>
      <c r="M231" s="6"/>
      <c r="N231" s="19" t="str">
        <f t="shared" si="31"/>
        <v/>
      </c>
      <c r="O231" s="23" t="str">
        <f>IF(B231="","",TRIM(IF(COUNTIF('Registru comenzi'!$B$5:$B$304,B231)=0,"Comandă inexistentă în registru. ","")&amp;IF(AND(D231&lt;&gt;"",E231=""),"Cod necunoscut. ","")&amp;IF(N(G231)&lt;=0,"Lipsește cantitatea. ","")&amp;IF(N(M231)&gt;N(G231),"Livrat mai mult decât s-a comandat. ","")&amp;IF(N(I231)&gt;0.3,"Discount neobișnuit de mare. ","")))</f>
        <v/>
      </c>
    </row>
    <row r="232" spans="1:15" x14ac:dyDescent="0.2">
      <c r="A232" s="1" t="str">
        <f t="shared" si="24"/>
        <v/>
      </c>
      <c r="B232" s="17"/>
      <c r="C232" s="18" t="str">
        <f>IF(B232="","",COUNTIF(INDEX($B:$B,5):B232,B232))</f>
        <v/>
      </c>
      <c r="D232" s="17"/>
      <c r="E232" s="19" t="str">
        <f t="shared" si="25"/>
        <v/>
      </c>
      <c r="F232" s="18" t="str">
        <f t="shared" si="26"/>
        <v/>
      </c>
      <c r="G232" s="6"/>
      <c r="H232" s="20" t="str">
        <f t="shared" si="27"/>
        <v/>
      </c>
      <c r="I232" s="21"/>
      <c r="J232" s="22" t="str">
        <f t="shared" si="28"/>
        <v/>
      </c>
      <c r="K232" s="20" t="str">
        <f t="shared" si="29"/>
        <v/>
      </c>
      <c r="L232" s="20" t="str">
        <f t="shared" si="30"/>
        <v/>
      </c>
      <c r="M232" s="6"/>
      <c r="N232" s="19" t="str">
        <f t="shared" si="31"/>
        <v/>
      </c>
      <c r="O232" s="23" t="str">
        <f>IF(B232="","",TRIM(IF(COUNTIF('Registru comenzi'!$B$5:$B$304,B232)=0,"Comandă inexistentă în registru. ","")&amp;IF(AND(D232&lt;&gt;"",E232=""),"Cod necunoscut. ","")&amp;IF(N(G232)&lt;=0,"Lipsește cantitatea. ","")&amp;IF(N(M232)&gt;N(G232),"Livrat mai mult decât s-a comandat. ","")&amp;IF(N(I232)&gt;0.3,"Discount neobișnuit de mare. ","")))</f>
        <v/>
      </c>
    </row>
    <row r="233" spans="1:15" x14ac:dyDescent="0.2">
      <c r="A233" s="1" t="str">
        <f t="shared" si="24"/>
        <v/>
      </c>
      <c r="B233" s="17"/>
      <c r="C233" s="18" t="str">
        <f>IF(B233="","",COUNTIF(INDEX($B:$B,5):B233,B233))</f>
        <v/>
      </c>
      <c r="D233" s="17"/>
      <c r="E233" s="19" t="str">
        <f t="shared" si="25"/>
        <v/>
      </c>
      <c r="F233" s="18" t="str">
        <f t="shared" si="26"/>
        <v/>
      </c>
      <c r="G233" s="6"/>
      <c r="H233" s="20" t="str">
        <f t="shared" si="27"/>
        <v/>
      </c>
      <c r="I233" s="21"/>
      <c r="J233" s="22" t="str">
        <f t="shared" si="28"/>
        <v/>
      </c>
      <c r="K233" s="20" t="str">
        <f t="shared" si="29"/>
        <v/>
      </c>
      <c r="L233" s="20" t="str">
        <f t="shared" si="30"/>
        <v/>
      </c>
      <c r="M233" s="6"/>
      <c r="N233" s="19" t="str">
        <f t="shared" si="31"/>
        <v/>
      </c>
      <c r="O233" s="23" t="str">
        <f>IF(B233="","",TRIM(IF(COUNTIF('Registru comenzi'!$B$5:$B$304,B233)=0,"Comandă inexistentă în registru. ","")&amp;IF(AND(D233&lt;&gt;"",E233=""),"Cod necunoscut. ","")&amp;IF(N(G233)&lt;=0,"Lipsește cantitatea. ","")&amp;IF(N(M233)&gt;N(G233),"Livrat mai mult decât s-a comandat. ","")&amp;IF(N(I233)&gt;0.3,"Discount neobișnuit de mare. ","")))</f>
        <v/>
      </c>
    </row>
    <row r="234" spans="1:15" x14ac:dyDescent="0.2">
      <c r="A234" s="1" t="str">
        <f t="shared" si="24"/>
        <v/>
      </c>
      <c r="B234" s="17"/>
      <c r="C234" s="18" t="str">
        <f>IF(B234="","",COUNTIF(INDEX($B:$B,5):B234,B234))</f>
        <v/>
      </c>
      <c r="D234" s="17"/>
      <c r="E234" s="19" t="str">
        <f t="shared" si="25"/>
        <v/>
      </c>
      <c r="F234" s="18" t="str">
        <f t="shared" si="26"/>
        <v/>
      </c>
      <c r="G234" s="6"/>
      <c r="H234" s="20" t="str">
        <f t="shared" si="27"/>
        <v/>
      </c>
      <c r="I234" s="21"/>
      <c r="J234" s="22" t="str">
        <f t="shared" si="28"/>
        <v/>
      </c>
      <c r="K234" s="20" t="str">
        <f t="shared" si="29"/>
        <v/>
      </c>
      <c r="L234" s="20" t="str">
        <f t="shared" si="30"/>
        <v/>
      </c>
      <c r="M234" s="6"/>
      <c r="N234" s="19" t="str">
        <f t="shared" si="31"/>
        <v/>
      </c>
      <c r="O234" s="23" t="str">
        <f>IF(B234="","",TRIM(IF(COUNTIF('Registru comenzi'!$B$5:$B$304,B234)=0,"Comandă inexistentă în registru. ","")&amp;IF(AND(D234&lt;&gt;"",E234=""),"Cod necunoscut. ","")&amp;IF(N(G234)&lt;=0,"Lipsește cantitatea. ","")&amp;IF(N(M234)&gt;N(G234),"Livrat mai mult decât s-a comandat. ","")&amp;IF(N(I234)&gt;0.3,"Discount neobișnuit de mare. ","")))</f>
        <v/>
      </c>
    </row>
    <row r="235" spans="1:15" x14ac:dyDescent="0.2">
      <c r="A235" s="1" t="str">
        <f t="shared" si="24"/>
        <v/>
      </c>
      <c r="B235" s="17"/>
      <c r="C235" s="18" t="str">
        <f>IF(B235="","",COUNTIF(INDEX($B:$B,5):B235,B235))</f>
        <v/>
      </c>
      <c r="D235" s="17"/>
      <c r="E235" s="19" t="str">
        <f t="shared" si="25"/>
        <v/>
      </c>
      <c r="F235" s="18" t="str">
        <f t="shared" si="26"/>
        <v/>
      </c>
      <c r="G235" s="6"/>
      <c r="H235" s="20" t="str">
        <f t="shared" si="27"/>
        <v/>
      </c>
      <c r="I235" s="21"/>
      <c r="J235" s="22" t="str">
        <f t="shared" si="28"/>
        <v/>
      </c>
      <c r="K235" s="20" t="str">
        <f t="shared" si="29"/>
        <v/>
      </c>
      <c r="L235" s="20" t="str">
        <f t="shared" si="30"/>
        <v/>
      </c>
      <c r="M235" s="6"/>
      <c r="N235" s="19" t="str">
        <f t="shared" si="31"/>
        <v/>
      </c>
      <c r="O235" s="23" t="str">
        <f>IF(B235="","",TRIM(IF(COUNTIF('Registru comenzi'!$B$5:$B$304,B235)=0,"Comandă inexistentă în registru. ","")&amp;IF(AND(D235&lt;&gt;"",E235=""),"Cod necunoscut. ","")&amp;IF(N(G235)&lt;=0,"Lipsește cantitatea. ","")&amp;IF(N(M235)&gt;N(G235),"Livrat mai mult decât s-a comandat. ","")&amp;IF(N(I235)&gt;0.3,"Discount neobișnuit de mare. ","")))</f>
        <v/>
      </c>
    </row>
    <row r="236" spans="1:15" x14ac:dyDescent="0.2">
      <c r="A236" s="1" t="str">
        <f t="shared" si="24"/>
        <v/>
      </c>
      <c r="B236" s="17"/>
      <c r="C236" s="18" t="str">
        <f>IF(B236="","",COUNTIF(INDEX($B:$B,5):B236,B236))</f>
        <v/>
      </c>
      <c r="D236" s="17"/>
      <c r="E236" s="19" t="str">
        <f t="shared" si="25"/>
        <v/>
      </c>
      <c r="F236" s="18" t="str">
        <f t="shared" si="26"/>
        <v/>
      </c>
      <c r="G236" s="6"/>
      <c r="H236" s="20" t="str">
        <f t="shared" si="27"/>
        <v/>
      </c>
      <c r="I236" s="21"/>
      <c r="J236" s="22" t="str">
        <f t="shared" si="28"/>
        <v/>
      </c>
      <c r="K236" s="20" t="str">
        <f t="shared" si="29"/>
        <v/>
      </c>
      <c r="L236" s="20" t="str">
        <f t="shared" si="30"/>
        <v/>
      </c>
      <c r="M236" s="6"/>
      <c r="N236" s="19" t="str">
        <f t="shared" si="31"/>
        <v/>
      </c>
      <c r="O236" s="23" t="str">
        <f>IF(B236="","",TRIM(IF(COUNTIF('Registru comenzi'!$B$5:$B$304,B236)=0,"Comandă inexistentă în registru. ","")&amp;IF(AND(D236&lt;&gt;"",E236=""),"Cod necunoscut. ","")&amp;IF(N(G236)&lt;=0,"Lipsește cantitatea. ","")&amp;IF(N(M236)&gt;N(G236),"Livrat mai mult decât s-a comandat. ","")&amp;IF(N(I236)&gt;0.3,"Discount neobișnuit de mare. ","")))</f>
        <v/>
      </c>
    </row>
    <row r="237" spans="1:15" x14ac:dyDescent="0.2">
      <c r="A237" s="1" t="str">
        <f t="shared" si="24"/>
        <v/>
      </c>
      <c r="B237" s="17"/>
      <c r="C237" s="18" t="str">
        <f>IF(B237="","",COUNTIF(INDEX($B:$B,5):B237,B237))</f>
        <v/>
      </c>
      <c r="D237" s="17"/>
      <c r="E237" s="19" t="str">
        <f t="shared" si="25"/>
        <v/>
      </c>
      <c r="F237" s="18" t="str">
        <f t="shared" si="26"/>
        <v/>
      </c>
      <c r="G237" s="6"/>
      <c r="H237" s="20" t="str">
        <f t="shared" si="27"/>
        <v/>
      </c>
      <c r="I237" s="21"/>
      <c r="J237" s="22" t="str">
        <f t="shared" si="28"/>
        <v/>
      </c>
      <c r="K237" s="20" t="str">
        <f t="shared" si="29"/>
        <v/>
      </c>
      <c r="L237" s="20" t="str">
        <f t="shared" si="30"/>
        <v/>
      </c>
      <c r="M237" s="6"/>
      <c r="N237" s="19" t="str">
        <f t="shared" si="31"/>
        <v/>
      </c>
      <c r="O237" s="23" t="str">
        <f>IF(B237="","",TRIM(IF(COUNTIF('Registru comenzi'!$B$5:$B$304,B237)=0,"Comandă inexistentă în registru. ","")&amp;IF(AND(D237&lt;&gt;"",E237=""),"Cod necunoscut. ","")&amp;IF(N(G237)&lt;=0,"Lipsește cantitatea. ","")&amp;IF(N(M237)&gt;N(G237),"Livrat mai mult decât s-a comandat. ","")&amp;IF(N(I237)&gt;0.3,"Discount neobișnuit de mare. ","")))</f>
        <v/>
      </c>
    </row>
    <row r="238" spans="1:15" x14ac:dyDescent="0.2">
      <c r="A238" s="1" t="str">
        <f t="shared" si="24"/>
        <v/>
      </c>
      <c r="B238" s="17"/>
      <c r="C238" s="18" t="str">
        <f>IF(B238="","",COUNTIF(INDEX($B:$B,5):B238,B238))</f>
        <v/>
      </c>
      <c r="D238" s="17"/>
      <c r="E238" s="19" t="str">
        <f t="shared" si="25"/>
        <v/>
      </c>
      <c r="F238" s="18" t="str">
        <f t="shared" si="26"/>
        <v/>
      </c>
      <c r="G238" s="6"/>
      <c r="H238" s="20" t="str">
        <f t="shared" si="27"/>
        <v/>
      </c>
      <c r="I238" s="21"/>
      <c r="J238" s="22" t="str">
        <f t="shared" si="28"/>
        <v/>
      </c>
      <c r="K238" s="20" t="str">
        <f t="shared" si="29"/>
        <v/>
      </c>
      <c r="L238" s="20" t="str">
        <f t="shared" si="30"/>
        <v/>
      </c>
      <c r="M238" s="6"/>
      <c r="N238" s="19" t="str">
        <f t="shared" si="31"/>
        <v/>
      </c>
      <c r="O238" s="23" t="str">
        <f>IF(B238="","",TRIM(IF(COUNTIF('Registru comenzi'!$B$5:$B$304,B238)=0,"Comandă inexistentă în registru. ","")&amp;IF(AND(D238&lt;&gt;"",E238=""),"Cod necunoscut. ","")&amp;IF(N(G238)&lt;=0,"Lipsește cantitatea. ","")&amp;IF(N(M238)&gt;N(G238),"Livrat mai mult decât s-a comandat. ","")&amp;IF(N(I238)&gt;0.3,"Discount neobișnuit de mare. ","")))</f>
        <v/>
      </c>
    </row>
    <row r="239" spans="1:15" x14ac:dyDescent="0.2">
      <c r="A239" s="1" t="str">
        <f t="shared" si="24"/>
        <v/>
      </c>
      <c r="B239" s="17"/>
      <c r="C239" s="18" t="str">
        <f>IF(B239="","",COUNTIF(INDEX($B:$B,5):B239,B239))</f>
        <v/>
      </c>
      <c r="D239" s="17"/>
      <c r="E239" s="19" t="str">
        <f t="shared" si="25"/>
        <v/>
      </c>
      <c r="F239" s="18" t="str">
        <f t="shared" si="26"/>
        <v/>
      </c>
      <c r="G239" s="6"/>
      <c r="H239" s="20" t="str">
        <f t="shared" si="27"/>
        <v/>
      </c>
      <c r="I239" s="21"/>
      <c r="J239" s="22" t="str">
        <f t="shared" si="28"/>
        <v/>
      </c>
      <c r="K239" s="20" t="str">
        <f t="shared" si="29"/>
        <v/>
      </c>
      <c r="L239" s="20" t="str">
        <f t="shared" si="30"/>
        <v/>
      </c>
      <c r="M239" s="6"/>
      <c r="N239" s="19" t="str">
        <f t="shared" si="31"/>
        <v/>
      </c>
      <c r="O239" s="23" t="str">
        <f>IF(B239="","",TRIM(IF(COUNTIF('Registru comenzi'!$B$5:$B$304,B239)=0,"Comandă inexistentă în registru. ","")&amp;IF(AND(D239&lt;&gt;"",E239=""),"Cod necunoscut. ","")&amp;IF(N(G239)&lt;=0,"Lipsește cantitatea. ","")&amp;IF(N(M239)&gt;N(G239),"Livrat mai mult decât s-a comandat. ","")&amp;IF(N(I239)&gt;0.3,"Discount neobișnuit de mare. ","")))</f>
        <v/>
      </c>
    </row>
    <row r="240" spans="1:15" x14ac:dyDescent="0.2">
      <c r="A240" s="1" t="str">
        <f t="shared" si="24"/>
        <v/>
      </c>
      <c r="B240" s="17"/>
      <c r="C240" s="18" t="str">
        <f>IF(B240="","",COUNTIF(INDEX($B:$B,5):B240,B240))</f>
        <v/>
      </c>
      <c r="D240" s="17"/>
      <c r="E240" s="19" t="str">
        <f t="shared" si="25"/>
        <v/>
      </c>
      <c r="F240" s="18" t="str">
        <f t="shared" si="26"/>
        <v/>
      </c>
      <c r="G240" s="6"/>
      <c r="H240" s="20" t="str">
        <f t="shared" si="27"/>
        <v/>
      </c>
      <c r="I240" s="21"/>
      <c r="J240" s="22" t="str">
        <f t="shared" si="28"/>
        <v/>
      </c>
      <c r="K240" s="20" t="str">
        <f t="shared" si="29"/>
        <v/>
      </c>
      <c r="L240" s="20" t="str">
        <f t="shared" si="30"/>
        <v/>
      </c>
      <c r="M240" s="6"/>
      <c r="N240" s="19" t="str">
        <f t="shared" si="31"/>
        <v/>
      </c>
      <c r="O240" s="23" t="str">
        <f>IF(B240="","",TRIM(IF(COUNTIF('Registru comenzi'!$B$5:$B$304,B240)=0,"Comandă inexistentă în registru. ","")&amp;IF(AND(D240&lt;&gt;"",E240=""),"Cod necunoscut. ","")&amp;IF(N(G240)&lt;=0,"Lipsește cantitatea. ","")&amp;IF(N(M240)&gt;N(G240),"Livrat mai mult decât s-a comandat. ","")&amp;IF(N(I240)&gt;0.3,"Discount neobișnuit de mare. ","")))</f>
        <v/>
      </c>
    </row>
    <row r="241" spans="1:15" x14ac:dyDescent="0.2">
      <c r="A241" s="1" t="str">
        <f t="shared" si="24"/>
        <v/>
      </c>
      <c r="B241" s="17"/>
      <c r="C241" s="18" t="str">
        <f>IF(B241="","",COUNTIF(INDEX($B:$B,5):B241,B241))</f>
        <v/>
      </c>
      <c r="D241" s="17"/>
      <c r="E241" s="19" t="str">
        <f t="shared" si="25"/>
        <v/>
      </c>
      <c r="F241" s="18" t="str">
        <f t="shared" si="26"/>
        <v/>
      </c>
      <c r="G241" s="6"/>
      <c r="H241" s="20" t="str">
        <f t="shared" si="27"/>
        <v/>
      </c>
      <c r="I241" s="21"/>
      <c r="J241" s="22" t="str">
        <f t="shared" si="28"/>
        <v/>
      </c>
      <c r="K241" s="20" t="str">
        <f t="shared" si="29"/>
        <v/>
      </c>
      <c r="L241" s="20" t="str">
        <f t="shared" si="30"/>
        <v/>
      </c>
      <c r="M241" s="6"/>
      <c r="N241" s="19" t="str">
        <f t="shared" si="31"/>
        <v/>
      </c>
      <c r="O241" s="23" t="str">
        <f>IF(B241="","",TRIM(IF(COUNTIF('Registru comenzi'!$B$5:$B$304,B241)=0,"Comandă inexistentă în registru. ","")&amp;IF(AND(D241&lt;&gt;"",E241=""),"Cod necunoscut. ","")&amp;IF(N(G241)&lt;=0,"Lipsește cantitatea. ","")&amp;IF(N(M241)&gt;N(G241),"Livrat mai mult decât s-a comandat. ","")&amp;IF(N(I241)&gt;0.3,"Discount neobișnuit de mare. ","")))</f>
        <v/>
      </c>
    </row>
    <row r="242" spans="1:15" x14ac:dyDescent="0.2">
      <c r="A242" s="1" t="str">
        <f t="shared" si="24"/>
        <v/>
      </c>
      <c r="B242" s="17"/>
      <c r="C242" s="18" t="str">
        <f>IF(B242="","",COUNTIF(INDEX($B:$B,5):B242,B242))</f>
        <v/>
      </c>
      <c r="D242" s="17"/>
      <c r="E242" s="19" t="str">
        <f t="shared" si="25"/>
        <v/>
      </c>
      <c r="F242" s="18" t="str">
        <f t="shared" si="26"/>
        <v/>
      </c>
      <c r="G242" s="6"/>
      <c r="H242" s="20" t="str">
        <f t="shared" si="27"/>
        <v/>
      </c>
      <c r="I242" s="21"/>
      <c r="J242" s="22" t="str">
        <f t="shared" si="28"/>
        <v/>
      </c>
      <c r="K242" s="20" t="str">
        <f t="shared" si="29"/>
        <v/>
      </c>
      <c r="L242" s="20" t="str">
        <f t="shared" si="30"/>
        <v/>
      </c>
      <c r="M242" s="6"/>
      <c r="N242" s="19" t="str">
        <f t="shared" si="31"/>
        <v/>
      </c>
      <c r="O242" s="23" t="str">
        <f>IF(B242="","",TRIM(IF(COUNTIF('Registru comenzi'!$B$5:$B$304,B242)=0,"Comandă inexistentă în registru. ","")&amp;IF(AND(D242&lt;&gt;"",E242=""),"Cod necunoscut. ","")&amp;IF(N(G242)&lt;=0,"Lipsește cantitatea. ","")&amp;IF(N(M242)&gt;N(G242),"Livrat mai mult decât s-a comandat. ","")&amp;IF(N(I242)&gt;0.3,"Discount neobișnuit de mare. ","")))</f>
        <v/>
      </c>
    </row>
    <row r="243" spans="1:15" x14ac:dyDescent="0.2">
      <c r="A243" s="1" t="str">
        <f t="shared" si="24"/>
        <v/>
      </c>
      <c r="B243" s="17"/>
      <c r="C243" s="18" t="str">
        <f>IF(B243="","",COUNTIF(INDEX($B:$B,5):B243,B243))</f>
        <v/>
      </c>
      <c r="D243" s="17"/>
      <c r="E243" s="19" t="str">
        <f t="shared" si="25"/>
        <v/>
      </c>
      <c r="F243" s="18" t="str">
        <f t="shared" si="26"/>
        <v/>
      </c>
      <c r="G243" s="6"/>
      <c r="H243" s="20" t="str">
        <f t="shared" si="27"/>
        <v/>
      </c>
      <c r="I243" s="21"/>
      <c r="J243" s="22" t="str">
        <f t="shared" si="28"/>
        <v/>
      </c>
      <c r="K243" s="20" t="str">
        <f t="shared" si="29"/>
        <v/>
      </c>
      <c r="L243" s="20" t="str">
        <f t="shared" si="30"/>
        <v/>
      </c>
      <c r="M243" s="6"/>
      <c r="N243" s="19" t="str">
        <f t="shared" si="31"/>
        <v/>
      </c>
      <c r="O243" s="23" t="str">
        <f>IF(B243="","",TRIM(IF(COUNTIF('Registru comenzi'!$B$5:$B$304,B243)=0,"Comandă inexistentă în registru. ","")&amp;IF(AND(D243&lt;&gt;"",E243=""),"Cod necunoscut. ","")&amp;IF(N(G243)&lt;=0,"Lipsește cantitatea. ","")&amp;IF(N(M243)&gt;N(G243),"Livrat mai mult decât s-a comandat. ","")&amp;IF(N(I243)&gt;0.3,"Discount neobișnuit de mare. ","")))</f>
        <v/>
      </c>
    </row>
    <row r="244" spans="1:15" x14ac:dyDescent="0.2">
      <c r="A244" s="1" t="str">
        <f t="shared" si="24"/>
        <v/>
      </c>
      <c r="B244" s="17"/>
      <c r="C244" s="18" t="str">
        <f>IF(B244="","",COUNTIF(INDEX($B:$B,5):B244,B244))</f>
        <v/>
      </c>
      <c r="D244" s="17"/>
      <c r="E244" s="19" t="str">
        <f t="shared" si="25"/>
        <v/>
      </c>
      <c r="F244" s="18" t="str">
        <f t="shared" si="26"/>
        <v/>
      </c>
      <c r="G244" s="6"/>
      <c r="H244" s="20" t="str">
        <f t="shared" si="27"/>
        <v/>
      </c>
      <c r="I244" s="21"/>
      <c r="J244" s="22" t="str">
        <f t="shared" si="28"/>
        <v/>
      </c>
      <c r="K244" s="20" t="str">
        <f t="shared" si="29"/>
        <v/>
      </c>
      <c r="L244" s="20" t="str">
        <f t="shared" si="30"/>
        <v/>
      </c>
      <c r="M244" s="6"/>
      <c r="N244" s="19" t="str">
        <f t="shared" si="31"/>
        <v/>
      </c>
      <c r="O244" s="23" t="str">
        <f>IF(B244="","",TRIM(IF(COUNTIF('Registru comenzi'!$B$5:$B$304,B244)=0,"Comandă inexistentă în registru. ","")&amp;IF(AND(D244&lt;&gt;"",E244=""),"Cod necunoscut. ","")&amp;IF(N(G244)&lt;=0,"Lipsește cantitatea. ","")&amp;IF(N(M244)&gt;N(G244),"Livrat mai mult decât s-a comandat. ","")&amp;IF(N(I244)&gt;0.3,"Discount neobișnuit de mare. ","")))</f>
        <v/>
      </c>
    </row>
    <row r="245" spans="1:15" x14ac:dyDescent="0.2">
      <c r="A245" s="1" t="str">
        <f t="shared" si="24"/>
        <v/>
      </c>
      <c r="B245" s="17"/>
      <c r="C245" s="18" t="str">
        <f>IF(B245="","",COUNTIF(INDEX($B:$B,5):B245,B245))</f>
        <v/>
      </c>
      <c r="D245" s="17"/>
      <c r="E245" s="19" t="str">
        <f t="shared" si="25"/>
        <v/>
      </c>
      <c r="F245" s="18" t="str">
        <f t="shared" si="26"/>
        <v/>
      </c>
      <c r="G245" s="6"/>
      <c r="H245" s="20" t="str">
        <f t="shared" si="27"/>
        <v/>
      </c>
      <c r="I245" s="21"/>
      <c r="J245" s="22" t="str">
        <f t="shared" si="28"/>
        <v/>
      </c>
      <c r="K245" s="20" t="str">
        <f t="shared" si="29"/>
        <v/>
      </c>
      <c r="L245" s="20" t="str">
        <f t="shared" si="30"/>
        <v/>
      </c>
      <c r="M245" s="6"/>
      <c r="N245" s="19" t="str">
        <f t="shared" si="31"/>
        <v/>
      </c>
      <c r="O245" s="23" t="str">
        <f>IF(B245="","",TRIM(IF(COUNTIF('Registru comenzi'!$B$5:$B$304,B245)=0,"Comandă inexistentă în registru. ","")&amp;IF(AND(D245&lt;&gt;"",E245=""),"Cod necunoscut. ","")&amp;IF(N(G245)&lt;=0,"Lipsește cantitatea. ","")&amp;IF(N(M245)&gt;N(G245),"Livrat mai mult decât s-a comandat. ","")&amp;IF(N(I245)&gt;0.3,"Discount neobișnuit de mare. ","")))</f>
        <v/>
      </c>
    </row>
    <row r="246" spans="1:15" x14ac:dyDescent="0.2">
      <c r="A246" s="1" t="str">
        <f t="shared" si="24"/>
        <v/>
      </c>
      <c r="B246" s="17"/>
      <c r="C246" s="18" t="str">
        <f>IF(B246="","",COUNTIF(INDEX($B:$B,5):B246,B246))</f>
        <v/>
      </c>
      <c r="D246" s="17"/>
      <c r="E246" s="19" t="str">
        <f t="shared" si="25"/>
        <v/>
      </c>
      <c r="F246" s="18" t="str">
        <f t="shared" si="26"/>
        <v/>
      </c>
      <c r="G246" s="6"/>
      <c r="H246" s="20" t="str">
        <f t="shared" si="27"/>
        <v/>
      </c>
      <c r="I246" s="21"/>
      <c r="J246" s="22" t="str">
        <f t="shared" si="28"/>
        <v/>
      </c>
      <c r="K246" s="20" t="str">
        <f t="shared" si="29"/>
        <v/>
      </c>
      <c r="L246" s="20" t="str">
        <f t="shared" si="30"/>
        <v/>
      </c>
      <c r="M246" s="6"/>
      <c r="N246" s="19" t="str">
        <f t="shared" si="31"/>
        <v/>
      </c>
      <c r="O246" s="23" t="str">
        <f>IF(B246="","",TRIM(IF(COUNTIF('Registru comenzi'!$B$5:$B$304,B246)=0,"Comandă inexistentă în registru. ","")&amp;IF(AND(D246&lt;&gt;"",E246=""),"Cod necunoscut. ","")&amp;IF(N(G246)&lt;=0,"Lipsește cantitatea. ","")&amp;IF(N(M246)&gt;N(G246),"Livrat mai mult decât s-a comandat. ","")&amp;IF(N(I246)&gt;0.3,"Discount neobișnuit de mare. ","")))</f>
        <v/>
      </c>
    </row>
    <row r="247" spans="1:15" x14ac:dyDescent="0.2">
      <c r="A247" s="1" t="str">
        <f t="shared" si="24"/>
        <v/>
      </c>
      <c r="B247" s="17"/>
      <c r="C247" s="18" t="str">
        <f>IF(B247="","",COUNTIF(INDEX($B:$B,5):B247,B247))</f>
        <v/>
      </c>
      <c r="D247" s="17"/>
      <c r="E247" s="19" t="str">
        <f t="shared" si="25"/>
        <v/>
      </c>
      <c r="F247" s="18" t="str">
        <f t="shared" si="26"/>
        <v/>
      </c>
      <c r="G247" s="6"/>
      <c r="H247" s="20" t="str">
        <f t="shared" si="27"/>
        <v/>
      </c>
      <c r="I247" s="21"/>
      <c r="J247" s="22" t="str">
        <f t="shared" si="28"/>
        <v/>
      </c>
      <c r="K247" s="20" t="str">
        <f t="shared" si="29"/>
        <v/>
      </c>
      <c r="L247" s="20" t="str">
        <f t="shared" si="30"/>
        <v/>
      </c>
      <c r="M247" s="6"/>
      <c r="N247" s="19" t="str">
        <f t="shared" si="31"/>
        <v/>
      </c>
      <c r="O247" s="23" t="str">
        <f>IF(B247="","",TRIM(IF(COUNTIF('Registru comenzi'!$B$5:$B$304,B247)=0,"Comandă inexistentă în registru. ","")&amp;IF(AND(D247&lt;&gt;"",E247=""),"Cod necunoscut. ","")&amp;IF(N(G247)&lt;=0,"Lipsește cantitatea. ","")&amp;IF(N(M247)&gt;N(G247),"Livrat mai mult decât s-a comandat. ","")&amp;IF(N(I247)&gt;0.3,"Discount neobișnuit de mare. ","")))</f>
        <v/>
      </c>
    </row>
    <row r="248" spans="1:15" x14ac:dyDescent="0.2">
      <c r="A248" s="1" t="str">
        <f t="shared" si="24"/>
        <v/>
      </c>
      <c r="B248" s="17"/>
      <c r="C248" s="18" t="str">
        <f>IF(B248="","",COUNTIF(INDEX($B:$B,5):B248,B248))</f>
        <v/>
      </c>
      <c r="D248" s="17"/>
      <c r="E248" s="19" t="str">
        <f t="shared" si="25"/>
        <v/>
      </c>
      <c r="F248" s="18" t="str">
        <f t="shared" si="26"/>
        <v/>
      </c>
      <c r="G248" s="6"/>
      <c r="H248" s="20" t="str">
        <f t="shared" si="27"/>
        <v/>
      </c>
      <c r="I248" s="21"/>
      <c r="J248" s="22" t="str">
        <f t="shared" si="28"/>
        <v/>
      </c>
      <c r="K248" s="20" t="str">
        <f t="shared" si="29"/>
        <v/>
      </c>
      <c r="L248" s="20" t="str">
        <f t="shared" si="30"/>
        <v/>
      </c>
      <c r="M248" s="6"/>
      <c r="N248" s="19" t="str">
        <f t="shared" si="31"/>
        <v/>
      </c>
      <c r="O248" s="23" t="str">
        <f>IF(B248="","",TRIM(IF(COUNTIF('Registru comenzi'!$B$5:$B$304,B248)=0,"Comandă inexistentă în registru. ","")&amp;IF(AND(D248&lt;&gt;"",E248=""),"Cod necunoscut. ","")&amp;IF(N(G248)&lt;=0,"Lipsește cantitatea. ","")&amp;IF(N(M248)&gt;N(G248),"Livrat mai mult decât s-a comandat. ","")&amp;IF(N(I248)&gt;0.3,"Discount neobișnuit de mare. ","")))</f>
        <v/>
      </c>
    </row>
    <row r="249" spans="1:15" x14ac:dyDescent="0.2">
      <c r="A249" s="1" t="str">
        <f t="shared" si="24"/>
        <v/>
      </c>
      <c r="B249" s="17"/>
      <c r="C249" s="18" t="str">
        <f>IF(B249="","",COUNTIF(INDEX($B:$B,5):B249,B249))</f>
        <v/>
      </c>
      <c r="D249" s="17"/>
      <c r="E249" s="19" t="str">
        <f t="shared" si="25"/>
        <v/>
      </c>
      <c r="F249" s="18" t="str">
        <f t="shared" si="26"/>
        <v/>
      </c>
      <c r="G249" s="6"/>
      <c r="H249" s="20" t="str">
        <f t="shared" si="27"/>
        <v/>
      </c>
      <c r="I249" s="21"/>
      <c r="J249" s="22" t="str">
        <f t="shared" si="28"/>
        <v/>
      </c>
      <c r="K249" s="20" t="str">
        <f t="shared" si="29"/>
        <v/>
      </c>
      <c r="L249" s="20" t="str">
        <f t="shared" si="30"/>
        <v/>
      </c>
      <c r="M249" s="6"/>
      <c r="N249" s="19" t="str">
        <f t="shared" si="31"/>
        <v/>
      </c>
      <c r="O249" s="23" t="str">
        <f>IF(B249="","",TRIM(IF(COUNTIF('Registru comenzi'!$B$5:$B$304,B249)=0,"Comandă inexistentă în registru. ","")&amp;IF(AND(D249&lt;&gt;"",E249=""),"Cod necunoscut. ","")&amp;IF(N(G249)&lt;=0,"Lipsește cantitatea. ","")&amp;IF(N(M249)&gt;N(G249),"Livrat mai mult decât s-a comandat. ","")&amp;IF(N(I249)&gt;0.3,"Discount neobișnuit de mare. ","")))</f>
        <v/>
      </c>
    </row>
    <row r="250" spans="1:15" x14ac:dyDescent="0.2">
      <c r="A250" s="1" t="str">
        <f t="shared" si="24"/>
        <v/>
      </c>
      <c r="B250" s="17"/>
      <c r="C250" s="18" t="str">
        <f>IF(B250="","",COUNTIF(INDEX($B:$B,5):B250,B250))</f>
        <v/>
      </c>
      <c r="D250" s="17"/>
      <c r="E250" s="19" t="str">
        <f t="shared" si="25"/>
        <v/>
      </c>
      <c r="F250" s="18" t="str">
        <f t="shared" si="26"/>
        <v/>
      </c>
      <c r="G250" s="6"/>
      <c r="H250" s="20" t="str">
        <f t="shared" si="27"/>
        <v/>
      </c>
      <c r="I250" s="21"/>
      <c r="J250" s="22" t="str">
        <f t="shared" si="28"/>
        <v/>
      </c>
      <c r="K250" s="20" t="str">
        <f t="shared" si="29"/>
        <v/>
      </c>
      <c r="L250" s="20" t="str">
        <f t="shared" si="30"/>
        <v/>
      </c>
      <c r="M250" s="6"/>
      <c r="N250" s="19" t="str">
        <f t="shared" si="31"/>
        <v/>
      </c>
      <c r="O250" s="23" t="str">
        <f>IF(B250="","",TRIM(IF(COUNTIF('Registru comenzi'!$B$5:$B$304,B250)=0,"Comandă inexistentă în registru. ","")&amp;IF(AND(D250&lt;&gt;"",E250=""),"Cod necunoscut. ","")&amp;IF(N(G250)&lt;=0,"Lipsește cantitatea. ","")&amp;IF(N(M250)&gt;N(G250),"Livrat mai mult decât s-a comandat. ","")&amp;IF(N(I250)&gt;0.3,"Discount neobișnuit de mare. ","")))</f>
        <v/>
      </c>
    </row>
    <row r="251" spans="1:15" x14ac:dyDescent="0.2">
      <c r="A251" s="1" t="str">
        <f t="shared" si="24"/>
        <v/>
      </c>
      <c r="B251" s="17"/>
      <c r="C251" s="18" t="str">
        <f>IF(B251="","",COUNTIF(INDEX($B:$B,5):B251,B251))</f>
        <v/>
      </c>
      <c r="D251" s="17"/>
      <c r="E251" s="19" t="str">
        <f t="shared" si="25"/>
        <v/>
      </c>
      <c r="F251" s="18" t="str">
        <f t="shared" si="26"/>
        <v/>
      </c>
      <c r="G251" s="6"/>
      <c r="H251" s="20" t="str">
        <f t="shared" si="27"/>
        <v/>
      </c>
      <c r="I251" s="21"/>
      <c r="J251" s="22" t="str">
        <f t="shared" si="28"/>
        <v/>
      </c>
      <c r="K251" s="20" t="str">
        <f t="shared" si="29"/>
        <v/>
      </c>
      <c r="L251" s="20" t="str">
        <f t="shared" si="30"/>
        <v/>
      </c>
      <c r="M251" s="6"/>
      <c r="N251" s="19" t="str">
        <f t="shared" si="31"/>
        <v/>
      </c>
      <c r="O251" s="23" t="str">
        <f>IF(B251="","",TRIM(IF(COUNTIF('Registru comenzi'!$B$5:$B$304,B251)=0,"Comandă inexistentă în registru. ","")&amp;IF(AND(D251&lt;&gt;"",E251=""),"Cod necunoscut. ","")&amp;IF(N(G251)&lt;=0,"Lipsește cantitatea. ","")&amp;IF(N(M251)&gt;N(G251),"Livrat mai mult decât s-a comandat. ","")&amp;IF(N(I251)&gt;0.3,"Discount neobișnuit de mare. ","")))</f>
        <v/>
      </c>
    </row>
    <row r="252" spans="1:15" x14ac:dyDescent="0.2">
      <c r="A252" s="1" t="str">
        <f t="shared" si="24"/>
        <v/>
      </c>
      <c r="B252" s="17"/>
      <c r="C252" s="18" t="str">
        <f>IF(B252="","",COUNTIF(INDEX($B:$B,5):B252,B252))</f>
        <v/>
      </c>
      <c r="D252" s="17"/>
      <c r="E252" s="19" t="str">
        <f t="shared" si="25"/>
        <v/>
      </c>
      <c r="F252" s="18" t="str">
        <f t="shared" si="26"/>
        <v/>
      </c>
      <c r="G252" s="6"/>
      <c r="H252" s="20" t="str">
        <f t="shared" si="27"/>
        <v/>
      </c>
      <c r="I252" s="21"/>
      <c r="J252" s="22" t="str">
        <f t="shared" si="28"/>
        <v/>
      </c>
      <c r="K252" s="20" t="str">
        <f t="shared" si="29"/>
        <v/>
      </c>
      <c r="L252" s="20" t="str">
        <f t="shared" si="30"/>
        <v/>
      </c>
      <c r="M252" s="6"/>
      <c r="N252" s="19" t="str">
        <f t="shared" si="31"/>
        <v/>
      </c>
      <c r="O252" s="23" t="str">
        <f>IF(B252="","",TRIM(IF(COUNTIF('Registru comenzi'!$B$5:$B$304,B252)=0,"Comandă inexistentă în registru. ","")&amp;IF(AND(D252&lt;&gt;"",E252=""),"Cod necunoscut. ","")&amp;IF(N(G252)&lt;=0,"Lipsește cantitatea. ","")&amp;IF(N(M252)&gt;N(G252),"Livrat mai mult decât s-a comandat. ","")&amp;IF(N(I252)&gt;0.3,"Discount neobișnuit de mare. ","")))</f>
        <v/>
      </c>
    </row>
    <row r="253" spans="1:15" x14ac:dyDescent="0.2">
      <c r="A253" s="1" t="str">
        <f t="shared" si="24"/>
        <v/>
      </c>
      <c r="B253" s="17"/>
      <c r="C253" s="18" t="str">
        <f>IF(B253="","",COUNTIF(INDEX($B:$B,5):B253,B253))</f>
        <v/>
      </c>
      <c r="D253" s="17"/>
      <c r="E253" s="19" t="str">
        <f t="shared" si="25"/>
        <v/>
      </c>
      <c r="F253" s="18" t="str">
        <f t="shared" si="26"/>
        <v/>
      </c>
      <c r="G253" s="6"/>
      <c r="H253" s="20" t="str">
        <f t="shared" si="27"/>
        <v/>
      </c>
      <c r="I253" s="21"/>
      <c r="J253" s="22" t="str">
        <f t="shared" si="28"/>
        <v/>
      </c>
      <c r="K253" s="20" t="str">
        <f t="shared" si="29"/>
        <v/>
      </c>
      <c r="L253" s="20" t="str">
        <f t="shared" si="30"/>
        <v/>
      </c>
      <c r="M253" s="6"/>
      <c r="N253" s="19" t="str">
        <f t="shared" si="31"/>
        <v/>
      </c>
      <c r="O253" s="23" t="str">
        <f>IF(B253="","",TRIM(IF(COUNTIF('Registru comenzi'!$B$5:$B$304,B253)=0,"Comandă inexistentă în registru. ","")&amp;IF(AND(D253&lt;&gt;"",E253=""),"Cod necunoscut. ","")&amp;IF(N(G253)&lt;=0,"Lipsește cantitatea. ","")&amp;IF(N(M253)&gt;N(G253),"Livrat mai mult decât s-a comandat. ","")&amp;IF(N(I253)&gt;0.3,"Discount neobișnuit de mare. ","")))</f>
        <v/>
      </c>
    </row>
    <row r="254" spans="1:15" x14ac:dyDescent="0.2">
      <c r="A254" s="1" t="str">
        <f t="shared" si="24"/>
        <v/>
      </c>
      <c r="B254" s="17"/>
      <c r="C254" s="18" t="str">
        <f>IF(B254="","",COUNTIF(INDEX($B:$B,5):B254,B254))</f>
        <v/>
      </c>
      <c r="D254" s="17"/>
      <c r="E254" s="19" t="str">
        <f t="shared" si="25"/>
        <v/>
      </c>
      <c r="F254" s="18" t="str">
        <f t="shared" si="26"/>
        <v/>
      </c>
      <c r="G254" s="6"/>
      <c r="H254" s="20" t="str">
        <f t="shared" si="27"/>
        <v/>
      </c>
      <c r="I254" s="21"/>
      <c r="J254" s="22" t="str">
        <f t="shared" si="28"/>
        <v/>
      </c>
      <c r="K254" s="20" t="str">
        <f t="shared" si="29"/>
        <v/>
      </c>
      <c r="L254" s="20" t="str">
        <f t="shared" si="30"/>
        <v/>
      </c>
      <c r="M254" s="6"/>
      <c r="N254" s="19" t="str">
        <f t="shared" si="31"/>
        <v/>
      </c>
      <c r="O254" s="23" t="str">
        <f>IF(B254="","",TRIM(IF(COUNTIF('Registru comenzi'!$B$5:$B$304,B254)=0,"Comandă inexistentă în registru. ","")&amp;IF(AND(D254&lt;&gt;"",E254=""),"Cod necunoscut. ","")&amp;IF(N(G254)&lt;=0,"Lipsește cantitatea. ","")&amp;IF(N(M254)&gt;N(G254),"Livrat mai mult decât s-a comandat. ","")&amp;IF(N(I254)&gt;0.3,"Discount neobișnuit de mare. ","")))</f>
        <v/>
      </c>
    </row>
    <row r="255" spans="1:15" x14ac:dyDescent="0.2">
      <c r="A255" s="1" t="str">
        <f t="shared" si="24"/>
        <v/>
      </c>
      <c r="B255" s="17"/>
      <c r="C255" s="18" t="str">
        <f>IF(B255="","",COUNTIF(INDEX($B:$B,5):B255,B255))</f>
        <v/>
      </c>
      <c r="D255" s="17"/>
      <c r="E255" s="19" t="str">
        <f t="shared" si="25"/>
        <v/>
      </c>
      <c r="F255" s="18" t="str">
        <f t="shared" si="26"/>
        <v/>
      </c>
      <c r="G255" s="6"/>
      <c r="H255" s="20" t="str">
        <f t="shared" si="27"/>
        <v/>
      </c>
      <c r="I255" s="21"/>
      <c r="J255" s="22" t="str">
        <f t="shared" si="28"/>
        <v/>
      </c>
      <c r="K255" s="20" t="str">
        <f t="shared" si="29"/>
        <v/>
      </c>
      <c r="L255" s="20" t="str">
        <f t="shared" si="30"/>
        <v/>
      </c>
      <c r="M255" s="6"/>
      <c r="N255" s="19" t="str">
        <f t="shared" si="31"/>
        <v/>
      </c>
      <c r="O255" s="23" t="str">
        <f>IF(B255="","",TRIM(IF(COUNTIF('Registru comenzi'!$B$5:$B$304,B255)=0,"Comandă inexistentă în registru. ","")&amp;IF(AND(D255&lt;&gt;"",E255=""),"Cod necunoscut. ","")&amp;IF(N(G255)&lt;=0,"Lipsește cantitatea. ","")&amp;IF(N(M255)&gt;N(G255),"Livrat mai mult decât s-a comandat. ","")&amp;IF(N(I255)&gt;0.3,"Discount neobișnuit de mare. ","")))</f>
        <v/>
      </c>
    </row>
    <row r="256" spans="1:15" x14ac:dyDescent="0.2">
      <c r="A256" s="1" t="str">
        <f t="shared" si="24"/>
        <v/>
      </c>
      <c r="B256" s="17"/>
      <c r="C256" s="18" t="str">
        <f>IF(B256="","",COUNTIF(INDEX($B:$B,5):B256,B256))</f>
        <v/>
      </c>
      <c r="D256" s="17"/>
      <c r="E256" s="19" t="str">
        <f t="shared" si="25"/>
        <v/>
      </c>
      <c r="F256" s="18" t="str">
        <f t="shared" si="26"/>
        <v/>
      </c>
      <c r="G256" s="6"/>
      <c r="H256" s="20" t="str">
        <f t="shared" si="27"/>
        <v/>
      </c>
      <c r="I256" s="21"/>
      <c r="J256" s="22" t="str">
        <f t="shared" si="28"/>
        <v/>
      </c>
      <c r="K256" s="20" t="str">
        <f t="shared" si="29"/>
        <v/>
      </c>
      <c r="L256" s="20" t="str">
        <f t="shared" si="30"/>
        <v/>
      </c>
      <c r="M256" s="6"/>
      <c r="N256" s="19" t="str">
        <f t="shared" si="31"/>
        <v/>
      </c>
      <c r="O256" s="23" t="str">
        <f>IF(B256="","",TRIM(IF(COUNTIF('Registru comenzi'!$B$5:$B$304,B256)=0,"Comandă inexistentă în registru. ","")&amp;IF(AND(D256&lt;&gt;"",E256=""),"Cod necunoscut. ","")&amp;IF(N(G256)&lt;=0,"Lipsește cantitatea. ","")&amp;IF(N(M256)&gt;N(G256),"Livrat mai mult decât s-a comandat. ","")&amp;IF(N(I256)&gt;0.3,"Discount neobișnuit de mare. ","")))</f>
        <v/>
      </c>
    </row>
    <row r="257" spans="1:15" x14ac:dyDescent="0.2">
      <c r="A257" s="1" t="str">
        <f t="shared" si="24"/>
        <v/>
      </c>
      <c r="B257" s="17"/>
      <c r="C257" s="18" t="str">
        <f>IF(B257="","",COUNTIF(INDEX($B:$B,5):B257,B257))</f>
        <v/>
      </c>
      <c r="D257" s="17"/>
      <c r="E257" s="19" t="str">
        <f t="shared" si="25"/>
        <v/>
      </c>
      <c r="F257" s="18" t="str">
        <f t="shared" si="26"/>
        <v/>
      </c>
      <c r="G257" s="6"/>
      <c r="H257" s="20" t="str">
        <f t="shared" si="27"/>
        <v/>
      </c>
      <c r="I257" s="21"/>
      <c r="J257" s="22" t="str">
        <f t="shared" si="28"/>
        <v/>
      </c>
      <c r="K257" s="20" t="str">
        <f t="shared" si="29"/>
        <v/>
      </c>
      <c r="L257" s="20" t="str">
        <f t="shared" si="30"/>
        <v/>
      </c>
      <c r="M257" s="6"/>
      <c r="N257" s="19" t="str">
        <f t="shared" si="31"/>
        <v/>
      </c>
      <c r="O257" s="23" t="str">
        <f>IF(B257="","",TRIM(IF(COUNTIF('Registru comenzi'!$B$5:$B$304,B257)=0,"Comandă inexistentă în registru. ","")&amp;IF(AND(D257&lt;&gt;"",E257=""),"Cod necunoscut. ","")&amp;IF(N(G257)&lt;=0,"Lipsește cantitatea. ","")&amp;IF(N(M257)&gt;N(G257),"Livrat mai mult decât s-a comandat. ","")&amp;IF(N(I257)&gt;0.3,"Discount neobișnuit de mare. ","")))</f>
        <v/>
      </c>
    </row>
    <row r="258" spans="1:15" x14ac:dyDescent="0.2">
      <c r="A258" s="1" t="str">
        <f t="shared" si="24"/>
        <v/>
      </c>
      <c r="B258" s="17"/>
      <c r="C258" s="18" t="str">
        <f>IF(B258="","",COUNTIF(INDEX($B:$B,5):B258,B258))</f>
        <v/>
      </c>
      <c r="D258" s="17"/>
      <c r="E258" s="19" t="str">
        <f t="shared" si="25"/>
        <v/>
      </c>
      <c r="F258" s="18" t="str">
        <f t="shared" si="26"/>
        <v/>
      </c>
      <c r="G258" s="6"/>
      <c r="H258" s="20" t="str">
        <f t="shared" si="27"/>
        <v/>
      </c>
      <c r="I258" s="21"/>
      <c r="J258" s="22" t="str">
        <f t="shared" si="28"/>
        <v/>
      </c>
      <c r="K258" s="20" t="str">
        <f t="shared" si="29"/>
        <v/>
      </c>
      <c r="L258" s="20" t="str">
        <f t="shared" si="30"/>
        <v/>
      </c>
      <c r="M258" s="6"/>
      <c r="N258" s="19" t="str">
        <f t="shared" si="31"/>
        <v/>
      </c>
      <c r="O258" s="23" t="str">
        <f>IF(B258="","",TRIM(IF(COUNTIF('Registru comenzi'!$B$5:$B$304,B258)=0,"Comandă inexistentă în registru. ","")&amp;IF(AND(D258&lt;&gt;"",E258=""),"Cod necunoscut. ","")&amp;IF(N(G258)&lt;=0,"Lipsește cantitatea. ","")&amp;IF(N(M258)&gt;N(G258),"Livrat mai mult decât s-a comandat. ","")&amp;IF(N(I258)&gt;0.3,"Discount neobișnuit de mare. ","")))</f>
        <v/>
      </c>
    </row>
    <row r="259" spans="1:15" x14ac:dyDescent="0.2">
      <c r="A259" s="1" t="str">
        <f t="shared" si="24"/>
        <v/>
      </c>
      <c r="B259" s="17"/>
      <c r="C259" s="18" t="str">
        <f>IF(B259="","",COUNTIF(INDEX($B:$B,5):B259,B259))</f>
        <v/>
      </c>
      <c r="D259" s="17"/>
      <c r="E259" s="19" t="str">
        <f t="shared" si="25"/>
        <v/>
      </c>
      <c r="F259" s="18" t="str">
        <f t="shared" si="26"/>
        <v/>
      </c>
      <c r="G259" s="6"/>
      <c r="H259" s="20" t="str">
        <f t="shared" si="27"/>
        <v/>
      </c>
      <c r="I259" s="21"/>
      <c r="J259" s="22" t="str">
        <f t="shared" si="28"/>
        <v/>
      </c>
      <c r="K259" s="20" t="str">
        <f t="shared" si="29"/>
        <v/>
      </c>
      <c r="L259" s="20" t="str">
        <f t="shared" si="30"/>
        <v/>
      </c>
      <c r="M259" s="6"/>
      <c r="N259" s="19" t="str">
        <f t="shared" si="31"/>
        <v/>
      </c>
      <c r="O259" s="23" t="str">
        <f>IF(B259="","",TRIM(IF(COUNTIF('Registru comenzi'!$B$5:$B$304,B259)=0,"Comandă inexistentă în registru. ","")&amp;IF(AND(D259&lt;&gt;"",E259=""),"Cod necunoscut. ","")&amp;IF(N(G259)&lt;=0,"Lipsește cantitatea. ","")&amp;IF(N(M259)&gt;N(G259),"Livrat mai mult decât s-a comandat. ","")&amp;IF(N(I259)&gt;0.3,"Discount neobișnuit de mare. ","")))</f>
        <v/>
      </c>
    </row>
    <row r="260" spans="1:15" x14ac:dyDescent="0.2">
      <c r="A260" s="1" t="str">
        <f t="shared" si="24"/>
        <v/>
      </c>
      <c r="B260" s="17"/>
      <c r="C260" s="18" t="str">
        <f>IF(B260="","",COUNTIF(INDEX($B:$B,5):B260,B260))</f>
        <v/>
      </c>
      <c r="D260" s="17"/>
      <c r="E260" s="19" t="str">
        <f t="shared" si="25"/>
        <v/>
      </c>
      <c r="F260" s="18" t="str">
        <f t="shared" si="26"/>
        <v/>
      </c>
      <c r="G260" s="6"/>
      <c r="H260" s="20" t="str">
        <f t="shared" si="27"/>
        <v/>
      </c>
      <c r="I260" s="21"/>
      <c r="J260" s="22" t="str">
        <f t="shared" si="28"/>
        <v/>
      </c>
      <c r="K260" s="20" t="str">
        <f t="shared" si="29"/>
        <v/>
      </c>
      <c r="L260" s="20" t="str">
        <f t="shared" si="30"/>
        <v/>
      </c>
      <c r="M260" s="6"/>
      <c r="N260" s="19" t="str">
        <f t="shared" si="31"/>
        <v/>
      </c>
      <c r="O260" s="23" t="str">
        <f>IF(B260="","",TRIM(IF(COUNTIF('Registru comenzi'!$B$5:$B$304,B260)=0,"Comandă inexistentă în registru. ","")&amp;IF(AND(D260&lt;&gt;"",E260=""),"Cod necunoscut. ","")&amp;IF(N(G260)&lt;=0,"Lipsește cantitatea. ","")&amp;IF(N(M260)&gt;N(G260),"Livrat mai mult decât s-a comandat. ","")&amp;IF(N(I260)&gt;0.3,"Discount neobișnuit de mare. ","")))</f>
        <v/>
      </c>
    </row>
    <row r="261" spans="1:15" x14ac:dyDescent="0.2">
      <c r="A261" s="1" t="str">
        <f t="shared" ref="A261:A324" si="32">IF(B261="","",B261&amp;"|"&amp;C261)</f>
        <v/>
      </c>
      <c r="B261" s="17"/>
      <c r="C261" s="18" t="str">
        <f>IF(B261="","",COUNTIF(INDEX($B:$B,5):B261,B261))</f>
        <v/>
      </c>
      <c r="D261" s="17"/>
      <c r="E261" s="19" t="str">
        <f t="shared" ref="E261:E324" si="33">IF(D261="","",IFERROR(VLOOKUP(D261,Catalog,2,FALSE),""))</f>
        <v/>
      </c>
      <c r="F261" s="18" t="str">
        <f t="shared" ref="F261:F324" si="34">IF(D261="","",IFERROR(VLOOKUP(D261,Catalog,3,FALSE),""))</f>
        <v/>
      </c>
      <c r="G261" s="6"/>
      <c r="H261" s="20" t="str">
        <f t="shared" ref="H261:H324" si="35">IF(D261="","",IFERROR(VLOOKUP(D261,Catalog,4,FALSE),""))</f>
        <v/>
      </c>
      <c r="I261" s="21"/>
      <c r="J261" s="22" t="str">
        <f t="shared" ref="J261:J324" si="36">IF(D261="","",IFERROR(VLOOKUP(D261,Catalog,5,FALSE),""))</f>
        <v/>
      </c>
      <c r="K261" s="20" t="str">
        <f t="shared" ref="K261:K324" si="37">IF(OR(G261="",H261=""),"",ROUND(G261*H261*(1-N(I261)),2))</f>
        <v/>
      </c>
      <c r="L261" s="20" t="str">
        <f t="shared" ref="L261:L324" si="38">IF(OR(K261="",J261=""),"",ROUND(K261*J261,2))</f>
        <v/>
      </c>
      <c r="M261" s="6"/>
      <c r="N261" s="19" t="str">
        <f t="shared" ref="N261:N324" si="39">IF(G261="","",G261-N(M261))</f>
        <v/>
      </c>
      <c r="O261" s="23" t="str">
        <f>IF(B261="","",TRIM(IF(COUNTIF('Registru comenzi'!$B$5:$B$304,B261)=0,"Comandă inexistentă în registru. ","")&amp;IF(AND(D261&lt;&gt;"",E261=""),"Cod necunoscut. ","")&amp;IF(N(G261)&lt;=0,"Lipsește cantitatea. ","")&amp;IF(N(M261)&gt;N(G261),"Livrat mai mult decât s-a comandat. ","")&amp;IF(N(I261)&gt;0.3,"Discount neobișnuit de mare. ","")))</f>
        <v/>
      </c>
    </row>
    <row r="262" spans="1:15" x14ac:dyDescent="0.2">
      <c r="A262" s="1" t="str">
        <f t="shared" si="32"/>
        <v/>
      </c>
      <c r="B262" s="17"/>
      <c r="C262" s="18" t="str">
        <f>IF(B262="","",COUNTIF(INDEX($B:$B,5):B262,B262))</f>
        <v/>
      </c>
      <c r="D262" s="17"/>
      <c r="E262" s="19" t="str">
        <f t="shared" si="33"/>
        <v/>
      </c>
      <c r="F262" s="18" t="str">
        <f t="shared" si="34"/>
        <v/>
      </c>
      <c r="G262" s="6"/>
      <c r="H262" s="20" t="str">
        <f t="shared" si="35"/>
        <v/>
      </c>
      <c r="I262" s="21"/>
      <c r="J262" s="22" t="str">
        <f t="shared" si="36"/>
        <v/>
      </c>
      <c r="K262" s="20" t="str">
        <f t="shared" si="37"/>
        <v/>
      </c>
      <c r="L262" s="20" t="str">
        <f t="shared" si="38"/>
        <v/>
      </c>
      <c r="M262" s="6"/>
      <c r="N262" s="19" t="str">
        <f t="shared" si="39"/>
        <v/>
      </c>
      <c r="O262" s="23" t="str">
        <f>IF(B262="","",TRIM(IF(COUNTIF('Registru comenzi'!$B$5:$B$304,B262)=0,"Comandă inexistentă în registru. ","")&amp;IF(AND(D262&lt;&gt;"",E262=""),"Cod necunoscut. ","")&amp;IF(N(G262)&lt;=0,"Lipsește cantitatea. ","")&amp;IF(N(M262)&gt;N(G262),"Livrat mai mult decât s-a comandat. ","")&amp;IF(N(I262)&gt;0.3,"Discount neobișnuit de mare. ","")))</f>
        <v/>
      </c>
    </row>
    <row r="263" spans="1:15" x14ac:dyDescent="0.2">
      <c r="A263" s="1" t="str">
        <f t="shared" si="32"/>
        <v/>
      </c>
      <c r="B263" s="17"/>
      <c r="C263" s="18" t="str">
        <f>IF(B263="","",COUNTIF(INDEX($B:$B,5):B263,B263))</f>
        <v/>
      </c>
      <c r="D263" s="17"/>
      <c r="E263" s="19" t="str">
        <f t="shared" si="33"/>
        <v/>
      </c>
      <c r="F263" s="18" t="str">
        <f t="shared" si="34"/>
        <v/>
      </c>
      <c r="G263" s="6"/>
      <c r="H263" s="20" t="str">
        <f t="shared" si="35"/>
        <v/>
      </c>
      <c r="I263" s="21"/>
      <c r="J263" s="22" t="str">
        <f t="shared" si="36"/>
        <v/>
      </c>
      <c r="K263" s="20" t="str">
        <f t="shared" si="37"/>
        <v/>
      </c>
      <c r="L263" s="20" t="str">
        <f t="shared" si="38"/>
        <v/>
      </c>
      <c r="M263" s="6"/>
      <c r="N263" s="19" t="str">
        <f t="shared" si="39"/>
        <v/>
      </c>
      <c r="O263" s="23" t="str">
        <f>IF(B263="","",TRIM(IF(COUNTIF('Registru comenzi'!$B$5:$B$304,B263)=0,"Comandă inexistentă în registru. ","")&amp;IF(AND(D263&lt;&gt;"",E263=""),"Cod necunoscut. ","")&amp;IF(N(G263)&lt;=0,"Lipsește cantitatea. ","")&amp;IF(N(M263)&gt;N(G263),"Livrat mai mult decât s-a comandat. ","")&amp;IF(N(I263)&gt;0.3,"Discount neobișnuit de mare. ","")))</f>
        <v/>
      </c>
    </row>
    <row r="264" spans="1:15" x14ac:dyDescent="0.2">
      <c r="A264" s="1" t="str">
        <f t="shared" si="32"/>
        <v/>
      </c>
      <c r="B264" s="17"/>
      <c r="C264" s="18" t="str">
        <f>IF(B264="","",COUNTIF(INDEX($B:$B,5):B264,B264))</f>
        <v/>
      </c>
      <c r="D264" s="17"/>
      <c r="E264" s="19" t="str">
        <f t="shared" si="33"/>
        <v/>
      </c>
      <c r="F264" s="18" t="str">
        <f t="shared" si="34"/>
        <v/>
      </c>
      <c r="G264" s="6"/>
      <c r="H264" s="20" t="str">
        <f t="shared" si="35"/>
        <v/>
      </c>
      <c r="I264" s="21"/>
      <c r="J264" s="22" t="str">
        <f t="shared" si="36"/>
        <v/>
      </c>
      <c r="K264" s="20" t="str">
        <f t="shared" si="37"/>
        <v/>
      </c>
      <c r="L264" s="20" t="str">
        <f t="shared" si="38"/>
        <v/>
      </c>
      <c r="M264" s="6"/>
      <c r="N264" s="19" t="str">
        <f t="shared" si="39"/>
        <v/>
      </c>
      <c r="O264" s="23" t="str">
        <f>IF(B264="","",TRIM(IF(COUNTIF('Registru comenzi'!$B$5:$B$304,B264)=0,"Comandă inexistentă în registru. ","")&amp;IF(AND(D264&lt;&gt;"",E264=""),"Cod necunoscut. ","")&amp;IF(N(G264)&lt;=0,"Lipsește cantitatea. ","")&amp;IF(N(M264)&gt;N(G264),"Livrat mai mult decât s-a comandat. ","")&amp;IF(N(I264)&gt;0.3,"Discount neobișnuit de mare. ","")))</f>
        <v/>
      </c>
    </row>
    <row r="265" spans="1:15" x14ac:dyDescent="0.2">
      <c r="A265" s="1" t="str">
        <f t="shared" si="32"/>
        <v/>
      </c>
      <c r="B265" s="17"/>
      <c r="C265" s="18" t="str">
        <f>IF(B265="","",COUNTIF(INDEX($B:$B,5):B265,B265))</f>
        <v/>
      </c>
      <c r="D265" s="17"/>
      <c r="E265" s="19" t="str">
        <f t="shared" si="33"/>
        <v/>
      </c>
      <c r="F265" s="18" t="str">
        <f t="shared" si="34"/>
        <v/>
      </c>
      <c r="G265" s="6"/>
      <c r="H265" s="20" t="str">
        <f t="shared" si="35"/>
        <v/>
      </c>
      <c r="I265" s="21"/>
      <c r="J265" s="22" t="str">
        <f t="shared" si="36"/>
        <v/>
      </c>
      <c r="K265" s="20" t="str">
        <f t="shared" si="37"/>
        <v/>
      </c>
      <c r="L265" s="20" t="str">
        <f t="shared" si="38"/>
        <v/>
      </c>
      <c r="M265" s="6"/>
      <c r="N265" s="19" t="str">
        <f t="shared" si="39"/>
        <v/>
      </c>
      <c r="O265" s="23" t="str">
        <f>IF(B265="","",TRIM(IF(COUNTIF('Registru comenzi'!$B$5:$B$304,B265)=0,"Comandă inexistentă în registru. ","")&amp;IF(AND(D265&lt;&gt;"",E265=""),"Cod necunoscut. ","")&amp;IF(N(G265)&lt;=0,"Lipsește cantitatea. ","")&amp;IF(N(M265)&gt;N(G265),"Livrat mai mult decât s-a comandat. ","")&amp;IF(N(I265)&gt;0.3,"Discount neobișnuit de mare. ","")))</f>
        <v/>
      </c>
    </row>
    <row r="266" spans="1:15" x14ac:dyDescent="0.2">
      <c r="A266" s="1" t="str">
        <f t="shared" si="32"/>
        <v/>
      </c>
      <c r="B266" s="17"/>
      <c r="C266" s="18" t="str">
        <f>IF(B266="","",COUNTIF(INDEX($B:$B,5):B266,B266))</f>
        <v/>
      </c>
      <c r="D266" s="17"/>
      <c r="E266" s="19" t="str">
        <f t="shared" si="33"/>
        <v/>
      </c>
      <c r="F266" s="18" t="str">
        <f t="shared" si="34"/>
        <v/>
      </c>
      <c r="G266" s="6"/>
      <c r="H266" s="20" t="str">
        <f t="shared" si="35"/>
        <v/>
      </c>
      <c r="I266" s="21"/>
      <c r="J266" s="22" t="str">
        <f t="shared" si="36"/>
        <v/>
      </c>
      <c r="K266" s="20" t="str">
        <f t="shared" si="37"/>
        <v/>
      </c>
      <c r="L266" s="20" t="str">
        <f t="shared" si="38"/>
        <v/>
      </c>
      <c r="M266" s="6"/>
      <c r="N266" s="19" t="str">
        <f t="shared" si="39"/>
        <v/>
      </c>
      <c r="O266" s="23" t="str">
        <f>IF(B266="","",TRIM(IF(COUNTIF('Registru comenzi'!$B$5:$B$304,B266)=0,"Comandă inexistentă în registru. ","")&amp;IF(AND(D266&lt;&gt;"",E266=""),"Cod necunoscut. ","")&amp;IF(N(G266)&lt;=0,"Lipsește cantitatea. ","")&amp;IF(N(M266)&gt;N(G266),"Livrat mai mult decât s-a comandat. ","")&amp;IF(N(I266)&gt;0.3,"Discount neobișnuit de mare. ","")))</f>
        <v/>
      </c>
    </row>
    <row r="267" spans="1:15" x14ac:dyDescent="0.2">
      <c r="A267" s="1" t="str">
        <f t="shared" si="32"/>
        <v/>
      </c>
      <c r="B267" s="17"/>
      <c r="C267" s="18" t="str">
        <f>IF(B267="","",COUNTIF(INDEX($B:$B,5):B267,B267))</f>
        <v/>
      </c>
      <c r="D267" s="17"/>
      <c r="E267" s="19" t="str">
        <f t="shared" si="33"/>
        <v/>
      </c>
      <c r="F267" s="18" t="str">
        <f t="shared" si="34"/>
        <v/>
      </c>
      <c r="G267" s="6"/>
      <c r="H267" s="20" t="str">
        <f t="shared" si="35"/>
        <v/>
      </c>
      <c r="I267" s="21"/>
      <c r="J267" s="22" t="str">
        <f t="shared" si="36"/>
        <v/>
      </c>
      <c r="K267" s="20" t="str">
        <f t="shared" si="37"/>
        <v/>
      </c>
      <c r="L267" s="20" t="str">
        <f t="shared" si="38"/>
        <v/>
      </c>
      <c r="M267" s="6"/>
      <c r="N267" s="19" t="str">
        <f t="shared" si="39"/>
        <v/>
      </c>
      <c r="O267" s="23" t="str">
        <f>IF(B267="","",TRIM(IF(COUNTIF('Registru comenzi'!$B$5:$B$304,B267)=0,"Comandă inexistentă în registru. ","")&amp;IF(AND(D267&lt;&gt;"",E267=""),"Cod necunoscut. ","")&amp;IF(N(G267)&lt;=0,"Lipsește cantitatea. ","")&amp;IF(N(M267)&gt;N(G267),"Livrat mai mult decât s-a comandat. ","")&amp;IF(N(I267)&gt;0.3,"Discount neobișnuit de mare. ","")))</f>
        <v/>
      </c>
    </row>
    <row r="268" spans="1:15" x14ac:dyDescent="0.2">
      <c r="A268" s="1" t="str">
        <f t="shared" si="32"/>
        <v/>
      </c>
      <c r="B268" s="17"/>
      <c r="C268" s="18" t="str">
        <f>IF(B268="","",COUNTIF(INDEX($B:$B,5):B268,B268))</f>
        <v/>
      </c>
      <c r="D268" s="17"/>
      <c r="E268" s="19" t="str">
        <f t="shared" si="33"/>
        <v/>
      </c>
      <c r="F268" s="18" t="str">
        <f t="shared" si="34"/>
        <v/>
      </c>
      <c r="G268" s="6"/>
      <c r="H268" s="20" t="str">
        <f t="shared" si="35"/>
        <v/>
      </c>
      <c r="I268" s="21"/>
      <c r="J268" s="22" t="str">
        <f t="shared" si="36"/>
        <v/>
      </c>
      <c r="K268" s="20" t="str">
        <f t="shared" si="37"/>
        <v/>
      </c>
      <c r="L268" s="20" t="str">
        <f t="shared" si="38"/>
        <v/>
      </c>
      <c r="M268" s="6"/>
      <c r="N268" s="19" t="str">
        <f t="shared" si="39"/>
        <v/>
      </c>
      <c r="O268" s="23" t="str">
        <f>IF(B268="","",TRIM(IF(COUNTIF('Registru comenzi'!$B$5:$B$304,B268)=0,"Comandă inexistentă în registru. ","")&amp;IF(AND(D268&lt;&gt;"",E268=""),"Cod necunoscut. ","")&amp;IF(N(G268)&lt;=0,"Lipsește cantitatea. ","")&amp;IF(N(M268)&gt;N(G268),"Livrat mai mult decât s-a comandat. ","")&amp;IF(N(I268)&gt;0.3,"Discount neobișnuit de mare. ","")))</f>
        <v/>
      </c>
    </row>
    <row r="269" spans="1:15" x14ac:dyDescent="0.2">
      <c r="A269" s="1" t="str">
        <f t="shared" si="32"/>
        <v/>
      </c>
      <c r="B269" s="17"/>
      <c r="C269" s="18" t="str">
        <f>IF(B269="","",COUNTIF(INDEX($B:$B,5):B269,B269))</f>
        <v/>
      </c>
      <c r="D269" s="17"/>
      <c r="E269" s="19" t="str">
        <f t="shared" si="33"/>
        <v/>
      </c>
      <c r="F269" s="18" t="str">
        <f t="shared" si="34"/>
        <v/>
      </c>
      <c r="G269" s="6"/>
      <c r="H269" s="20" t="str">
        <f t="shared" si="35"/>
        <v/>
      </c>
      <c r="I269" s="21"/>
      <c r="J269" s="22" t="str">
        <f t="shared" si="36"/>
        <v/>
      </c>
      <c r="K269" s="20" t="str">
        <f t="shared" si="37"/>
        <v/>
      </c>
      <c r="L269" s="20" t="str">
        <f t="shared" si="38"/>
        <v/>
      </c>
      <c r="M269" s="6"/>
      <c r="N269" s="19" t="str">
        <f t="shared" si="39"/>
        <v/>
      </c>
      <c r="O269" s="23" t="str">
        <f>IF(B269="","",TRIM(IF(COUNTIF('Registru comenzi'!$B$5:$B$304,B269)=0,"Comandă inexistentă în registru. ","")&amp;IF(AND(D269&lt;&gt;"",E269=""),"Cod necunoscut. ","")&amp;IF(N(G269)&lt;=0,"Lipsește cantitatea. ","")&amp;IF(N(M269)&gt;N(G269),"Livrat mai mult decât s-a comandat. ","")&amp;IF(N(I269)&gt;0.3,"Discount neobișnuit de mare. ","")))</f>
        <v/>
      </c>
    </row>
    <row r="270" spans="1:15" x14ac:dyDescent="0.2">
      <c r="A270" s="1" t="str">
        <f t="shared" si="32"/>
        <v/>
      </c>
      <c r="B270" s="17"/>
      <c r="C270" s="18" t="str">
        <f>IF(B270="","",COUNTIF(INDEX($B:$B,5):B270,B270))</f>
        <v/>
      </c>
      <c r="D270" s="17"/>
      <c r="E270" s="19" t="str">
        <f t="shared" si="33"/>
        <v/>
      </c>
      <c r="F270" s="18" t="str">
        <f t="shared" si="34"/>
        <v/>
      </c>
      <c r="G270" s="6"/>
      <c r="H270" s="20" t="str">
        <f t="shared" si="35"/>
        <v/>
      </c>
      <c r="I270" s="21"/>
      <c r="J270" s="22" t="str">
        <f t="shared" si="36"/>
        <v/>
      </c>
      <c r="K270" s="20" t="str">
        <f t="shared" si="37"/>
        <v/>
      </c>
      <c r="L270" s="20" t="str">
        <f t="shared" si="38"/>
        <v/>
      </c>
      <c r="M270" s="6"/>
      <c r="N270" s="19" t="str">
        <f t="shared" si="39"/>
        <v/>
      </c>
      <c r="O270" s="23" t="str">
        <f>IF(B270="","",TRIM(IF(COUNTIF('Registru comenzi'!$B$5:$B$304,B270)=0,"Comandă inexistentă în registru. ","")&amp;IF(AND(D270&lt;&gt;"",E270=""),"Cod necunoscut. ","")&amp;IF(N(G270)&lt;=0,"Lipsește cantitatea. ","")&amp;IF(N(M270)&gt;N(G270),"Livrat mai mult decât s-a comandat. ","")&amp;IF(N(I270)&gt;0.3,"Discount neobișnuit de mare. ","")))</f>
        <v/>
      </c>
    </row>
    <row r="271" spans="1:15" x14ac:dyDescent="0.2">
      <c r="A271" s="1" t="str">
        <f t="shared" si="32"/>
        <v/>
      </c>
      <c r="B271" s="17"/>
      <c r="C271" s="18" t="str">
        <f>IF(B271="","",COUNTIF(INDEX($B:$B,5):B271,B271))</f>
        <v/>
      </c>
      <c r="D271" s="17"/>
      <c r="E271" s="19" t="str">
        <f t="shared" si="33"/>
        <v/>
      </c>
      <c r="F271" s="18" t="str">
        <f t="shared" si="34"/>
        <v/>
      </c>
      <c r="G271" s="6"/>
      <c r="H271" s="20" t="str">
        <f t="shared" si="35"/>
        <v/>
      </c>
      <c r="I271" s="21"/>
      <c r="J271" s="22" t="str">
        <f t="shared" si="36"/>
        <v/>
      </c>
      <c r="K271" s="20" t="str">
        <f t="shared" si="37"/>
        <v/>
      </c>
      <c r="L271" s="20" t="str">
        <f t="shared" si="38"/>
        <v/>
      </c>
      <c r="M271" s="6"/>
      <c r="N271" s="19" t="str">
        <f t="shared" si="39"/>
        <v/>
      </c>
      <c r="O271" s="23" t="str">
        <f>IF(B271="","",TRIM(IF(COUNTIF('Registru comenzi'!$B$5:$B$304,B271)=0,"Comandă inexistentă în registru. ","")&amp;IF(AND(D271&lt;&gt;"",E271=""),"Cod necunoscut. ","")&amp;IF(N(G271)&lt;=0,"Lipsește cantitatea. ","")&amp;IF(N(M271)&gt;N(G271),"Livrat mai mult decât s-a comandat. ","")&amp;IF(N(I271)&gt;0.3,"Discount neobișnuit de mare. ","")))</f>
        <v/>
      </c>
    </row>
    <row r="272" spans="1:15" x14ac:dyDescent="0.2">
      <c r="A272" s="1" t="str">
        <f t="shared" si="32"/>
        <v/>
      </c>
      <c r="B272" s="17"/>
      <c r="C272" s="18" t="str">
        <f>IF(B272="","",COUNTIF(INDEX($B:$B,5):B272,B272))</f>
        <v/>
      </c>
      <c r="D272" s="17"/>
      <c r="E272" s="19" t="str">
        <f t="shared" si="33"/>
        <v/>
      </c>
      <c r="F272" s="18" t="str">
        <f t="shared" si="34"/>
        <v/>
      </c>
      <c r="G272" s="6"/>
      <c r="H272" s="20" t="str">
        <f t="shared" si="35"/>
        <v/>
      </c>
      <c r="I272" s="21"/>
      <c r="J272" s="22" t="str">
        <f t="shared" si="36"/>
        <v/>
      </c>
      <c r="K272" s="20" t="str">
        <f t="shared" si="37"/>
        <v/>
      </c>
      <c r="L272" s="20" t="str">
        <f t="shared" si="38"/>
        <v/>
      </c>
      <c r="M272" s="6"/>
      <c r="N272" s="19" t="str">
        <f t="shared" si="39"/>
        <v/>
      </c>
      <c r="O272" s="23" t="str">
        <f>IF(B272="","",TRIM(IF(COUNTIF('Registru comenzi'!$B$5:$B$304,B272)=0,"Comandă inexistentă în registru. ","")&amp;IF(AND(D272&lt;&gt;"",E272=""),"Cod necunoscut. ","")&amp;IF(N(G272)&lt;=0,"Lipsește cantitatea. ","")&amp;IF(N(M272)&gt;N(G272),"Livrat mai mult decât s-a comandat. ","")&amp;IF(N(I272)&gt;0.3,"Discount neobișnuit de mare. ","")))</f>
        <v/>
      </c>
    </row>
    <row r="273" spans="1:15" x14ac:dyDescent="0.2">
      <c r="A273" s="1" t="str">
        <f t="shared" si="32"/>
        <v/>
      </c>
      <c r="B273" s="17"/>
      <c r="C273" s="18" t="str">
        <f>IF(B273="","",COUNTIF(INDEX($B:$B,5):B273,B273))</f>
        <v/>
      </c>
      <c r="D273" s="17"/>
      <c r="E273" s="19" t="str">
        <f t="shared" si="33"/>
        <v/>
      </c>
      <c r="F273" s="18" t="str">
        <f t="shared" si="34"/>
        <v/>
      </c>
      <c r="G273" s="6"/>
      <c r="H273" s="20" t="str">
        <f t="shared" si="35"/>
        <v/>
      </c>
      <c r="I273" s="21"/>
      <c r="J273" s="22" t="str">
        <f t="shared" si="36"/>
        <v/>
      </c>
      <c r="K273" s="20" t="str">
        <f t="shared" si="37"/>
        <v/>
      </c>
      <c r="L273" s="20" t="str">
        <f t="shared" si="38"/>
        <v/>
      </c>
      <c r="M273" s="6"/>
      <c r="N273" s="19" t="str">
        <f t="shared" si="39"/>
        <v/>
      </c>
      <c r="O273" s="23" t="str">
        <f>IF(B273="","",TRIM(IF(COUNTIF('Registru comenzi'!$B$5:$B$304,B273)=0,"Comandă inexistentă în registru. ","")&amp;IF(AND(D273&lt;&gt;"",E273=""),"Cod necunoscut. ","")&amp;IF(N(G273)&lt;=0,"Lipsește cantitatea. ","")&amp;IF(N(M273)&gt;N(G273),"Livrat mai mult decât s-a comandat. ","")&amp;IF(N(I273)&gt;0.3,"Discount neobișnuit de mare. ","")))</f>
        <v/>
      </c>
    </row>
    <row r="274" spans="1:15" x14ac:dyDescent="0.2">
      <c r="A274" s="1" t="str">
        <f t="shared" si="32"/>
        <v/>
      </c>
      <c r="B274" s="17"/>
      <c r="C274" s="18" t="str">
        <f>IF(B274="","",COUNTIF(INDEX($B:$B,5):B274,B274))</f>
        <v/>
      </c>
      <c r="D274" s="17"/>
      <c r="E274" s="19" t="str">
        <f t="shared" si="33"/>
        <v/>
      </c>
      <c r="F274" s="18" t="str">
        <f t="shared" si="34"/>
        <v/>
      </c>
      <c r="G274" s="6"/>
      <c r="H274" s="20" t="str">
        <f t="shared" si="35"/>
        <v/>
      </c>
      <c r="I274" s="21"/>
      <c r="J274" s="22" t="str">
        <f t="shared" si="36"/>
        <v/>
      </c>
      <c r="K274" s="20" t="str">
        <f t="shared" si="37"/>
        <v/>
      </c>
      <c r="L274" s="20" t="str">
        <f t="shared" si="38"/>
        <v/>
      </c>
      <c r="M274" s="6"/>
      <c r="N274" s="19" t="str">
        <f t="shared" si="39"/>
        <v/>
      </c>
      <c r="O274" s="23" t="str">
        <f>IF(B274="","",TRIM(IF(COUNTIF('Registru comenzi'!$B$5:$B$304,B274)=0,"Comandă inexistentă în registru. ","")&amp;IF(AND(D274&lt;&gt;"",E274=""),"Cod necunoscut. ","")&amp;IF(N(G274)&lt;=0,"Lipsește cantitatea. ","")&amp;IF(N(M274)&gt;N(G274),"Livrat mai mult decât s-a comandat. ","")&amp;IF(N(I274)&gt;0.3,"Discount neobișnuit de mare. ","")))</f>
        <v/>
      </c>
    </row>
    <row r="275" spans="1:15" x14ac:dyDescent="0.2">
      <c r="A275" s="1" t="str">
        <f t="shared" si="32"/>
        <v/>
      </c>
      <c r="B275" s="17"/>
      <c r="C275" s="18" t="str">
        <f>IF(B275="","",COUNTIF(INDEX($B:$B,5):B275,B275))</f>
        <v/>
      </c>
      <c r="D275" s="17"/>
      <c r="E275" s="19" t="str">
        <f t="shared" si="33"/>
        <v/>
      </c>
      <c r="F275" s="18" t="str">
        <f t="shared" si="34"/>
        <v/>
      </c>
      <c r="G275" s="6"/>
      <c r="H275" s="20" t="str">
        <f t="shared" si="35"/>
        <v/>
      </c>
      <c r="I275" s="21"/>
      <c r="J275" s="22" t="str">
        <f t="shared" si="36"/>
        <v/>
      </c>
      <c r="K275" s="20" t="str">
        <f t="shared" si="37"/>
        <v/>
      </c>
      <c r="L275" s="20" t="str">
        <f t="shared" si="38"/>
        <v/>
      </c>
      <c r="M275" s="6"/>
      <c r="N275" s="19" t="str">
        <f t="shared" si="39"/>
        <v/>
      </c>
      <c r="O275" s="23" t="str">
        <f>IF(B275="","",TRIM(IF(COUNTIF('Registru comenzi'!$B$5:$B$304,B275)=0,"Comandă inexistentă în registru. ","")&amp;IF(AND(D275&lt;&gt;"",E275=""),"Cod necunoscut. ","")&amp;IF(N(G275)&lt;=0,"Lipsește cantitatea. ","")&amp;IF(N(M275)&gt;N(G275),"Livrat mai mult decât s-a comandat. ","")&amp;IF(N(I275)&gt;0.3,"Discount neobișnuit de mare. ","")))</f>
        <v/>
      </c>
    </row>
    <row r="276" spans="1:15" x14ac:dyDescent="0.2">
      <c r="A276" s="1" t="str">
        <f t="shared" si="32"/>
        <v/>
      </c>
      <c r="B276" s="17"/>
      <c r="C276" s="18" t="str">
        <f>IF(B276="","",COUNTIF(INDEX($B:$B,5):B276,B276))</f>
        <v/>
      </c>
      <c r="D276" s="17"/>
      <c r="E276" s="19" t="str">
        <f t="shared" si="33"/>
        <v/>
      </c>
      <c r="F276" s="18" t="str">
        <f t="shared" si="34"/>
        <v/>
      </c>
      <c r="G276" s="6"/>
      <c r="H276" s="20" t="str">
        <f t="shared" si="35"/>
        <v/>
      </c>
      <c r="I276" s="21"/>
      <c r="J276" s="22" t="str">
        <f t="shared" si="36"/>
        <v/>
      </c>
      <c r="K276" s="20" t="str">
        <f t="shared" si="37"/>
        <v/>
      </c>
      <c r="L276" s="20" t="str">
        <f t="shared" si="38"/>
        <v/>
      </c>
      <c r="M276" s="6"/>
      <c r="N276" s="19" t="str">
        <f t="shared" si="39"/>
        <v/>
      </c>
      <c r="O276" s="23" t="str">
        <f>IF(B276="","",TRIM(IF(COUNTIF('Registru comenzi'!$B$5:$B$304,B276)=0,"Comandă inexistentă în registru. ","")&amp;IF(AND(D276&lt;&gt;"",E276=""),"Cod necunoscut. ","")&amp;IF(N(G276)&lt;=0,"Lipsește cantitatea. ","")&amp;IF(N(M276)&gt;N(G276),"Livrat mai mult decât s-a comandat. ","")&amp;IF(N(I276)&gt;0.3,"Discount neobișnuit de mare. ","")))</f>
        <v/>
      </c>
    </row>
    <row r="277" spans="1:15" x14ac:dyDescent="0.2">
      <c r="A277" s="1" t="str">
        <f t="shared" si="32"/>
        <v/>
      </c>
      <c r="B277" s="17"/>
      <c r="C277" s="18" t="str">
        <f>IF(B277="","",COUNTIF(INDEX($B:$B,5):B277,B277))</f>
        <v/>
      </c>
      <c r="D277" s="17"/>
      <c r="E277" s="19" t="str">
        <f t="shared" si="33"/>
        <v/>
      </c>
      <c r="F277" s="18" t="str">
        <f t="shared" si="34"/>
        <v/>
      </c>
      <c r="G277" s="6"/>
      <c r="H277" s="20" t="str">
        <f t="shared" si="35"/>
        <v/>
      </c>
      <c r="I277" s="21"/>
      <c r="J277" s="22" t="str">
        <f t="shared" si="36"/>
        <v/>
      </c>
      <c r="K277" s="20" t="str">
        <f t="shared" si="37"/>
        <v/>
      </c>
      <c r="L277" s="20" t="str">
        <f t="shared" si="38"/>
        <v/>
      </c>
      <c r="M277" s="6"/>
      <c r="N277" s="19" t="str">
        <f t="shared" si="39"/>
        <v/>
      </c>
      <c r="O277" s="23" t="str">
        <f>IF(B277="","",TRIM(IF(COUNTIF('Registru comenzi'!$B$5:$B$304,B277)=0,"Comandă inexistentă în registru. ","")&amp;IF(AND(D277&lt;&gt;"",E277=""),"Cod necunoscut. ","")&amp;IF(N(G277)&lt;=0,"Lipsește cantitatea. ","")&amp;IF(N(M277)&gt;N(G277),"Livrat mai mult decât s-a comandat. ","")&amp;IF(N(I277)&gt;0.3,"Discount neobișnuit de mare. ","")))</f>
        <v/>
      </c>
    </row>
    <row r="278" spans="1:15" x14ac:dyDescent="0.2">
      <c r="A278" s="1" t="str">
        <f t="shared" si="32"/>
        <v/>
      </c>
      <c r="B278" s="17"/>
      <c r="C278" s="18" t="str">
        <f>IF(B278="","",COUNTIF(INDEX($B:$B,5):B278,B278))</f>
        <v/>
      </c>
      <c r="D278" s="17"/>
      <c r="E278" s="19" t="str">
        <f t="shared" si="33"/>
        <v/>
      </c>
      <c r="F278" s="18" t="str">
        <f t="shared" si="34"/>
        <v/>
      </c>
      <c r="G278" s="6"/>
      <c r="H278" s="20" t="str">
        <f t="shared" si="35"/>
        <v/>
      </c>
      <c r="I278" s="21"/>
      <c r="J278" s="22" t="str">
        <f t="shared" si="36"/>
        <v/>
      </c>
      <c r="K278" s="20" t="str">
        <f t="shared" si="37"/>
        <v/>
      </c>
      <c r="L278" s="20" t="str">
        <f t="shared" si="38"/>
        <v/>
      </c>
      <c r="M278" s="6"/>
      <c r="N278" s="19" t="str">
        <f t="shared" si="39"/>
        <v/>
      </c>
      <c r="O278" s="23" t="str">
        <f>IF(B278="","",TRIM(IF(COUNTIF('Registru comenzi'!$B$5:$B$304,B278)=0,"Comandă inexistentă în registru. ","")&amp;IF(AND(D278&lt;&gt;"",E278=""),"Cod necunoscut. ","")&amp;IF(N(G278)&lt;=0,"Lipsește cantitatea. ","")&amp;IF(N(M278)&gt;N(G278),"Livrat mai mult decât s-a comandat. ","")&amp;IF(N(I278)&gt;0.3,"Discount neobișnuit de mare. ","")))</f>
        <v/>
      </c>
    </row>
    <row r="279" spans="1:15" x14ac:dyDescent="0.2">
      <c r="A279" s="1" t="str">
        <f t="shared" si="32"/>
        <v/>
      </c>
      <c r="B279" s="17"/>
      <c r="C279" s="18" t="str">
        <f>IF(B279="","",COUNTIF(INDEX($B:$B,5):B279,B279))</f>
        <v/>
      </c>
      <c r="D279" s="17"/>
      <c r="E279" s="19" t="str">
        <f t="shared" si="33"/>
        <v/>
      </c>
      <c r="F279" s="18" t="str">
        <f t="shared" si="34"/>
        <v/>
      </c>
      <c r="G279" s="6"/>
      <c r="H279" s="20" t="str">
        <f t="shared" si="35"/>
        <v/>
      </c>
      <c r="I279" s="21"/>
      <c r="J279" s="22" t="str">
        <f t="shared" si="36"/>
        <v/>
      </c>
      <c r="K279" s="20" t="str">
        <f t="shared" si="37"/>
        <v/>
      </c>
      <c r="L279" s="20" t="str">
        <f t="shared" si="38"/>
        <v/>
      </c>
      <c r="M279" s="6"/>
      <c r="N279" s="19" t="str">
        <f t="shared" si="39"/>
        <v/>
      </c>
      <c r="O279" s="23" t="str">
        <f>IF(B279="","",TRIM(IF(COUNTIF('Registru comenzi'!$B$5:$B$304,B279)=0,"Comandă inexistentă în registru. ","")&amp;IF(AND(D279&lt;&gt;"",E279=""),"Cod necunoscut. ","")&amp;IF(N(G279)&lt;=0,"Lipsește cantitatea. ","")&amp;IF(N(M279)&gt;N(G279),"Livrat mai mult decât s-a comandat. ","")&amp;IF(N(I279)&gt;0.3,"Discount neobișnuit de mare. ","")))</f>
        <v/>
      </c>
    </row>
    <row r="280" spans="1:15" x14ac:dyDescent="0.2">
      <c r="A280" s="1" t="str">
        <f t="shared" si="32"/>
        <v/>
      </c>
      <c r="B280" s="17"/>
      <c r="C280" s="18" t="str">
        <f>IF(B280="","",COUNTIF(INDEX($B:$B,5):B280,B280))</f>
        <v/>
      </c>
      <c r="D280" s="17"/>
      <c r="E280" s="19" t="str">
        <f t="shared" si="33"/>
        <v/>
      </c>
      <c r="F280" s="18" t="str">
        <f t="shared" si="34"/>
        <v/>
      </c>
      <c r="G280" s="6"/>
      <c r="H280" s="20" t="str">
        <f t="shared" si="35"/>
        <v/>
      </c>
      <c r="I280" s="21"/>
      <c r="J280" s="22" t="str">
        <f t="shared" si="36"/>
        <v/>
      </c>
      <c r="K280" s="20" t="str">
        <f t="shared" si="37"/>
        <v/>
      </c>
      <c r="L280" s="20" t="str">
        <f t="shared" si="38"/>
        <v/>
      </c>
      <c r="M280" s="6"/>
      <c r="N280" s="19" t="str">
        <f t="shared" si="39"/>
        <v/>
      </c>
      <c r="O280" s="23" t="str">
        <f>IF(B280="","",TRIM(IF(COUNTIF('Registru comenzi'!$B$5:$B$304,B280)=0,"Comandă inexistentă în registru. ","")&amp;IF(AND(D280&lt;&gt;"",E280=""),"Cod necunoscut. ","")&amp;IF(N(G280)&lt;=0,"Lipsește cantitatea. ","")&amp;IF(N(M280)&gt;N(G280),"Livrat mai mult decât s-a comandat. ","")&amp;IF(N(I280)&gt;0.3,"Discount neobișnuit de mare. ","")))</f>
        <v/>
      </c>
    </row>
    <row r="281" spans="1:15" x14ac:dyDescent="0.2">
      <c r="A281" s="1" t="str">
        <f t="shared" si="32"/>
        <v/>
      </c>
      <c r="B281" s="17"/>
      <c r="C281" s="18" t="str">
        <f>IF(B281="","",COUNTIF(INDEX($B:$B,5):B281,B281))</f>
        <v/>
      </c>
      <c r="D281" s="17"/>
      <c r="E281" s="19" t="str">
        <f t="shared" si="33"/>
        <v/>
      </c>
      <c r="F281" s="18" t="str">
        <f t="shared" si="34"/>
        <v/>
      </c>
      <c r="G281" s="6"/>
      <c r="H281" s="20" t="str">
        <f t="shared" si="35"/>
        <v/>
      </c>
      <c r="I281" s="21"/>
      <c r="J281" s="22" t="str">
        <f t="shared" si="36"/>
        <v/>
      </c>
      <c r="K281" s="20" t="str">
        <f t="shared" si="37"/>
        <v/>
      </c>
      <c r="L281" s="20" t="str">
        <f t="shared" si="38"/>
        <v/>
      </c>
      <c r="M281" s="6"/>
      <c r="N281" s="19" t="str">
        <f t="shared" si="39"/>
        <v/>
      </c>
      <c r="O281" s="23" t="str">
        <f>IF(B281="","",TRIM(IF(COUNTIF('Registru comenzi'!$B$5:$B$304,B281)=0,"Comandă inexistentă în registru. ","")&amp;IF(AND(D281&lt;&gt;"",E281=""),"Cod necunoscut. ","")&amp;IF(N(G281)&lt;=0,"Lipsește cantitatea. ","")&amp;IF(N(M281)&gt;N(G281),"Livrat mai mult decât s-a comandat. ","")&amp;IF(N(I281)&gt;0.3,"Discount neobișnuit de mare. ","")))</f>
        <v/>
      </c>
    </row>
    <row r="282" spans="1:15" x14ac:dyDescent="0.2">
      <c r="A282" s="1" t="str">
        <f t="shared" si="32"/>
        <v/>
      </c>
      <c r="B282" s="17"/>
      <c r="C282" s="18" t="str">
        <f>IF(B282="","",COUNTIF(INDEX($B:$B,5):B282,B282))</f>
        <v/>
      </c>
      <c r="D282" s="17"/>
      <c r="E282" s="19" t="str">
        <f t="shared" si="33"/>
        <v/>
      </c>
      <c r="F282" s="18" t="str">
        <f t="shared" si="34"/>
        <v/>
      </c>
      <c r="G282" s="6"/>
      <c r="H282" s="20" t="str">
        <f t="shared" si="35"/>
        <v/>
      </c>
      <c r="I282" s="21"/>
      <c r="J282" s="22" t="str">
        <f t="shared" si="36"/>
        <v/>
      </c>
      <c r="K282" s="20" t="str">
        <f t="shared" si="37"/>
        <v/>
      </c>
      <c r="L282" s="20" t="str">
        <f t="shared" si="38"/>
        <v/>
      </c>
      <c r="M282" s="6"/>
      <c r="N282" s="19" t="str">
        <f t="shared" si="39"/>
        <v/>
      </c>
      <c r="O282" s="23" t="str">
        <f>IF(B282="","",TRIM(IF(COUNTIF('Registru comenzi'!$B$5:$B$304,B282)=0,"Comandă inexistentă în registru. ","")&amp;IF(AND(D282&lt;&gt;"",E282=""),"Cod necunoscut. ","")&amp;IF(N(G282)&lt;=0,"Lipsește cantitatea. ","")&amp;IF(N(M282)&gt;N(G282),"Livrat mai mult decât s-a comandat. ","")&amp;IF(N(I282)&gt;0.3,"Discount neobișnuit de mare. ","")))</f>
        <v/>
      </c>
    </row>
    <row r="283" spans="1:15" x14ac:dyDescent="0.2">
      <c r="A283" s="1" t="str">
        <f t="shared" si="32"/>
        <v/>
      </c>
      <c r="B283" s="17"/>
      <c r="C283" s="18" t="str">
        <f>IF(B283="","",COUNTIF(INDEX($B:$B,5):B283,B283))</f>
        <v/>
      </c>
      <c r="D283" s="17"/>
      <c r="E283" s="19" t="str">
        <f t="shared" si="33"/>
        <v/>
      </c>
      <c r="F283" s="18" t="str">
        <f t="shared" si="34"/>
        <v/>
      </c>
      <c r="G283" s="6"/>
      <c r="H283" s="20" t="str">
        <f t="shared" si="35"/>
        <v/>
      </c>
      <c r="I283" s="21"/>
      <c r="J283" s="22" t="str">
        <f t="shared" si="36"/>
        <v/>
      </c>
      <c r="K283" s="20" t="str">
        <f t="shared" si="37"/>
        <v/>
      </c>
      <c r="L283" s="20" t="str">
        <f t="shared" si="38"/>
        <v/>
      </c>
      <c r="M283" s="6"/>
      <c r="N283" s="19" t="str">
        <f t="shared" si="39"/>
        <v/>
      </c>
      <c r="O283" s="23" t="str">
        <f>IF(B283="","",TRIM(IF(COUNTIF('Registru comenzi'!$B$5:$B$304,B283)=0,"Comandă inexistentă în registru. ","")&amp;IF(AND(D283&lt;&gt;"",E283=""),"Cod necunoscut. ","")&amp;IF(N(G283)&lt;=0,"Lipsește cantitatea. ","")&amp;IF(N(M283)&gt;N(G283),"Livrat mai mult decât s-a comandat. ","")&amp;IF(N(I283)&gt;0.3,"Discount neobișnuit de mare. ","")))</f>
        <v/>
      </c>
    </row>
    <row r="284" spans="1:15" x14ac:dyDescent="0.2">
      <c r="A284" s="1" t="str">
        <f t="shared" si="32"/>
        <v/>
      </c>
      <c r="B284" s="17"/>
      <c r="C284" s="18" t="str">
        <f>IF(B284="","",COUNTIF(INDEX($B:$B,5):B284,B284))</f>
        <v/>
      </c>
      <c r="D284" s="17"/>
      <c r="E284" s="19" t="str">
        <f t="shared" si="33"/>
        <v/>
      </c>
      <c r="F284" s="18" t="str">
        <f t="shared" si="34"/>
        <v/>
      </c>
      <c r="G284" s="6"/>
      <c r="H284" s="20" t="str">
        <f t="shared" si="35"/>
        <v/>
      </c>
      <c r="I284" s="21"/>
      <c r="J284" s="22" t="str">
        <f t="shared" si="36"/>
        <v/>
      </c>
      <c r="K284" s="20" t="str">
        <f t="shared" si="37"/>
        <v/>
      </c>
      <c r="L284" s="20" t="str">
        <f t="shared" si="38"/>
        <v/>
      </c>
      <c r="M284" s="6"/>
      <c r="N284" s="19" t="str">
        <f t="shared" si="39"/>
        <v/>
      </c>
      <c r="O284" s="23" t="str">
        <f>IF(B284="","",TRIM(IF(COUNTIF('Registru comenzi'!$B$5:$B$304,B284)=0,"Comandă inexistentă în registru. ","")&amp;IF(AND(D284&lt;&gt;"",E284=""),"Cod necunoscut. ","")&amp;IF(N(G284)&lt;=0,"Lipsește cantitatea. ","")&amp;IF(N(M284)&gt;N(G284),"Livrat mai mult decât s-a comandat. ","")&amp;IF(N(I284)&gt;0.3,"Discount neobișnuit de mare. ","")))</f>
        <v/>
      </c>
    </row>
    <row r="285" spans="1:15" x14ac:dyDescent="0.2">
      <c r="A285" s="1" t="str">
        <f t="shared" si="32"/>
        <v/>
      </c>
      <c r="B285" s="17"/>
      <c r="C285" s="18" t="str">
        <f>IF(B285="","",COUNTIF(INDEX($B:$B,5):B285,B285))</f>
        <v/>
      </c>
      <c r="D285" s="17"/>
      <c r="E285" s="19" t="str">
        <f t="shared" si="33"/>
        <v/>
      </c>
      <c r="F285" s="18" t="str">
        <f t="shared" si="34"/>
        <v/>
      </c>
      <c r="G285" s="6"/>
      <c r="H285" s="20" t="str">
        <f t="shared" si="35"/>
        <v/>
      </c>
      <c r="I285" s="21"/>
      <c r="J285" s="22" t="str">
        <f t="shared" si="36"/>
        <v/>
      </c>
      <c r="K285" s="20" t="str">
        <f t="shared" si="37"/>
        <v/>
      </c>
      <c r="L285" s="20" t="str">
        <f t="shared" si="38"/>
        <v/>
      </c>
      <c r="M285" s="6"/>
      <c r="N285" s="19" t="str">
        <f t="shared" si="39"/>
        <v/>
      </c>
      <c r="O285" s="23" t="str">
        <f>IF(B285="","",TRIM(IF(COUNTIF('Registru comenzi'!$B$5:$B$304,B285)=0,"Comandă inexistentă în registru. ","")&amp;IF(AND(D285&lt;&gt;"",E285=""),"Cod necunoscut. ","")&amp;IF(N(G285)&lt;=0,"Lipsește cantitatea. ","")&amp;IF(N(M285)&gt;N(G285),"Livrat mai mult decât s-a comandat. ","")&amp;IF(N(I285)&gt;0.3,"Discount neobișnuit de mare. ","")))</f>
        <v/>
      </c>
    </row>
    <row r="286" spans="1:15" x14ac:dyDescent="0.2">
      <c r="A286" s="1" t="str">
        <f t="shared" si="32"/>
        <v/>
      </c>
      <c r="B286" s="17"/>
      <c r="C286" s="18" t="str">
        <f>IF(B286="","",COUNTIF(INDEX($B:$B,5):B286,B286))</f>
        <v/>
      </c>
      <c r="D286" s="17"/>
      <c r="E286" s="19" t="str">
        <f t="shared" si="33"/>
        <v/>
      </c>
      <c r="F286" s="18" t="str">
        <f t="shared" si="34"/>
        <v/>
      </c>
      <c r="G286" s="6"/>
      <c r="H286" s="20" t="str">
        <f t="shared" si="35"/>
        <v/>
      </c>
      <c r="I286" s="21"/>
      <c r="J286" s="22" t="str">
        <f t="shared" si="36"/>
        <v/>
      </c>
      <c r="K286" s="20" t="str">
        <f t="shared" si="37"/>
        <v/>
      </c>
      <c r="L286" s="20" t="str">
        <f t="shared" si="38"/>
        <v/>
      </c>
      <c r="M286" s="6"/>
      <c r="N286" s="19" t="str">
        <f t="shared" si="39"/>
        <v/>
      </c>
      <c r="O286" s="23" t="str">
        <f>IF(B286="","",TRIM(IF(COUNTIF('Registru comenzi'!$B$5:$B$304,B286)=0,"Comandă inexistentă în registru. ","")&amp;IF(AND(D286&lt;&gt;"",E286=""),"Cod necunoscut. ","")&amp;IF(N(G286)&lt;=0,"Lipsește cantitatea. ","")&amp;IF(N(M286)&gt;N(G286),"Livrat mai mult decât s-a comandat. ","")&amp;IF(N(I286)&gt;0.3,"Discount neobișnuit de mare. ","")))</f>
        <v/>
      </c>
    </row>
    <row r="287" spans="1:15" x14ac:dyDescent="0.2">
      <c r="A287" s="1" t="str">
        <f t="shared" si="32"/>
        <v/>
      </c>
      <c r="B287" s="17"/>
      <c r="C287" s="18" t="str">
        <f>IF(B287="","",COUNTIF(INDEX($B:$B,5):B287,B287))</f>
        <v/>
      </c>
      <c r="D287" s="17"/>
      <c r="E287" s="19" t="str">
        <f t="shared" si="33"/>
        <v/>
      </c>
      <c r="F287" s="18" t="str">
        <f t="shared" si="34"/>
        <v/>
      </c>
      <c r="G287" s="6"/>
      <c r="H287" s="20" t="str">
        <f t="shared" si="35"/>
        <v/>
      </c>
      <c r="I287" s="21"/>
      <c r="J287" s="22" t="str">
        <f t="shared" si="36"/>
        <v/>
      </c>
      <c r="K287" s="20" t="str">
        <f t="shared" si="37"/>
        <v/>
      </c>
      <c r="L287" s="20" t="str">
        <f t="shared" si="38"/>
        <v/>
      </c>
      <c r="M287" s="6"/>
      <c r="N287" s="19" t="str">
        <f t="shared" si="39"/>
        <v/>
      </c>
      <c r="O287" s="23" t="str">
        <f>IF(B287="","",TRIM(IF(COUNTIF('Registru comenzi'!$B$5:$B$304,B287)=0,"Comandă inexistentă în registru. ","")&amp;IF(AND(D287&lt;&gt;"",E287=""),"Cod necunoscut. ","")&amp;IF(N(G287)&lt;=0,"Lipsește cantitatea. ","")&amp;IF(N(M287)&gt;N(G287),"Livrat mai mult decât s-a comandat. ","")&amp;IF(N(I287)&gt;0.3,"Discount neobișnuit de mare. ","")))</f>
        <v/>
      </c>
    </row>
    <row r="288" spans="1:15" x14ac:dyDescent="0.2">
      <c r="A288" s="1" t="str">
        <f t="shared" si="32"/>
        <v/>
      </c>
      <c r="B288" s="17"/>
      <c r="C288" s="18" t="str">
        <f>IF(B288="","",COUNTIF(INDEX($B:$B,5):B288,B288))</f>
        <v/>
      </c>
      <c r="D288" s="17"/>
      <c r="E288" s="19" t="str">
        <f t="shared" si="33"/>
        <v/>
      </c>
      <c r="F288" s="18" t="str">
        <f t="shared" si="34"/>
        <v/>
      </c>
      <c r="G288" s="6"/>
      <c r="H288" s="20" t="str">
        <f t="shared" si="35"/>
        <v/>
      </c>
      <c r="I288" s="21"/>
      <c r="J288" s="22" t="str">
        <f t="shared" si="36"/>
        <v/>
      </c>
      <c r="K288" s="20" t="str">
        <f t="shared" si="37"/>
        <v/>
      </c>
      <c r="L288" s="20" t="str">
        <f t="shared" si="38"/>
        <v/>
      </c>
      <c r="M288" s="6"/>
      <c r="N288" s="19" t="str">
        <f t="shared" si="39"/>
        <v/>
      </c>
      <c r="O288" s="23" t="str">
        <f>IF(B288="","",TRIM(IF(COUNTIF('Registru comenzi'!$B$5:$B$304,B288)=0,"Comandă inexistentă în registru. ","")&amp;IF(AND(D288&lt;&gt;"",E288=""),"Cod necunoscut. ","")&amp;IF(N(G288)&lt;=0,"Lipsește cantitatea. ","")&amp;IF(N(M288)&gt;N(G288),"Livrat mai mult decât s-a comandat. ","")&amp;IF(N(I288)&gt;0.3,"Discount neobișnuit de mare. ","")))</f>
        <v/>
      </c>
    </row>
    <row r="289" spans="1:15" x14ac:dyDescent="0.2">
      <c r="A289" s="1" t="str">
        <f t="shared" si="32"/>
        <v/>
      </c>
      <c r="B289" s="17"/>
      <c r="C289" s="18" t="str">
        <f>IF(B289="","",COUNTIF(INDEX($B:$B,5):B289,B289))</f>
        <v/>
      </c>
      <c r="D289" s="17"/>
      <c r="E289" s="19" t="str">
        <f t="shared" si="33"/>
        <v/>
      </c>
      <c r="F289" s="18" t="str">
        <f t="shared" si="34"/>
        <v/>
      </c>
      <c r="G289" s="6"/>
      <c r="H289" s="20" t="str">
        <f t="shared" si="35"/>
        <v/>
      </c>
      <c r="I289" s="21"/>
      <c r="J289" s="22" t="str">
        <f t="shared" si="36"/>
        <v/>
      </c>
      <c r="K289" s="20" t="str">
        <f t="shared" si="37"/>
        <v/>
      </c>
      <c r="L289" s="20" t="str">
        <f t="shared" si="38"/>
        <v/>
      </c>
      <c r="M289" s="6"/>
      <c r="N289" s="19" t="str">
        <f t="shared" si="39"/>
        <v/>
      </c>
      <c r="O289" s="23" t="str">
        <f>IF(B289="","",TRIM(IF(COUNTIF('Registru comenzi'!$B$5:$B$304,B289)=0,"Comandă inexistentă în registru. ","")&amp;IF(AND(D289&lt;&gt;"",E289=""),"Cod necunoscut. ","")&amp;IF(N(G289)&lt;=0,"Lipsește cantitatea. ","")&amp;IF(N(M289)&gt;N(G289),"Livrat mai mult decât s-a comandat. ","")&amp;IF(N(I289)&gt;0.3,"Discount neobișnuit de mare. ","")))</f>
        <v/>
      </c>
    </row>
    <row r="290" spans="1:15" x14ac:dyDescent="0.2">
      <c r="A290" s="1" t="str">
        <f t="shared" si="32"/>
        <v/>
      </c>
      <c r="B290" s="17"/>
      <c r="C290" s="18" t="str">
        <f>IF(B290="","",COUNTIF(INDEX($B:$B,5):B290,B290))</f>
        <v/>
      </c>
      <c r="D290" s="17"/>
      <c r="E290" s="19" t="str">
        <f t="shared" si="33"/>
        <v/>
      </c>
      <c r="F290" s="18" t="str">
        <f t="shared" si="34"/>
        <v/>
      </c>
      <c r="G290" s="6"/>
      <c r="H290" s="20" t="str">
        <f t="shared" si="35"/>
        <v/>
      </c>
      <c r="I290" s="21"/>
      <c r="J290" s="22" t="str">
        <f t="shared" si="36"/>
        <v/>
      </c>
      <c r="K290" s="20" t="str">
        <f t="shared" si="37"/>
        <v/>
      </c>
      <c r="L290" s="20" t="str">
        <f t="shared" si="38"/>
        <v/>
      </c>
      <c r="M290" s="6"/>
      <c r="N290" s="19" t="str">
        <f t="shared" si="39"/>
        <v/>
      </c>
      <c r="O290" s="23" t="str">
        <f>IF(B290="","",TRIM(IF(COUNTIF('Registru comenzi'!$B$5:$B$304,B290)=0,"Comandă inexistentă în registru. ","")&amp;IF(AND(D290&lt;&gt;"",E290=""),"Cod necunoscut. ","")&amp;IF(N(G290)&lt;=0,"Lipsește cantitatea. ","")&amp;IF(N(M290)&gt;N(G290),"Livrat mai mult decât s-a comandat. ","")&amp;IF(N(I290)&gt;0.3,"Discount neobișnuit de mare. ","")))</f>
        <v/>
      </c>
    </row>
    <row r="291" spans="1:15" x14ac:dyDescent="0.2">
      <c r="A291" s="1" t="str">
        <f t="shared" si="32"/>
        <v/>
      </c>
      <c r="B291" s="17"/>
      <c r="C291" s="18" t="str">
        <f>IF(B291="","",COUNTIF(INDEX($B:$B,5):B291,B291))</f>
        <v/>
      </c>
      <c r="D291" s="17"/>
      <c r="E291" s="19" t="str">
        <f t="shared" si="33"/>
        <v/>
      </c>
      <c r="F291" s="18" t="str">
        <f t="shared" si="34"/>
        <v/>
      </c>
      <c r="G291" s="6"/>
      <c r="H291" s="20" t="str">
        <f t="shared" si="35"/>
        <v/>
      </c>
      <c r="I291" s="21"/>
      <c r="J291" s="22" t="str">
        <f t="shared" si="36"/>
        <v/>
      </c>
      <c r="K291" s="20" t="str">
        <f t="shared" si="37"/>
        <v/>
      </c>
      <c r="L291" s="20" t="str">
        <f t="shared" si="38"/>
        <v/>
      </c>
      <c r="M291" s="6"/>
      <c r="N291" s="19" t="str">
        <f t="shared" si="39"/>
        <v/>
      </c>
      <c r="O291" s="23" t="str">
        <f>IF(B291="","",TRIM(IF(COUNTIF('Registru comenzi'!$B$5:$B$304,B291)=0,"Comandă inexistentă în registru. ","")&amp;IF(AND(D291&lt;&gt;"",E291=""),"Cod necunoscut. ","")&amp;IF(N(G291)&lt;=0,"Lipsește cantitatea. ","")&amp;IF(N(M291)&gt;N(G291),"Livrat mai mult decât s-a comandat. ","")&amp;IF(N(I291)&gt;0.3,"Discount neobișnuit de mare. ","")))</f>
        <v/>
      </c>
    </row>
    <row r="292" spans="1:15" x14ac:dyDescent="0.2">
      <c r="A292" s="1" t="str">
        <f t="shared" si="32"/>
        <v/>
      </c>
      <c r="B292" s="17"/>
      <c r="C292" s="18" t="str">
        <f>IF(B292="","",COUNTIF(INDEX($B:$B,5):B292,B292))</f>
        <v/>
      </c>
      <c r="D292" s="17"/>
      <c r="E292" s="19" t="str">
        <f t="shared" si="33"/>
        <v/>
      </c>
      <c r="F292" s="18" t="str">
        <f t="shared" si="34"/>
        <v/>
      </c>
      <c r="G292" s="6"/>
      <c r="H292" s="20" t="str">
        <f t="shared" si="35"/>
        <v/>
      </c>
      <c r="I292" s="21"/>
      <c r="J292" s="22" t="str">
        <f t="shared" si="36"/>
        <v/>
      </c>
      <c r="K292" s="20" t="str">
        <f t="shared" si="37"/>
        <v/>
      </c>
      <c r="L292" s="20" t="str">
        <f t="shared" si="38"/>
        <v/>
      </c>
      <c r="M292" s="6"/>
      <c r="N292" s="19" t="str">
        <f t="shared" si="39"/>
        <v/>
      </c>
      <c r="O292" s="23" t="str">
        <f>IF(B292="","",TRIM(IF(COUNTIF('Registru comenzi'!$B$5:$B$304,B292)=0,"Comandă inexistentă în registru. ","")&amp;IF(AND(D292&lt;&gt;"",E292=""),"Cod necunoscut. ","")&amp;IF(N(G292)&lt;=0,"Lipsește cantitatea. ","")&amp;IF(N(M292)&gt;N(G292),"Livrat mai mult decât s-a comandat. ","")&amp;IF(N(I292)&gt;0.3,"Discount neobișnuit de mare. ","")))</f>
        <v/>
      </c>
    </row>
    <row r="293" spans="1:15" x14ac:dyDescent="0.2">
      <c r="A293" s="1" t="str">
        <f t="shared" si="32"/>
        <v/>
      </c>
      <c r="B293" s="17"/>
      <c r="C293" s="18" t="str">
        <f>IF(B293="","",COUNTIF(INDEX($B:$B,5):B293,B293))</f>
        <v/>
      </c>
      <c r="D293" s="17"/>
      <c r="E293" s="19" t="str">
        <f t="shared" si="33"/>
        <v/>
      </c>
      <c r="F293" s="18" t="str">
        <f t="shared" si="34"/>
        <v/>
      </c>
      <c r="G293" s="6"/>
      <c r="H293" s="20" t="str">
        <f t="shared" si="35"/>
        <v/>
      </c>
      <c r="I293" s="21"/>
      <c r="J293" s="22" t="str">
        <f t="shared" si="36"/>
        <v/>
      </c>
      <c r="K293" s="20" t="str">
        <f t="shared" si="37"/>
        <v/>
      </c>
      <c r="L293" s="20" t="str">
        <f t="shared" si="38"/>
        <v/>
      </c>
      <c r="M293" s="6"/>
      <c r="N293" s="19" t="str">
        <f t="shared" si="39"/>
        <v/>
      </c>
      <c r="O293" s="23" t="str">
        <f>IF(B293="","",TRIM(IF(COUNTIF('Registru comenzi'!$B$5:$B$304,B293)=0,"Comandă inexistentă în registru. ","")&amp;IF(AND(D293&lt;&gt;"",E293=""),"Cod necunoscut. ","")&amp;IF(N(G293)&lt;=0,"Lipsește cantitatea. ","")&amp;IF(N(M293)&gt;N(G293),"Livrat mai mult decât s-a comandat. ","")&amp;IF(N(I293)&gt;0.3,"Discount neobișnuit de mare. ","")))</f>
        <v/>
      </c>
    </row>
    <row r="294" spans="1:15" x14ac:dyDescent="0.2">
      <c r="A294" s="1" t="str">
        <f t="shared" si="32"/>
        <v/>
      </c>
      <c r="B294" s="17"/>
      <c r="C294" s="18" t="str">
        <f>IF(B294="","",COUNTIF(INDEX($B:$B,5):B294,B294))</f>
        <v/>
      </c>
      <c r="D294" s="17"/>
      <c r="E294" s="19" t="str">
        <f t="shared" si="33"/>
        <v/>
      </c>
      <c r="F294" s="18" t="str">
        <f t="shared" si="34"/>
        <v/>
      </c>
      <c r="G294" s="6"/>
      <c r="H294" s="20" t="str">
        <f t="shared" si="35"/>
        <v/>
      </c>
      <c r="I294" s="21"/>
      <c r="J294" s="22" t="str">
        <f t="shared" si="36"/>
        <v/>
      </c>
      <c r="K294" s="20" t="str">
        <f t="shared" si="37"/>
        <v/>
      </c>
      <c r="L294" s="20" t="str">
        <f t="shared" si="38"/>
        <v/>
      </c>
      <c r="M294" s="6"/>
      <c r="N294" s="19" t="str">
        <f t="shared" si="39"/>
        <v/>
      </c>
      <c r="O294" s="23" t="str">
        <f>IF(B294="","",TRIM(IF(COUNTIF('Registru comenzi'!$B$5:$B$304,B294)=0,"Comandă inexistentă în registru. ","")&amp;IF(AND(D294&lt;&gt;"",E294=""),"Cod necunoscut. ","")&amp;IF(N(G294)&lt;=0,"Lipsește cantitatea. ","")&amp;IF(N(M294)&gt;N(G294),"Livrat mai mult decât s-a comandat. ","")&amp;IF(N(I294)&gt;0.3,"Discount neobișnuit de mare. ","")))</f>
        <v/>
      </c>
    </row>
    <row r="295" spans="1:15" x14ac:dyDescent="0.2">
      <c r="A295" s="1" t="str">
        <f t="shared" si="32"/>
        <v/>
      </c>
      <c r="B295" s="17"/>
      <c r="C295" s="18" t="str">
        <f>IF(B295="","",COUNTIF(INDEX($B:$B,5):B295,B295))</f>
        <v/>
      </c>
      <c r="D295" s="17"/>
      <c r="E295" s="19" t="str">
        <f t="shared" si="33"/>
        <v/>
      </c>
      <c r="F295" s="18" t="str">
        <f t="shared" si="34"/>
        <v/>
      </c>
      <c r="G295" s="6"/>
      <c r="H295" s="20" t="str">
        <f t="shared" si="35"/>
        <v/>
      </c>
      <c r="I295" s="21"/>
      <c r="J295" s="22" t="str">
        <f t="shared" si="36"/>
        <v/>
      </c>
      <c r="K295" s="20" t="str">
        <f t="shared" si="37"/>
        <v/>
      </c>
      <c r="L295" s="20" t="str">
        <f t="shared" si="38"/>
        <v/>
      </c>
      <c r="M295" s="6"/>
      <c r="N295" s="19" t="str">
        <f t="shared" si="39"/>
        <v/>
      </c>
      <c r="O295" s="23" t="str">
        <f>IF(B295="","",TRIM(IF(COUNTIF('Registru comenzi'!$B$5:$B$304,B295)=0,"Comandă inexistentă în registru. ","")&amp;IF(AND(D295&lt;&gt;"",E295=""),"Cod necunoscut. ","")&amp;IF(N(G295)&lt;=0,"Lipsește cantitatea. ","")&amp;IF(N(M295)&gt;N(G295),"Livrat mai mult decât s-a comandat. ","")&amp;IF(N(I295)&gt;0.3,"Discount neobișnuit de mare. ","")))</f>
        <v/>
      </c>
    </row>
    <row r="296" spans="1:15" x14ac:dyDescent="0.2">
      <c r="A296" s="1" t="str">
        <f t="shared" si="32"/>
        <v/>
      </c>
      <c r="B296" s="17"/>
      <c r="C296" s="18" t="str">
        <f>IF(B296="","",COUNTIF(INDEX($B:$B,5):B296,B296))</f>
        <v/>
      </c>
      <c r="D296" s="17"/>
      <c r="E296" s="19" t="str">
        <f t="shared" si="33"/>
        <v/>
      </c>
      <c r="F296" s="18" t="str">
        <f t="shared" si="34"/>
        <v/>
      </c>
      <c r="G296" s="6"/>
      <c r="H296" s="20" t="str">
        <f t="shared" si="35"/>
        <v/>
      </c>
      <c r="I296" s="21"/>
      <c r="J296" s="22" t="str">
        <f t="shared" si="36"/>
        <v/>
      </c>
      <c r="K296" s="20" t="str">
        <f t="shared" si="37"/>
        <v/>
      </c>
      <c r="L296" s="20" t="str">
        <f t="shared" si="38"/>
        <v/>
      </c>
      <c r="M296" s="6"/>
      <c r="N296" s="19" t="str">
        <f t="shared" si="39"/>
        <v/>
      </c>
      <c r="O296" s="23" t="str">
        <f>IF(B296="","",TRIM(IF(COUNTIF('Registru comenzi'!$B$5:$B$304,B296)=0,"Comandă inexistentă în registru. ","")&amp;IF(AND(D296&lt;&gt;"",E296=""),"Cod necunoscut. ","")&amp;IF(N(G296)&lt;=0,"Lipsește cantitatea. ","")&amp;IF(N(M296)&gt;N(G296),"Livrat mai mult decât s-a comandat. ","")&amp;IF(N(I296)&gt;0.3,"Discount neobișnuit de mare. ","")))</f>
        <v/>
      </c>
    </row>
    <row r="297" spans="1:15" x14ac:dyDescent="0.2">
      <c r="A297" s="1" t="str">
        <f t="shared" si="32"/>
        <v/>
      </c>
      <c r="B297" s="17"/>
      <c r="C297" s="18" t="str">
        <f>IF(B297="","",COUNTIF(INDEX($B:$B,5):B297,B297))</f>
        <v/>
      </c>
      <c r="D297" s="17"/>
      <c r="E297" s="19" t="str">
        <f t="shared" si="33"/>
        <v/>
      </c>
      <c r="F297" s="18" t="str">
        <f t="shared" si="34"/>
        <v/>
      </c>
      <c r="G297" s="6"/>
      <c r="H297" s="20" t="str">
        <f t="shared" si="35"/>
        <v/>
      </c>
      <c r="I297" s="21"/>
      <c r="J297" s="22" t="str">
        <f t="shared" si="36"/>
        <v/>
      </c>
      <c r="K297" s="20" t="str">
        <f t="shared" si="37"/>
        <v/>
      </c>
      <c r="L297" s="20" t="str">
        <f t="shared" si="38"/>
        <v/>
      </c>
      <c r="M297" s="6"/>
      <c r="N297" s="19" t="str">
        <f t="shared" si="39"/>
        <v/>
      </c>
      <c r="O297" s="23" t="str">
        <f>IF(B297="","",TRIM(IF(COUNTIF('Registru comenzi'!$B$5:$B$304,B297)=0,"Comandă inexistentă în registru. ","")&amp;IF(AND(D297&lt;&gt;"",E297=""),"Cod necunoscut. ","")&amp;IF(N(G297)&lt;=0,"Lipsește cantitatea. ","")&amp;IF(N(M297)&gt;N(G297),"Livrat mai mult decât s-a comandat. ","")&amp;IF(N(I297)&gt;0.3,"Discount neobișnuit de mare. ","")))</f>
        <v/>
      </c>
    </row>
    <row r="298" spans="1:15" x14ac:dyDescent="0.2">
      <c r="A298" s="1" t="str">
        <f t="shared" si="32"/>
        <v/>
      </c>
      <c r="B298" s="17"/>
      <c r="C298" s="18" t="str">
        <f>IF(B298="","",COUNTIF(INDEX($B:$B,5):B298,B298))</f>
        <v/>
      </c>
      <c r="D298" s="17"/>
      <c r="E298" s="19" t="str">
        <f t="shared" si="33"/>
        <v/>
      </c>
      <c r="F298" s="18" t="str">
        <f t="shared" si="34"/>
        <v/>
      </c>
      <c r="G298" s="6"/>
      <c r="H298" s="20" t="str">
        <f t="shared" si="35"/>
        <v/>
      </c>
      <c r="I298" s="21"/>
      <c r="J298" s="22" t="str">
        <f t="shared" si="36"/>
        <v/>
      </c>
      <c r="K298" s="20" t="str">
        <f t="shared" si="37"/>
        <v/>
      </c>
      <c r="L298" s="20" t="str">
        <f t="shared" si="38"/>
        <v/>
      </c>
      <c r="M298" s="6"/>
      <c r="N298" s="19" t="str">
        <f t="shared" si="39"/>
        <v/>
      </c>
      <c r="O298" s="23" t="str">
        <f>IF(B298="","",TRIM(IF(COUNTIF('Registru comenzi'!$B$5:$B$304,B298)=0,"Comandă inexistentă în registru. ","")&amp;IF(AND(D298&lt;&gt;"",E298=""),"Cod necunoscut. ","")&amp;IF(N(G298)&lt;=0,"Lipsește cantitatea. ","")&amp;IF(N(M298)&gt;N(G298),"Livrat mai mult decât s-a comandat. ","")&amp;IF(N(I298)&gt;0.3,"Discount neobișnuit de mare. ","")))</f>
        <v/>
      </c>
    </row>
    <row r="299" spans="1:15" x14ac:dyDescent="0.2">
      <c r="A299" s="1" t="str">
        <f t="shared" si="32"/>
        <v/>
      </c>
      <c r="B299" s="17"/>
      <c r="C299" s="18" t="str">
        <f>IF(B299="","",COUNTIF(INDEX($B:$B,5):B299,B299))</f>
        <v/>
      </c>
      <c r="D299" s="17"/>
      <c r="E299" s="19" t="str">
        <f t="shared" si="33"/>
        <v/>
      </c>
      <c r="F299" s="18" t="str">
        <f t="shared" si="34"/>
        <v/>
      </c>
      <c r="G299" s="6"/>
      <c r="H299" s="20" t="str">
        <f t="shared" si="35"/>
        <v/>
      </c>
      <c r="I299" s="21"/>
      <c r="J299" s="22" t="str">
        <f t="shared" si="36"/>
        <v/>
      </c>
      <c r="K299" s="20" t="str">
        <f t="shared" si="37"/>
        <v/>
      </c>
      <c r="L299" s="20" t="str">
        <f t="shared" si="38"/>
        <v/>
      </c>
      <c r="M299" s="6"/>
      <c r="N299" s="19" t="str">
        <f t="shared" si="39"/>
        <v/>
      </c>
      <c r="O299" s="23" t="str">
        <f>IF(B299="","",TRIM(IF(COUNTIF('Registru comenzi'!$B$5:$B$304,B299)=0,"Comandă inexistentă în registru. ","")&amp;IF(AND(D299&lt;&gt;"",E299=""),"Cod necunoscut. ","")&amp;IF(N(G299)&lt;=0,"Lipsește cantitatea. ","")&amp;IF(N(M299)&gt;N(G299),"Livrat mai mult decât s-a comandat. ","")&amp;IF(N(I299)&gt;0.3,"Discount neobișnuit de mare. ","")))</f>
        <v/>
      </c>
    </row>
    <row r="300" spans="1:15" x14ac:dyDescent="0.2">
      <c r="A300" s="1" t="str">
        <f t="shared" si="32"/>
        <v/>
      </c>
      <c r="B300" s="17"/>
      <c r="C300" s="18" t="str">
        <f>IF(B300="","",COUNTIF(INDEX($B:$B,5):B300,B300))</f>
        <v/>
      </c>
      <c r="D300" s="17"/>
      <c r="E300" s="19" t="str">
        <f t="shared" si="33"/>
        <v/>
      </c>
      <c r="F300" s="18" t="str">
        <f t="shared" si="34"/>
        <v/>
      </c>
      <c r="G300" s="6"/>
      <c r="H300" s="20" t="str">
        <f t="shared" si="35"/>
        <v/>
      </c>
      <c r="I300" s="21"/>
      <c r="J300" s="22" t="str">
        <f t="shared" si="36"/>
        <v/>
      </c>
      <c r="K300" s="20" t="str">
        <f t="shared" si="37"/>
        <v/>
      </c>
      <c r="L300" s="20" t="str">
        <f t="shared" si="38"/>
        <v/>
      </c>
      <c r="M300" s="6"/>
      <c r="N300" s="19" t="str">
        <f t="shared" si="39"/>
        <v/>
      </c>
      <c r="O300" s="23" t="str">
        <f>IF(B300="","",TRIM(IF(COUNTIF('Registru comenzi'!$B$5:$B$304,B300)=0,"Comandă inexistentă în registru. ","")&amp;IF(AND(D300&lt;&gt;"",E300=""),"Cod necunoscut. ","")&amp;IF(N(G300)&lt;=0,"Lipsește cantitatea. ","")&amp;IF(N(M300)&gt;N(G300),"Livrat mai mult decât s-a comandat. ","")&amp;IF(N(I300)&gt;0.3,"Discount neobișnuit de mare. ","")))</f>
        <v/>
      </c>
    </row>
    <row r="301" spans="1:15" x14ac:dyDescent="0.2">
      <c r="A301" s="1" t="str">
        <f t="shared" si="32"/>
        <v/>
      </c>
      <c r="B301" s="17"/>
      <c r="C301" s="18" t="str">
        <f>IF(B301="","",COUNTIF(INDEX($B:$B,5):B301,B301))</f>
        <v/>
      </c>
      <c r="D301" s="17"/>
      <c r="E301" s="19" t="str">
        <f t="shared" si="33"/>
        <v/>
      </c>
      <c r="F301" s="18" t="str">
        <f t="shared" si="34"/>
        <v/>
      </c>
      <c r="G301" s="6"/>
      <c r="H301" s="20" t="str">
        <f t="shared" si="35"/>
        <v/>
      </c>
      <c r="I301" s="21"/>
      <c r="J301" s="22" t="str">
        <f t="shared" si="36"/>
        <v/>
      </c>
      <c r="K301" s="20" t="str">
        <f t="shared" si="37"/>
        <v/>
      </c>
      <c r="L301" s="20" t="str">
        <f t="shared" si="38"/>
        <v/>
      </c>
      <c r="M301" s="6"/>
      <c r="N301" s="19" t="str">
        <f t="shared" si="39"/>
        <v/>
      </c>
      <c r="O301" s="23" t="str">
        <f>IF(B301="","",TRIM(IF(COUNTIF('Registru comenzi'!$B$5:$B$304,B301)=0,"Comandă inexistentă în registru. ","")&amp;IF(AND(D301&lt;&gt;"",E301=""),"Cod necunoscut. ","")&amp;IF(N(G301)&lt;=0,"Lipsește cantitatea. ","")&amp;IF(N(M301)&gt;N(G301),"Livrat mai mult decât s-a comandat. ","")&amp;IF(N(I301)&gt;0.3,"Discount neobișnuit de mare. ","")))</f>
        <v/>
      </c>
    </row>
    <row r="302" spans="1:15" x14ac:dyDescent="0.2">
      <c r="A302" s="1" t="str">
        <f t="shared" si="32"/>
        <v/>
      </c>
      <c r="B302" s="17"/>
      <c r="C302" s="18" t="str">
        <f>IF(B302="","",COUNTIF(INDEX($B:$B,5):B302,B302))</f>
        <v/>
      </c>
      <c r="D302" s="17"/>
      <c r="E302" s="19" t="str">
        <f t="shared" si="33"/>
        <v/>
      </c>
      <c r="F302" s="18" t="str">
        <f t="shared" si="34"/>
        <v/>
      </c>
      <c r="G302" s="6"/>
      <c r="H302" s="20" t="str">
        <f t="shared" si="35"/>
        <v/>
      </c>
      <c r="I302" s="21"/>
      <c r="J302" s="22" t="str">
        <f t="shared" si="36"/>
        <v/>
      </c>
      <c r="K302" s="20" t="str">
        <f t="shared" si="37"/>
        <v/>
      </c>
      <c r="L302" s="20" t="str">
        <f t="shared" si="38"/>
        <v/>
      </c>
      <c r="M302" s="6"/>
      <c r="N302" s="19" t="str">
        <f t="shared" si="39"/>
        <v/>
      </c>
      <c r="O302" s="23" t="str">
        <f>IF(B302="","",TRIM(IF(COUNTIF('Registru comenzi'!$B$5:$B$304,B302)=0,"Comandă inexistentă în registru. ","")&amp;IF(AND(D302&lt;&gt;"",E302=""),"Cod necunoscut. ","")&amp;IF(N(G302)&lt;=0,"Lipsește cantitatea. ","")&amp;IF(N(M302)&gt;N(G302),"Livrat mai mult decât s-a comandat. ","")&amp;IF(N(I302)&gt;0.3,"Discount neobișnuit de mare. ","")))</f>
        <v/>
      </c>
    </row>
    <row r="303" spans="1:15" x14ac:dyDescent="0.2">
      <c r="A303" s="1" t="str">
        <f t="shared" si="32"/>
        <v/>
      </c>
      <c r="B303" s="17"/>
      <c r="C303" s="18" t="str">
        <f>IF(B303="","",COUNTIF(INDEX($B:$B,5):B303,B303))</f>
        <v/>
      </c>
      <c r="D303" s="17"/>
      <c r="E303" s="19" t="str">
        <f t="shared" si="33"/>
        <v/>
      </c>
      <c r="F303" s="18" t="str">
        <f t="shared" si="34"/>
        <v/>
      </c>
      <c r="G303" s="6"/>
      <c r="H303" s="20" t="str">
        <f t="shared" si="35"/>
        <v/>
      </c>
      <c r="I303" s="21"/>
      <c r="J303" s="22" t="str">
        <f t="shared" si="36"/>
        <v/>
      </c>
      <c r="K303" s="20" t="str">
        <f t="shared" si="37"/>
        <v/>
      </c>
      <c r="L303" s="20" t="str">
        <f t="shared" si="38"/>
        <v/>
      </c>
      <c r="M303" s="6"/>
      <c r="N303" s="19" t="str">
        <f t="shared" si="39"/>
        <v/>
      </c>
      <c r="O303" s="23" t="str">
        <f>IF(B303="","",TRIM(IF(COUNTIF('Registru comenzi'!$B$5:$B$304,B303)=0,"Comandă inexistentă în registru. ","")&amp;IF(AND(D303&lt;&gt;"",E303=""),"Cod necunoscut. ","")&amp;IF(N(G303)&lt;=0,"Lipsește cantitatea. ","")&amp;IF(N(M303)&gt;N(G303),"Livrat mai mult decât s-a comandat. ","")&amp;IF(N(I303)&gt;0.3,"Discount neobișnuit de mare. ","")))</f>
        <v/>
      </c>
    </row>
    <row r="304" spans="1:15" x14ac:dyDescent="0.2">
      <c r="A304" s="1" t="str">
        <f t="shared" si="32"/>
        <v/>
      </c>
      <c r="B304" s="17"/>
      <c r="C304" s="18" t="str">
        <f>IF(B304="","",COUNTIF(INDEX($B:$B,5):B304,B304))</f>
        <v/>
      </c>
      <c r="D304" s="17"/>
      <c r="E304" s="19" t="str">
        <f t="shared" si="33"/>
        <v/>
      </c>
      <c r="F304" s="18" t="str">
        <f t="shared" si="34"/>
        <v/>
      </c>
      <c r="G304" s="6"/>
      <c r="H304" s="20" t="str">
        <f t="shared" si="35"/>
        <v/>
      </c>
      <c r="I304" s="21"/>
      <c r="J304" s="22" t="str">
        <f t="shared" si="36"/>
        <v/>
      </c>
      <c r="K304" s="20" t="str">
        <f t="shared" si="37"/>
        <v/>
      </c>
      <c r="L304" s="20" t="str">
        <f t="shared" si="38"/>
        <v/>
      </c>
      <c r="M304" s="6"/>
      <c r="N304" s="19" t="str">
        <f t="shared" si="39"/>
        <v/>
      </c>
      <c r="O304" s="23" t="str">
        <f>IF(B304="","",TRIM(IF(COUNTIF('Registru comenzi'!$B$5:$B$304,B304)=0,"Comandă inexistentă în registru. ","")&amp;IF(AND(D304&lt;&gt;"",E304=""),"Cod necunoscut. ","")&amp;IF(N(G304)&lt;=0,"Lipsește cantitatea. ","")&amp;IF(N(M304)&gt;N(G304),"Livrat mai mult decât s-a comandat. ","")&amp;IF(N(I304)&gt;0.3,"Discount neobișnuit de mare. ","")))</f>
        <v/>
      </c>
    </row>
    <row r="305" spans="1:15" x14ac:dyDescent="0.2">
      <c r="A305" s="1" t="str">
        <f t="shared" si="32"/>
        <v/>
      </c>
      <c r="B305" s="17"/>
      <c r="C305" s="18" t="str">
        <f>IF(B305="","",COUNTIF(INDEX($B:$B,5):B305,B305))</f>
        <v/>
      </c>
      <c r="D305" s="17"/>
      <c r="E305" s="19" t="str">
        <f t="shared" si="33"/>
        <v/>
      </c>
      <c r="F305" s="18" t="str">
        <f t="shared" si="34"/>
        <v/>
      </c>
      <c r="G305" s="6"/>
      <c r="H305" s="20" t="str">
        <f t="shared" si="35"/>
        <v/>
      </c>
      <c r="I305" s="21"/>
      <c r="J305" s="22" t="str">
        <f t="shared" si="36"/>
        <v/>
      </c>
      <c r="K305" s="20" t="str">
        <f t="shared" si="37"/>
        <v/>
      </c>
      <c r="L305" s="20" t="str">
        <f t="shared" si="38"/>
        <v/>
      </c>
      <c r="M305" s="6"/>
      <c r="N305" s="19" t="str">
        <f t="shared" si="39"/>
        <v/>
      </c>
      <c r="O305" s="23" t="str">
        <f>IF(B305="","",TRIM(IF(COUNTIF('Registru comenzi'!$B$5:$B$304,B305)=0,"Comandă inexistentă în registru. ","")&amp;IF(AND(D305&lt;&gt;"",E305=""),"Cod necunoscut. ","")&amp;IF(N(G305)&lt;=0,"Lipsește cantitatea. ","")&amp;IF(N(M305)&gt;N(G305),"Livrat mai mult decât s-a comandat. ","")&amp;IF(N(I305)&gt;0.3,"Discount neobișnuit de mare. ","")))</f>
        <v/>
      </c>
    </row>
    <row r="306" spans="1:15" x14ac:dyDescent="0.2">
      <c r="A306" s="1" t="str">
        <f t="shared" si="32"/>
        <v/>
      </c>
      <c r="B306" s="17"/>
      <c r="C306" s="18" t="str">
        <f>IF(B306="","",COUNTIF(INDEX($B:$B,5):B306,B306))</f>
        <v/>
      </c>
      <c r="D306" s="17"/>
      <c r="E306" s="19" t="str">
        <f t="shared" si="33"/>
        <v/>
      </c>
      <c r="F306" s="18" t="str">
        <f t="shared" si="34"/>
        <v/>
      </c>
      <c r="G306" s="6"/>
      <c r="H306" s="20" t="str">
        <f t="shared" si="35"/>
        <v/>
      </c>
      <c r="I306" s="21"/>
      <c r="J306" s="22" t="str">
        <f t="shared" si="36"/>
        <v/>
      </c>
      <c r="K306" s="20" t="str">
        <f t="shared" si="37"/>
        <v/>
      </c>
      <c r="L306" s="20" t="str">
        <f t="shared" si="38"/>
        <v/>
      </c>
      <c r="M306" s="6"/>
      <c r="N306" s="19" t="str">
        <f t="shared" si="39"/>
        <v/>
      </c>
      <c r="O306" s="23" t="str">
        <f>IF(B306="","",TRIM(IF(COUNTIF('Registru comenzi'!$B$5:$B$304,B306)=0,"Comandă inexistentă în registru. ","")&amp;IF(AND(D306&lt;&gt;"",E306=""),"Cod necunoscut. ","")&amp;IF(N(G306)&lt;=0,"Lipsește cantitatea. ","")&amp;IF(N(M306)&gt;N(G306),"Livrat mai mult decât s-a comandat. ","")&amp;IF(N(I306)&gt;0.3,"Discount neobișnuit de mare. ","")))</f>
        <v/>
      </c>
    </row>
    <row r="307" spans="1:15" x14ac:dyDescent="0.2">
      <c r="A307" s="1" t="str">
        <f t="shared" si="32"/>
        <v/>
      </c>
      <c r="B307" s="17"/>
      <c r="C307" s="18" t="str">
        <f>IF(B307="","",COUNTIF(INDEX($B:$B,5):B307,B307))</f>
        <v/>
      </c>
      <c r="D307" s="17"/>
      <c r="E307" s="19" t="str">
        <f t="shared" si="33"/>
        <v/>
      </c>
      <c r="F307" s="18" t="str">
        <f t="shared" si="34"/>
        <v/>
      </c>
      <c r="G307" s="6"/>
      <c r="H307" s="20" t="str">
        <f t="shared" si="35"/>
        <v/>
      </c>
      <c r="I307" s="21"/>
      <c r="J307" s="22" t="str">
        <f t="shared" si="36"/>
        <v/>
      </c>
      <c r="K307" s="20" t="str">
        <f t="shared" si="37"/>
        <v/>
      </c>
      <c r="L307" s="20" t="str">
        <f t="shared" si="38"/>
        <v/>
      </c>
      <c r="M307" s="6"/>
      <c r="N307" s="19" t="str">
        <f t="shared" si="39"/>
        <v/>
      </c>
      <c r="O307" s="23" t="str">
        <f>IF(B307="","",TRIM(IF(COUNTIF('Registru comenzi'!$B$5:$B$304,B307)=0,"Comandă inexistentă în registru. ","")&amp;IF(AND(D307&lt;&gt;"",E307=""),"Cod necunoscut. ","")&amp;IF(N(G307)&lt;=0,"Lipsește cantitatea. ","")&amp;IF(N(M307)&gt;N(G307),"Livrat mai mult decât s-a comandat. ","")&amp;IF(N(I307)&gt;0.3,"Discount neobișnuit de mare. ","")))</f>
        <v/>
      </c>
    </row>
    <row r="308" spans="1:15" x14ac:dyDescent="0.2">
      <c r="A308" s="1" t="str">
        <f t="shared" si="32"/>
        <v/>
      </c>
      <c r="B308" s="17"/>
      <c r="C308" s="18" t="str">
        <f>IF(B308="","",COUNTIF(INDEX($B:$B,5):B308,B308))</f>
        <v/>
      </c>
      <c r="D308" s="17"/>
      <c r="E308" s="19" t="str">
        <f t="shared" si="33"/>
        <v/>
      </c>
      <c r="F308" s="18" t="str">
        <f t="shared" si="34"/>
        <v/>
      </c>
      <c r="G308" s="6"/>
      <c r="H308" s="20" t="str">
        <f t="shared" si="35"/>
        <v/>
      </c>
      <c r="I308" s="21"/>
      <c r="J308" s="22" t="str">
        <f t="shared" si="36"/>
        <v/>
      </c>
      <c r="K308" s="20" t="str">
        <f t="shared" si="37"/>
        <v/>
      </c>
      <c r="L308" s="20" t="str">
        <f t="shared" si="38"/>
        <v/>
      </c>
      <c r="M308" s="6"/>
      <c r="N308" s="19" t="str">
        <f t="shared" si="39"/>
        <v/>
      </c>
      <c r="O308" s="23" t="str">
        <f>IF(B308="","",TRIM(IF(COUNTIF('Registru comenzi'!$B$5:$B$304,B308)=0,"Comandă inexistentă în registru. ","")&amp;IF(AND(D308&lt;&gt;"",E308=""),"Cod necunoscut. ","")&amp;IF(N(G308)&lt;=0,"Lipsește cantitatea. ","")&amp;IF(N(M308)&gt;N(G308),"Livrat mai mult decât s-a comandat. ","")&amp;IF(N(I308)&gt;0.3,"Discount neobișnuit de mare. ","")))</f>
        <v/>
      </c>
    </row>
    <row r="309" spans="1:15" x14ac:dyDescent="0.2">
      <c r="A309" s="1" t="str">
        <f t="shared" si="32"/>
        <v/>
      </c>
      <c r="B309" s="17"/>
      <c r="C309" s="18" t="str">
        <f>IF(B309="","",COUNTIF(INDEX($B:$B,5):B309,B309))</f>
        <v/>
      </c>
      <c r="D309" s="17"/>
      <c r="E309" s="19" t="str">
        <f t="shared" si="33"/>
        <v/>
      </c>
      <c r="F309" s="18" t="str">
        <f t="shared" si="34"/>
        <v/>
      </c>
      <c r="G309" s="6"/>
      <c r="H309" s="20" t="str">
        <f t="shared" si="35"/>
        <v/>
      </c>
      <c r="I309" s="21"/>
      <c r="J309" s="22" t="str">
        <f t="shared" si="36"/>
        <v/>
      </c>
      <c r="K309" s="20" t="str">
        <f t="shared" si="37"/>
        <v/>
      </c>
      <c r="L309" s="20" t="str">
        <f t="shared" si="38"/>
        <v/>
      </c>
      <c r="M309" s="6"/>
      <c r="N309" s="19" t="str">
        <f t="shared" si="39"/>
        <v/>
      </c>
      <c r="O309" s="23" t="str">
        <f>IF(B309="","",TRIM(IF(COUNTIF('Registru comenzi'!$B$5:$B$304,B309)=0,"Comandă inexistentă în registru. ","")&amp;IF(AND(D309&lt;&gt;"",E309=""),"Cod necunoscut. ","")&amp;IF(N(G309)&lt;=0,"Lipsește cantitatea. ","")&amp;IF(N(M309)&gt;N(G309),"Livrat mai mult decât s-a comandat. ","")&amp;IF(N(I309)&gt;0.3,"Discount neobișnuit de mare. ","")))</f>
        <v/>
      </c>
    </row>
    <row r="310" spans="1:15" x14ac:dyDescent="0.2">
      <c r="A310" s="1" t="str">
        <f t="shared" si="32"/>
        <v/>
      </c>
      <c r="B310" s="17"/>
      <c r="C310" s="18" t="str">
        <f>IF(B310="","",COUNTIF(INDEX($B:$B,5):B310,B310))</f>
        <v/>
      </c>
      <c r="D310" s="17"/>
      <c r="E310" s="19" t="str">
        <f t="shared" si="33"/>
        <v/>
      </c>
      <c r="F310" s="18" t="str">
        <f t="shared" si="34"/>
        <v/>
      </c>
      <c r="G310" s="6"/>
      <c r="H310" s="20" t="str">
        <f t="shared" si="35"/>
        <v/>
      </c>
      <c r="I310" s="21"/>
      <c r="J310" s="22" t="str">
        <f t="shared" si="36"/>
        <v/>
      </c>
      <c r="K310" s="20" t="str">
        <f t="shared" si="37"/>
        <v/>
      </c>
      <c r="L310" s="20" t="str">
        <f t="shared" si="38"/>
        <v/>
      </c>
      <c r="M310" s="6"/>
      <c r="N310" s="19" t="str">
        <f t="shared" si="39"/>
        <v/>
      </c>
      <c r="O310" s="23" t="str">
        <f>IF(B310="","",TRIM(IF(COUNTIF('Registru comenzi'!$B$5:$B$304,B310)=0,"Comandă inexistentă în registru. ","")&amp;IF(AND(D310&lt;&gt;"",E310=""),"Cod necunoscut. ","")&amp;IF(N(G310)&lt;=0,"Lipsește cantitatea. ","")&amp;IF(N(M310)&gt;N(G310),"Livrat mai mult decât s-a comandat. ","")&amp;IF(N(I310)&gt;0.3,"Discount neobișnuit de mare. ","")))</f>
        <v/>
      </c>
    </row>
    <row r="311" spans="1:15" x14ac:dyDescent="0.2">
      <c r="A311" s="1" t="str">
        <f t="shared" si="32"/>
        <v/>
      </c>
      <c r="B311" s="17"/>
      <c r="C311" s="18" t="str">
        <f>IF(B311="","",COUNTIF(INDEX($B:$B,5):B311,B311))</f>
        <v/>
      </c>
      <c r="D311" s="17"/>
      <c r="E311" s="19" t="str">
        <f t="shared" si="33"/>
        <v/>
      </c>
      <c r="F311" s="18" t="str">
        <f t="shared" si="34"/>
        <v/>
      </c>
      <c r="G311" s="6"/>
      <c r="H311" s="20" t="str">
        <f t="shared" si="35"/>
        <v/>
      </c>
      <c r="I311" s="21"/>
      <c r="J311" s="22" t="str">
        <f t="shared" si="36"/>
        <v/>
      </c>
      <c r="K311" s="20" t="str">
        <f t="shared" si="37"/>
        <v/>
      </c>
      <c r="L311" s="20" t="str">
        <f t="shared" si="38"/>
        <v/>
      </c>
      <c r="M311" s="6"/>
      <c r="N311" s="19" t="str">
        <f t="shared" si="39"/>
        <v/>
      </c>
      <c r="O311" s="23" t="str">
        <f>IF(B311="","",TRIM(IF(COUNTIF('Registru comenzi'!$B$5:$B$304,B311)=0,"Comandă inexistentă în registru. ","")&amp;IF(AND(D311&lt;&gt;"",E311=""),"Cod necunoscut. ","")&amp;IF(N(G311)&lt;=0,"Lipsește cantitatea. ","")&amp;IF(N(M311)&gt;N(G311),"Livrat mai mult decât s-a comandat. ","")&amp;IF(N(I311)&gt;0.3,"Discount neobișnuit de mare. ","")))</f>
        <v/>
      </c>
    </row>
    <row r="312" spans="1:15" x14ac:dyDescent="0.2">
      <c r="A312" s="1" t="str">
        <f t="shared" si="32"/>
        <v/>
      </c>
      <c r="B312" s="17"/>
      <c r="C312" s="18" t="str">
        <f>IF(B312="","",COUNTIF(INDEX($B:$B,5):B312,B312))</f>
        <v/>
      </c>
      <c r="D312" s="17"/>
      <c r="E312" s="19" t="str">
        <f t="shared" si="33"/>
        <v/>
      </c>
      <c r="F312" s="18" t="str">
        <f t="shared" si="34"/>
        <v/>
      </c>
      <c r="G312" s="6"/>
      <c r="H312" s="20" t="str">
        <f t="shared" si="35"/>
        <v/>
      </c>
      <c r="I312" s="21"/>
      <c r="J312" s="22" t="str">
        <f t="shared" si="36"/>
        <v/>
      </c>
      <c r="K312" s="20" t="str">
        <f t="shared" si="37"/>
        <v/>
      </c>
      <c r="L312" s="20" t="str">
        <f t="shared" si="38"/>
        <v/>
      </c>
      <c r="M312" s="6"/>
      <c r="N312" s="19" t="str">
        <f t="shared" si="39"/>
        <v/>
      </c>
      <c r="O312" s="23" t="str">
        <f>IF(B312="","",TRIM(IF(COUNTIF('Registru comenzi'!$B$5:$B$304,B312)=0,"Comandă inexistentă în registru. ","")&amp;IF(AND(D312&lt;&gt;"",E312=""),"Cod necunoscut. ","")&amp;IF(N(G312)&lt;=0,"Lipsește cantitatea. ","")&amp;IF(N(M312)&gt;N(G312),"Livrat mai mult decât s-a comandat. ","")&amp;IF(N(I312)&gt;0.3,"Discount neobișnuit de mare. ","")))</f>
        <v/>
      </c>
    </row>
    <row r="313" spans="1:15" x14ac:dyDescent="0.2">
      <c r="A313" s="1" t="str">
        <f t="shared" si="32"/>
        <v/>
      </c>
      <c r="B313" s="17"/>
      <c r="C313" s="18" t="str">
        <f>IF(B313="","",COUNTIF(INDEX($B:$B,5):B313,B313))</f>
        <v/>
      </c>
      <c r="D313" s="17"/>
      <c r="E313" s="19" t="str">
        <f t="shared" si="33"/>
        <v/>
      </c>
      <c r="F313" s="18" t="str">
        <f t="shared" si="34"/>
        <v/>
      </c>
      <c r="G313" s="6"/>
      <c r="H313" s="20" t="str">
        <f t="shared" si="35"/>
        <v/>
      </c>
      <c r="I313" s="21"/>
      <c r="J313" s="22" t="str">
        <f t="shared" si="36"/>
        <v/>
      </c>
      <c r="K313" s="20" t="str">
        <f t="shared" si="37"/>
        <v/>
      </c>
      <c r="L313" s="20" t="str">
        <f t="shared" si="38"/>
        <v/>
      </c>
      <c r="M313" s="6"/>
      <c r="N313" s="19" t="str">
        <f t="shared" si="39"/>
        <v/>
      </c>
      <c r="O313" s="23" t="str">
        <f>IF(B313="","",TRIM(IF(COUNTIF('Registru comenzi'!$B$5:$B$304,B313)=0,"Comandă inexistentă în registru. ","")&amp;IF(AND(D313&lt;&gt;"",E313=""),"Cod necunoscut. ","")&amp;IF(N(G313)&lt;=0,"Lipsește cantitatea. ","")&amp;IF(N(M313)&gt;N(G313),"Livrat mai mult decât s-a comandat. ","")&amp;IF(N(I313)&gt;0.3,"Discount neobișnuit de mare. ","")))</f>
        <v/>
      </c>
    </row>
    <row r="314" spans="1:15" x14ac:dyDescent="0.2">
      <c r="A314" s="1" t="str">
        <f t="shared" si="32"/>
        <v/>
      </c>
      <c r="B314" s="17"/>
      <c r="C314" s="18" t="str">
        <f>IF(B314="","",COUNTIF(INDEX($B:$B,5):B314,B314))</f>
        <v/>
      </c>
      <c r="D314" s="17"/>
      <c r="E314" s="19" t="str">
        <f t="shared" si="33"/>
        <v/>
      </c>
      <c r="F314" s="18" t="str">
        <f t="shared" si="34"/>
        <v/>
      </c>
      <c r="G314" s="6"/>
      <c r="H314" s="20" t="str">
        <f t="shared" si="35"/>
        <v/>
      </c>
      <c r="I314" s="21"/>
      <c r="J314" s="22" t="str">
        <f t="shared" si="36"/>
        <v/>
      </c>
      <c r="K314" s="20" t="str">
        <f t="shared" si="37"/>
        <v/>
      </c>
      <c r="L314" s="20" t="str">
        <f t="shared" si="38"/>
        <v/>
      </c>
      <c r="M314" s="6"/>
      <c r="N314" s="19" t="str">
        <f t="shared" si="39"/>
        <v/>
      </c>
      <c r="O314" s="23" t="str">
        <f>IF(B314="","",TRIM(IF(COUNTIF('Registru comenzi'!$B$5:$B$304,B314)=0,"Comandă inexistentă în registru. ","")&amp;IF(AND(D314&lt;&gt;"",E314=""),"Cod necunoscut. ","")&amp;IF(N(G314)&lt;=0,"Lipsește cantitatea. ","")&amp;IF(N(M314)&gt;N(G314),"Livrat mai mult decât s-a comandat. ","")&amp;IF(N(I314)&gt;0.3,"Discount neobișnuit de mare. ","")))</f>
        <v/>
      </c>
    </row>
    <row r="315" spans="1:15" x14ac:dyDescent="0.2">
      <c r="A315" s="1" t="str">
        <f t="shared" si="32"/>
        <v/>
      </c>
      <c r="B315" s="17"/>
      <c r="C315" s="18" t="str">
        <f>IF(B315="","",COUNTIF(INDEX($B:$B,5):B315,B315))</f>
        <v/>
      </c>
      <c r="D315" s="17"/>
      <c r="E315" s="19" t="str">
        <f t="shared" si="33"/>
        <v/>
      </c>
      <c r="F315" s="18" t="str">
        <f t="shared" si="34"/>
        <v/>
      </c>
      <c r="G315" s="6"/>
      <c r="H315" s="20" t="str">
        <f t="shared" si="35"/>
        <v/>
      </c>
      <c r="I315" s="21"/>
      <c r="J315" s="22" t="str">
        <f t="shared" si="36"/>
        <v/>
      </c>
      <c r="K315" s="20" t="str">
        <f t="shared" si="37"/>
        <v/>
      </c>
      <c r="L315" s="20" t="str">
        <f t="shared" si="38"/>
        <v/>
      </c>
      <c r="M315" s="6"/>
      <c r="N315" s="19" t="str">
        <f t="shared" si="39"/>
        <v/>
      </c>
      <c r="O315" s="23" t="str">
        <f>IF(B315="","",TRIM(IF(COUNTIF('Registru comenzi'!$B$5:$B$304,B315)=0,"Comandă inexistentă în registru. ","")&amp;IF(AND(D315&lt;&gt;"",E315=""),"Cod necunoscut. ","")&amp;IF(N(G315)&lt;=0,"Lipsește cantitatea. ","")&amp;IF(N(M315)&gt;N(G315),"Livrat mai mult decât s-a comandat. ","")&amp;IF(N(I315)&gt;0.3,"Discount neobișnuit de mare. ","")))</f>
        <v/>
      </c>
    </row>
    <row r="316" spans="1:15" x14ac:dyDescent="0.2">
      <c r="A316" s="1" t="str">
        <f t="shared" si="32"/>
        <v/>
      </c>
      <c r="B316" s="17"/>
      <c r="C316" s="18" t="str">
        <f>IF(B316="","",COUNTIF(INDEX($B:$B,5):B316,B316))</f>
        <v/>
      </c>
      <c r="D316" s="17"/>
      <c r="E316" s="19" t="str">
        <f t="shared" si="33"/>
        <v/>
      </c>
      <c r="F316" s="18" t="str">
        <f t="shared" si="34"/>
        <v/>
      </c>
      <c r="G316" s="6"/>
      <c r="H316" s="20" t="str">
        <f t="shared" si="35"/>
        <v/>
      </c>
      <c r="I316" s="21"/>
      <c r="J316" s="22" t="str">
        <f t="shared" si="36"/>
        <v/>
      </c>
      <c r="K316" s="20" t="str">
        <f t="shared" si="37"/>
        <v/>
      </c>
      <c r="L316" s="20" t="str">
        <f t="shared" si="38"/>
        <v/>
      </c>
      <c r="M316" s="6"/>
      <c r="N316" s="19" t="str">
        <f t="shared" si="39"/>
        <v/>
      </c>
      <c r="O316" s="23" t="str">
        <f>IF(B316="","",TRIM(IF(COUNTIF('Registru comenzi'!$B$5:$B$304,B316)=0,"Comandă inexistentă în registru. ","")&amp;IF(AND(D316&lt;&gt;"",E316=""),"Cod necunoscut. ","")&amp;IF(N(G316)&lt;=0,"Lipsește cantitatea. ","")&amp;IF(N(M316)&gt;N(G316),"Livrat mai mult decât s-a comandat. ","")&amp;IF(N(I316)&gt;0.3,"Discount neobișnuit de mare. ","")))</f>
        <v/>
      </c>
    </row>
    <row r="317" spans="1:15" x14ac:dyDescent="0.2">
      <c r="A317" s="1" t="str">
        <f t="shared" si="32"/>
        <v/>
      </c>
      <c r="B317" s="17"/>
      <c r="C317" s="18" t="str">
        <f>IF(B317="","",COUNTIF(INDEX($B:$B,5):B317,B317))</f>
        <v/>
      </c>
      <c r="D317" s="17"/>
      <c r="E317" s="19" t="str">
        <f t="shared" si="33"/>
        <v/>
      </c>
      <c r="F317" s="18" t="str">
        <f t="shared" si="34"/>
        <v/>
      </c>
      <c r="G317" s="6"/>
      <c r="H317" s="20" t="str">
        <f t="shared" si="35"/>
        <v/>
      </c>
      <c r="I317" s="21"/>
      <c r="J317" s="22" t="str">
        <f t="shared" si="36"/>
        <v/>
      </c>
      <c r="K317" s="20" t="str">
        <f t="shared" si="37"/>
        <v/>
      </c>
      <c r="L317" s="20" t="str">
        <f t="shared" si="38"/>
        <v/>
      </c>
      <c r="M317" s="6"/>
      <c r="N317" s="19" t="str">
        <f t="shared" si="39"/>
        <v/>
      </c>
      <c r="O317" s="23" t="str">
        <f>IF(B317="","",TRIM(IF(COUNTIF('Registru comenzi'!$B$5:$B$304,B317)=0,"Comandă inexistentă în registru. ","")&amp;IF(AND(D317&lt;&gt;"",E317=""),"Cod necunoscut. ","")&amp;IF(N(G317)&lt;=0,"Lipsește cantitatea. ","")&amp;IF(N(M317)&gt;N(G317),"Livrat mai mult decât s-a comandat. ","")&amp;IF(N(I317)&gt;0.3,"Discount neobișnuit de mare. ","")))</f>
        <v/>
      </c>
    </row>
    <row r="318" spans="1:15" x14ac:dyDescent="0.2">
      <c r="A318" s="1" t="str">
        <f t="shared" si="32"/>
        <v/>
      </c>
      <c r="B318" s="17"/>
      <c r="C318" s="18" t="str">
        <f>IF(B318="","",COUNTIF(INDEX($B:$B,5):B318,B318))</f>
        <v/>
      </c>
      <c r="D318" s="17"/>
      <c r="E318" s="19" t="str">
        <f t="shared" si="33"/>
        <v/>
      </c>
      <c r="F318" s="18" t="str">
        <f t="shared" si="34"/>
        <v/>
      </c>
      <c r="G318" s="6"/>
      <c r="H318" s="20" t="str">
        <f t="shared" si="35"/>
        <v/>
      </c>
      <c r="I318" s="21"/>
      <c r="J318" s="22" t="str">
        <f t="shared" si="36"/>
        <v/>
      </c>
      <c r="K318" s="20" t="str">
        <f t="shared" si="37"/>
        <v/>
      </c>
      <c r="L318" s="20" t="str">
        <f t="shared" si="38"/>
        <v/>
      </c>
      <c r="M318" s="6"/>
      <c r="N318" s="19" t="str">
        <f t="shared" si="39"/>
        <v/>
      </c>
      <c r="O318" s="23" t="str">
        <f>IF(B318="","",TRIM(IF(COUNTIF('Registru comenzi'!$B$5:$B$304,B318)=0,"Comandă inexistentă în registru. ","")&amp;IF(AND(D318&lt;&gt;"",E318=""),"Cod necunoscut. ","")&amp;IF(N(G318)&lt;=0,"Lipsește cantitatea. ","")&amp;IF(N(M318)&gt;N(G318),"Livrat mai mult decât s-a comandat. ","")&amp;IF(N(I318)&gt;0.3,"Discount neobișnuit de mare. ","")))</f>
        <v/>
      </c>
    </row>
    <row r="319" spans="1:15" x14ac:dyDescent="0.2">
      <c r="A319" s="1" t="str">
        <f t="shared" si="32"/>
        <v/>
      </c>
      <c r="B319" s="17"/>
      <c r="C319" s="18" t="str">
        <f>IF(B319="","",COUNTIF(INDEX($B:$B,5):B319,B319))</f>
        <v/>
      </c>
      <c r="D319" s="17"/>
      <c r="E319" s="19" t="str">
        <f t="shared" si="33"/>
        <v/>
      </c>
      <c r="F319" s="18" t="str">
        <f t="shared" si="34"/>
        <v/>
      </c>
      <c r="G319" s="6"/>
      <c r="H319" s="20" t="str">
        <f t="shared" si="35"/>
        <v/>
      </c>
      <c r="I319" s="21"/>
      <c r="J319" s="22" t="str">
        <f t="shared" si="36"/>
        <v/>
      </c>
      <c r="K319" s="20" t="str">
        <f t="shared" si="37"/>
        <v/>
      </c>
      <c r="L319" s="20" t="str">
        <f t="shared" si="38"/>
        <v/>
      </c>
      <c r="M319" s="6"/>
      <c r="N319" s="19" t="str">
        <f t="shared" si="39"/>
        <v/>
      </c>
      <c r="O319" s="23" t="str">
        <f>IF(B319="","",TRIM(IF(COUNTIF('Registru comenzi'!$B$5:$B$304,B319)=0,"Comandă inexistentă în registru. ","")&amp;IF(AND(D319&lt;&gt;"",E319=""),"Cod necunoscut. ","")&amp;IF(N(G319)&lt;=0,"Lipsește cantitatea. ","")&amp;IF(N(M319)&gt;N(G319),"Livrat mai mult decât s-a comandat. ","")&amp;IF(N(I319)&gt;0.3,"Discount neobișnuit de mare. ","")))</f>
        <v/>
      </c>
    </row>
    <row r="320" spans="1:15" x14ac:dyDescent="0.2">
      <c r="A320" s="1" t="str">
        <f t="shared" si="32"/>
        <v/>
      </c>
      <c r="B320" s="17"/>
      <c r="C320" s="18" t="str">
        <f>IF(B320="","",COUNTIF(INDEX($B:$B,5):B320,B320))</f>
        <v/>
      </c>
      <c r="D320" s="17"/>
      <c r="E320" s="19" t="str">
        <f t="shared" si="33"/>
        <v/>
      </c>
      <c r="F320" s="18" t="str">
        <f t="shared" si="34"/>
        <v/>
      </c>
      <c r="G320" s="6"/>
      <c r="H320" s="20" t="str">
        <f t="shared" si="35"/>
        <v/>
      </c>
      <c r="I320" s="21"/>
      <c r="J320" s="22" t="str">
        <f t="shared" si="36"/>
        <v/>
      </c>
      <c r="K320" s="20" t="str">
        <f t="shared" si="37"/>
        <v/>
      </c>
      <c r="L320" s="20" t="str">
        <f t="shared" si="38"/>
        <v/>
      </c>
      <c r="M320" s="6"/>
      <c r="N320" s="19" t="str">
        <f t="shared" si="39"/>
        <v/>
      </c>
      <c r="O320" s="23" t="str">
        <f>IF(B320="","",TRIM(IF(COUNTIF('Registru comenzi'!$B$5:$B$304,B320)=0,"Comandă inexistentă în registru. ","")&amp;IF(AND(D320&lt;&gt;"",E320=""),"Cod necunoscut. ","")&amp;IF(N(G320)&lt;=0,"Lipsește cantitatea. ","")&amp;IF(N(M320)&gt;N(G320),"Livrat mai mult decât s-a comandat. ","")&amp;IF(N(I320)&gt;0.3,"Discount neobișnuit de mare. ","")))</f>
        <v/>
      </c>
    </row>
    <row r="321" spans="1:15" x14ac:dyDescent="0.2">
      <c r="A321" s="1" t="str">
        <f t="shared" si="32"/>
        <v/>
      </c>
      <c r="B321" s="17"/>
      <c r="C321" s="18" t="str">
        <f>IF(B321="","",COUNTIF(INDEX($B:$B,5):B321,B321))</f>
        <v/>
      </c>
      <c r="D321" s="17"/>
      <c r="E321" s="19" t="str">
        <f t="shared" si="33"/>
        <v/>
      </c>
      <c r="F321" s="18" t="str">
        <f t="shared" si="34"/>
        <v/>
      </c>
      <c r="G321" s="6"/>
      <c r="H321" s="20" t="str">
        <f t="shared" si="35"/>
        <v/>
      </c>
      <c r="I321" s="21"/>
      <c r="J321" s="22" t="str">
        <f t="shared" si="36"/>
        <v/>
      </c>
      <c r="K321" s="20" t="str">
        <f t="shared" si="37"/>
        <v/>
      </c>
      <c r="L321" s="20" t="str">
        <f t="shared" si="38"/>
        <v/>
      </c>
      <c r="M321" s="6"/>
      <c r="N321" s="19" t="str">
        <f t="shared" si="39"/>
        <v/>
      </c>
      <c r="O321" s="23" t="str">
        <f>IF(B321="","",TRIM(IF(COUNTIF('Registru comenzi'!$B$5:$B$304,B321)=0,"Comandă inexistentă în registru. ","")&amp;IF(AND(D321&lt;&gt;"",E321=""),"Cod necunoscut. ","")&amp;IF(N(G321)&lt;=0,"Lipsește cantitatea. ","")&amp;IF(N(M321)&gt;N(G321),"Livrat mai mult decât s-a comandat. ","")&amp;IF(N(I321)&gt;0.3,"Discount neobișnuit de mare. ","")))</f>
        <v/>
      </c>
    </row>
    <row r="322" spans="1:15" x14ac:dyDescent="0.2">
      <c r="A322" s="1" t="str">
        <f t="shared" si="32"/>
        <v/>
      </c>
      <c r="B322" s="17"/>
      <c r="C322" s="18" t="str">
        <f>IF(B322="","",COUNTIF(INDEX($B:$B,5):B322,B322))</f>
        <v/>
      </c>
      <c r="D322" s="17"/>
      <c r="E322" s="19" t="str">
        <f t="shared" si="33"/>
        <v/>
      </c>
      <c r="F322" s="18" t="str">
        <f t="shared" si="34"/>
        <v/>
      </c>
      <c r="G322" s="6"/>
      <c r="H322" s="20" t="str">
        <f t="shared" si="35"/>
        <v/>
      </c>
      <c r="I322" s="21"/>
      <c r="J322" s="22" t="str">
        <f t="shared" si="36"/>
        <v/>
      </c>
      <c r="K322" s="20" t="str">
        <f t="shared" si="37"/>
        <v/>
      </c>
      <c r="L322" s="20" t="str">
        <f t="shared" si="38"/>
        <v/>
      </c>
      <c r="M322" s="6"/>
      <c r="N322" s="19" t="str">
        <f t="shared" si="39"/>
        <v/>
      </c>
      <c r="O322" s="23" t="str">
        <f>IF(B322="","",TRIM(IF(COUNTIF('Registru comenzi'!$B$5:$B$304,B322)=0,"Comandă inexistentă în registru. ","")&amp;IF(AND(D322&lt;&gt;"",E322=""),"Cod necunoscut. ","")&amp;IF(N(G322)&lt;=0,"Lipsește cantitatea. ","")&amp;IF(N(M322)&gt;N(G322),"Livrat mai mult decât s-a comandat. ","")&amp;IF(N(I322)&gt;0.3,"Discount neobișnuit de mare. ","")))</f>
        <v/>
      </c>
    </row>
    <row r="323" spans="1:15" x14ac:dyDescent="0.2">
      <c r="A323" s="1" t="str">
        <f t="shared" si="32"/>
        <v/>
      </c>
      <c r="B323" s="17"/>
      <c r="C323" s="18" t="str">
        <f>IF(B323="","",COUNTIF(INDEX($B:$B,5):B323,B323))</f>
        <v/>
      </c>
      <c r="D323" s="17"/>
      <c r="E323" s="19" t="str">
        <f t="shared" si="33"/>
        <v/>
      </c>
      <c r="F323" s="18" t="str">
        <f t="shared" si="34"/>
        <v/>
      </c>
      <c r="G323" s="6"/>
      <c r="H323" s="20" t="str">
        <f t="shared" si="35"/>
        <v/>
      </c>
      <c r="I323" s="21"/>
      <c r="J323" s="22" t="str">
        <f t="shared" si="36"/>
        <v/>
      </c>
      <c r="K323" s="20" t="str">
        <f t="shared" si="37"/>
        <v/>
      </c>
      <c r="L323" s="20" t="str">
        <f t="shared" si="38"/>
        <v/>
      </c>
      <c r="M323" s="6"/>
      <c r="N323" s="19" t="str">
        <f t="shared" si="39"/>
        <v/>
      </c>
      <c r="O323" s="23" t="str">
        <f>IF(B323="","",TRIM(IF(COUNTIF('Registru comenzi'!$B$5:$B$304,B323)=0,"Comandă inexistentă în registru. ","")&amp;IF(AND(D323&lt;&gt;"",E323=""),"Cod necunoscut. ","")&amp;IF(N(G323)&lt;=0,"Lipsește cantitatea. ","")&amp;IF(N(M323)&gt;N(G323),"Livrat mai mult decât s-a comandat. ","")&amp;IF(N(I323)&gt;0.3,"Discount neobișnuit de mare. ","")))</f>
        <v/>
      </c>
    </row>
    <row r="324" spans="1:15" x14ac:dyDescent="0.2">
      <c r="A324" s="1" t="str">
        <f t="shared" si="32"/>
        <v/>
      </c>
      <c r="B324" s="17"/>
      <c r="C324" s="18" t="str">
        <f>IF(B324="","",COUNTIF(INDEX($B:$B,5):B324,B324))</f>
        <v/>
      </c>
      <c r="D324" s="17"/>
      <c r="E324" s="19" t="str">
        <f t="shared" si="33"/>
        <v/>
      </c>
      <c r="F324" s="18" t="str">
        <f t="shared" si="34"/>
        <v/>
      </c>
      <c r="G324" s="6"/>
      <c r="H324" s="20" t="str">
        <f t="shared" si="35"/>
        <v/>
      </c>
      <c r="I324" s="21"/>
      <c r="J324" s="22" t="str">
        <f t="shared" si="36"/>
        <v/>
      </c>
      <c r="K324" s="20" t="str">
        <f t="shared" si="37"/>
        <v/>
      </c>
      <c r="L324" s="20" t="str">
        <f t="shared" si="38"/>
        <v/>
      </c>
      <c r="M324" s="6"/>
      <c r="N324" s="19" t="str">
        <f t="shared" si="39"/>
        <v/>
      </c>
      <c r="O324" s="23" t="str">
        <f>IF(B324="","",TRIM(IF(COUNTIF('Registru comenzi'!$B$5:$B$304,B324)=0,"Comandă inexistentă în registru. ","")&amp;IF(AND(D324&lt;&gt;"",E324=""),"Cod necunoscut. ","")&amp;IF(N(G324)&lt;=0,"Lipsește cantitatea. ","")&amp;IF(N(M324)&gt;N(G324),"Livrat mai mult decât s-a comandat. ","")&amp;IF(N(I324)&gt;0.3,"Discount neobișnuit de mare. ","")))</f>
        <v/>
      </c>
    </row>
    <row r="325" spans="1:15" x14ac:dyDescent="0.2">
      <c r="A325" s="1" t="str">
        <f t="shared" ref="A325:A388" si="40">IF(B325="","",B325&amp;"|"&amp;C325)</f>
        <v/>
      </c>
      <c r="B325" s="17"/>
      <c r="C325" s="18" t="str">
        <f>IF(B325="","",COUNTIF(INDEX($B:$B,5):B325,B325))</f>
        <v/>
      </c>
      <c r="D325" s="17"/>
      <c r="E325" s="19" t="str">
        <f t="shared" ref="E325:E388" si="41">IF(D325="","",IFERROR(VLOOKUP(D325,Catalog,2,FALSE),""))</f>
        <v/>
      </c>
      <c r="F325" s="18" t="str">
        <f t="shared" ref="F325:F388" si="42">IF(D325="","",IFERROR(VLOOKUP(D325,Catalog,3,FALSE),""))</f>
        <v/>
      </c>
      <c r="G325" s="6"/>
      <c r="H325" s="20" t="str">
        <f t="shared" ref="H325:H388" si="43">IF(D325="","",IFERROR(VLOOKUP(D325,Catalog,4,FALSE),""))</f>
        <v/>
      </c>
      <c r="I325" s="21"/>
      <c r="J325" s="22" t="str">
        <f t="shared" ref="J325:J388" si="44">IF(D325="","",IFERROR(VLOOKUP(D325,Catalog,5,FALSE),""))</f>
        <v/>
      </c>
      <c r="K325" s="20" t="str">
        <f t="shared" ref="K325:K388" si="45">IF(OR(G325="",H325=""),"",ROUND(G325*H325*(1-N(I325)),2))</f>
        <v/>
      </c>
      <c r="L325" s="20" t="str">
        <f t="shared" ref="L325:L388" si="46">IF(OR(K325="",J325=""),"",ROUND(K325*J325,2))</f>
        <v/>
      </c>
      <c r="M325" s="6"/>
      <c r="N325" s="19" t="str">
        <f t="shared" ref="N325:N388" si="47">IF(G325="","",G325-N(M325))</f>
        <v/>
      </c>
      <c r="O325" s="23" t="str">
        <f>IF(B325="","",TRIM(IF(COUNTIF('Registru comenzi'!$B$5:$B$304,B325)=0,"Comandă inexistentă în registru. ","")&amp;IF(AND(D325&lt;&gt;"",E325=""),"Cod necunoscut. ","")&amp;IF(N(G325)&lt;=0,"Lipsește cantitatea. ","")&amp;IF(N(M325)&gt;N(G325),"Livrat mai mult decât s-a comandat. ","")&amp;IF(N(I325)&gt;0.3,"Discount neobișnuit de mare. ","")))</f>
        <v/>
      </c>
    </row>
    <row r="326" spans="1:15" x14ac:dyDescent="0.2">
      <c r="A326" s="1" t="str">
        <f t="shared" si="40"/>
        <v/>
      </c>
      <c r="B326" s="17"/>
      <c r="C326" s="18" t="str">
        <f>IF(B326="","",COUNTIF(INDEX($B:$B,5):B326,B326))</f>
        <v/>
      </c>
      <c r="D326" s="17"/>
      <c r="E326" s="19" t="str">
        <f t="shared" si="41"/>
        <v/>
      </c>
      <c r="F326" s="18" t="str">
        <f t="shared" si="42"/>
        <v/>
      </c>
      <c r="G326" s="6"/>
      <c r="H326" s="20" t="str">
        <f t="shared" si="43"/>
        <v/>
      </c>
      <c r="I326" s="21"/>
      <c r="J326" s="22" t="str">
        <f t="shared" si="44"/>
        <v/>
      </c>
      <c r="K326" s="20" t="str">
        <f t="shared" si="45"/>
        <v/>
      </c>
      <c r="L326" s="20" t="str">
        <f t="shared" si="46"/>
        <v/>
      </c>
      <c r="M326" s="6"/>
      <c r="N326" s="19" t="str">
        <f t="shared" si="47"/>
        <v/>
      </c>
      <c r="O326" s="23" t="str">
        <f>IF(B326="","",TRIM(IF(COUNTIF('Registru comenzi'!$B$5:$B$304,B326)=0,"Comandă inexistentă în registru. ","")&amp;IF(AND(D326&lt;&gt;"",E326=""),"Cod necunoscut. ","")&amp;IF(N(G326)&lt;=0,"Lipsește cantitatea. ","")&amp;IF(N(M326)&gt;N(G326),"Livrat mai mult decât s-a comandat. ","")&amp;IF(N(I326)&gt;0.3,"Discount neobișnuit de mare. ","")))</f>
        <v/>
      </c>
    </row>
    <row r="327" spans="1:15" x14ac:dyDescent="0.2">
      <c r="A327" s="1" t="str">
        <f t="shared" si="40"/>
        <v/>
      </c>
      <c r="B327" s="17"/>
      <c r="C327" s="18" t="str">
        <f>IF(B327="","",COUNTIF(INDEX($B:$B,5):B327,B327))</f>
        <v/>
      </c>
      <c r="D327" s="17"/>
      <c r="E327" s="19" t="str">
        <f t="shared" si="41"/>
        <v/>
      </c>
      <c r="F327" s="18" t="str">
        <f t="shared" si="42"/>
        <v/>
      </c>
      <c r="G327" s="6"/>
      <c r="H327" s="20" t="str">
        <f t="shared" si="43"/>
        <v/>
      </c>
      <c r="I327" s="21"/>
      <c r="J327" s="22" t="str">
        <f t="shared" si="44"/>
        <v/>
      </c>
      <c r="K327" s="20" t="str">
        <f t="shared" si="45"/>
        <v/>
      </c>
      <c r="L327" s="20" t="str">
        <f t="shared" si="46"/>
        <v/>
      </c>
      <c r="M327" s="6"/>
      <c r="N327" s="19" t="str">
        <f t="shared" si="47"/>
        <v/>
      </c>
      <c r="O327" s="23" t="str">
        <f>IF(B327="","",TRIM(IF(COUNTIF('Registru comenzi'!$B$5:$B$304,B327)=0,"Comandă inexistentă în registru. ","")&amp;IF(AND(D327&lt;&gt;"",E327=""),"Cod necunoscut. ","")&amp;IF(N(G327)&lt;=0,"Lipsește cantitatea. ","")&amp;IF(N(M327)&gt;N(G327),"Livrat mai mult decât s-a comandat. ","")&amp;IF(N(I327)&gt;0.3,"Discount neobișnuit de mare. ","")))</f>
        <v/>
      </c>
    </row>
    <row r="328" spans="1:15" x14ac:dyDescent="0.2">
      <c r="A328" s="1" t="str">
        <f t="shared" si="40"/>
        <v/>
      </c>
      <c r="B328" s="17"/>
      <c r="C328" s="18" t="str">
        <f>IF(B328="","",COUNTIF(INDEX($B:$B,5):B328,B328))</f>
        <v/>
      </c>
      <c r="D328" s="17"/>
      <c r="E328" s="19" t="str">
        <f t="shared" si="41"/>
        <v/>
      </c>
      <c r="F328" s="18" t="str">
        <f t="shared" si="42"/>
        <v/>
      </c>
      <c r="G328" s="6"/>
      <c r="H328" s="20" t="str">
        <f t="shared" si="43"/>
        <v/>
      </c>
      <c r="I328" s="21"/>
      <c r="J328" s="22" t="str">
        <f t="shared" si="44"/>
        <v/>
      </c>
      <c r="K328" s="20" t="str">
        <f t="shared" si="45"/>
        <v/>
      </c>
      <c r="L328" s="20" t="str">
        <f t="shared" si="46"/>
        <v/>
      </c>
      <c r="M328" s="6"/>
      <c r="N328" s="19" t="str">
        <f t="shared" si="47"/>
        <v/>
      </c>
      <c r="O328" s="23" t="str">
        <f>IF(B328="","",TRIM(IF(COUNTIF('Registru comenzi'!$B$5:$B$304,B328)=0,"Comandă inexistentă în registru. ","")&amp;IF(AND(D328&lt;&gt;"",E328=""),"Cod necunoscut. ","")&amp;IF(N(G328)&lt;=0,"Lipsește cantitatea. ","")&amp;IF(N(M328)&gt;N(G328),"Livrat mai mult decât s-a comandat. ","")&amp;IF(N(I328)&gt;0.3,"Discount neobișnuit de mare. ","")))</f>
        <v/>
      </c>
    </row>
    <row r="329" spans="1:15" x14ac:dyDescent="0.2">
      <c r="A329" s="1" t="str">
        <f t="shared" si="40"/>
        <v/>
      </c>
      <c r="B329" s="17"/>
      <c r="C329" s="18" t="str">
        <f>IF(B329="","",COUNTIF(INDEX($B:$B,5):B329,B329))</f>
        <v/>
      </c>
      <c r="D329" s="17"/>
      <c r="E329" s="19" t="str">
        <f t="shared" si="41"/>
        <v/>
      </c>
      <c r="F329" s="18" t="str">
        <f t="shared" si="42"/>
        <v/>
      </c>
      <c r="G329" s="6"/>
      <c r="H329" s="20" t="str">
        <f t="shared" si="43"/>
        <v/>
      </c>
      <c r="I329" s="21"/>
      <c r="J329" s="22" t="str">
        <f t="shared" si="44"/>
        <v/>
      </c>
      <c r="K329" s="20" t="str">
        <f t="shared" si="45"/>
        <v/>
      </c>
      <c r="L329" s="20" t="str">
        <f t="shared" si="46"/>
        <v/>
      </c>
      <c r="M329" s="6"/>
      <c r="N329" s="19" t="str">
        <f t="shared" si="47"/>
        <v/>
      </c>
      <c r="O329" s="23" t="str">
        <f>IF(B329="","",TRIM(IF(COUNTIF('Registru comenzi'!$B$5:$B$304,B329)=0,"Comandă inexistentă în registru. ","")&amp;IF(AND(D329&lt;&gt;"",E329=""),"Cod necunoscut. ","")&amp;IF(N(G329)&lt;=0,"Lipsește cantitatea. ","")&amp;IF(N(M329)&gt;N(G329),"Livrat mai mult decât s-a comandat. ","")&amp;IF(N(I329)&gt;0.3,"Discount neobișnuit de mare. ","")))</f>
        <v/>
      </c>
    </row>
    <row r="330" spans="1:15" x14ac:dyDescent="0.2">
      <c r="A330" s="1" t="str">
        <f t="shared" si="40"/>
        <v/>
      </c>
      <c r="B330" s="17"/>
      <c r="C330" s="18" t="str">
        <f>IF(B330="","",COUNTIF(INDEX($B:$B,5):B330,B330))</f>
        <v/>
      </c>
      <c r="D330" s="17"/>
      <c r="E330" s="19" t="str">
        <f t="shared" si="41"/>
        <v/>
      </c>
      <c r="F330" s="18" t="str">
        <f t="shared" si="42"/>
        <v/>
      </c>
      <c r="G330" s="6"/>
      <c r="H330" s="20" t="str">
        <f t="shared" si="43"/>
        <v/>
      </c>
      <c r="I330" s="21"/>
      <c r="J330" s="22" t="str">
        <f t="shared" si="44"/>
        <v/>
      </c>
      <c r="K330" s="20" t="str">
        <f t="shared" si="45"/>
        <v/>
      </c>
      <c r="L330" s="20" t="str">
        <f t="shared" si="46"/>
        <v/>
      </c>
      <c r="M330" s="6"/>
      <c r="N330" s="19" t="str">
        <f t="shared" si="47"/>
        <v/>
      </c>
      <c r="O330" s="23" t="str">
        <f>IF(B330="","",TRIM(IF(COUNTIF('Registru comenzi'!$B$5:$B$304,B330)=0,"Comandă inexistentă în registru. ","")&amp;IF(AND(D330&lt;&gt;"",E330=""),"Cod necunoscut. ","")&amp;IF(N(G330)&lt;=0,"Lipsește cantitatea. ","")&amp;IF(N(M330)&gt;N(G330),"Livrat mai mult decât s-a comandat. ","")&amp;IF(N(I330)&gt;0.3,"Discount neobișnuit de mare. ","")))</f>
        <v/>
      </c>
    </row>
    <row r="331" spans="1:15" x14ac:dyDescent="0.2">
      <c r="A331" s="1" t="str">
        <f t="shared" si="40"/>
        <v/>
      </c>
      <c r="B331" s="17"/>
      <c r="C331" s="18" t="str">
        <f>IF(B331="","",COUNTIF(INDEX($B:$B,5):B331,B331))</f>
        <v/>
      </c>
      <c r="D331" s="17"/>
      <c r="E331" s="19" t="str">
        <f t="shared" si="41"/>
        <v/>
      </c>
      <c r="F331" s="18" t="str">
        <f t="shared" si="42"/>
        <v/>
      </c>
      <c r="G331" s="6"/>
      <c r="H331" s="20" t="str">
        <f t="shared" si="43"/>
        <v/>
      </c>
      <c r="I331" s="21"/>
      <c r="J331" s="22" t="str">
        <f t="shared" si="44"/>
        <v/>
      </c>
      <c r="K331" s="20" t="str">
        <f t="shared" si="45"/>
        <v/>
      </c>
      <c r="L331" s="20" t="str">
        <f t="shared" si="46"/>
        <v/>
      </c>
      <c r="M331" s="6"/>
      <c r="N331" s="19" t="str">
        <f t="shared" si="47"/>
        <v/>
      </c>
      <c r="O331" s="23" t="str">
        <f>IF(B331="","",TRIM(IF(COUNTIF('Registru comenzi'!$B$5:$B$304,B331)=0,"Comandă inexistentă în registru. ","")&amp;IF(AND(D331&lt;&gt;"",E331=""),"Cod necunoscut. ","")&amp;IF(N(G331)&lt;=0,"Lipsește cantitatea. ","")&amp;IF(N(M331)&gt;N(G331),"Livrat mai mult decât s-a comandat. ","")&amp;IF(N(I331)&gt;0.3,"Discount neobișnuit de mare. ","")))</f>
        <v/>
      </c>
    </row>
    <row r="332" spans="1:15" x14ac:dyDescent="0.2">
      <c r="A332" s="1" t="str">
        <f t="shared" si="40"/>
        <v/>
      </c>
      <c r="B332" s="17"/>
      <c r="C332" s="18" t="str">
        <f>IF(B332="","",COUNTIF(INDEX($B:$B,5):B332,B332))</f>
        <v/>
      </c>
      <c r="D332" s="17"/>
      <c r="E332" s="19" t="str">
        <f t="shared" si="41"/>
        <v/>
      </c>
      <c r="F332" s="18" t="str">
        <f t="shared" si="42"/>
        <v/>
      </c>
      <c r="G332" s="6"/>
      <c r="H332" s="20" t="str">
        <f t="shared" si="43"/>
        <v/>
      </c>
      <c r="I332" s="21"/>
      <c r="J332" s="22" t="str">
        <f t="shared" si="44"/>
        <v/>
      </c>
      <c r="K332" s="20" t="str">
        <f t="shared" si="45"/>
        <v/>
      </c>
      <c r="L332" s="20" t="str">
        <f t="shared" si="46"/>
        <v/>
      </c>
      <c r="M332" s="6"/>
      <c r="N332" s="19" t="str">
        <f t="shared" si="47"/>
        <v/>
      </c>
      <c r="O332" s="23" t="str">
        <f>IF(B332="","",TRIM(IF(COUNTIF('Registru comenzi'!$B$5:$B$304,B332)=0,"Comandă inexistentă în registru. ","")&amp;IF(AND(D332&lt;&gt;"",E332=""),"Cod necunoscut. ","")&amp;IF(N(G332)&lt;=0,"Lipsește cantitatea. ","")&amp;IF(N(M332)&gt;N(G332),"Livrat mai mult decât s-a comandat. ","")&amp;IF(N(I332)&gt;0.3,"Discount neobișnuit de mare. ","")))</f>
        <v/>
      </c>
    </row>
    <row r="333" spans="1:15" x14ac:dyDescent="0.2">
      <c r="A333" s="1" t="str">
        <f t="shared" si="40"/>
        <v/>
      </c>
      <c r="B333" s="17"/>
      <c r="C333" s="18" t="str">
        <f>IF(B333="","",COUNTIF(INDEX($B:$B,5):B333,B333))</f>
        <v/>
      </c>
      <c r="D333" s="17"/>
      <c r="E333" s="19" t="str">
        <f t="shared" si="41"/>
        <v/>
      </c>
      <c r="F333" s="18" t="str">
        <f t="shared" si="42"/>
        <v/>
      </c>
      <c r="G333" s="6"/>
      <c r="H333" s="20" t="str">
        <f t="shared" si="43"/>
        <v/>
      </c>
      <c r="I333" s="21"/>
      <c r="J333" s="22" t="str">
        <f t="shared" si="44"/>
        <v/>
      </c>
      <c r="K333" s="20" t="str">
        <f t="shared" si="45"/>
        <v/>
      </c>
      <c r="L333" s="20" t="str">
        <f t="shared" si="46"/>
        <v/>
      </c>
      <c r="M333" s="6"/>
      <c r="N333" s="19" t="str">
        <f t="shared" si="47"/>
        <v/>
      </c>
      <c r="O333" s="23" t="str">
        <f>IF(B333="","",TRIM(IF(COUNTIF('Registru comenzi'!$B$5:$B$304,B333)=0,"Comandă inexistentă în registru. ","")&amp;IF(AND(D333&lt;&gt;"",E333=""),"Cod necunoscut. ","")&amp;IF(N(G333)&lt;=0,"Lipsește cantitatea. ","")&amp;IF(N(M333)&gt;N(G333),"Livrat mai mult decât s-a comandat. ","")&amp;IF(N(I333)&gt;0.3,"Discount neobișnuit de mare. ","")))</f>
        <v/>
      </c>
    </row>
    <row r="334" spans="1:15" x14ac:dyDescent="0.2">
      <c r="A334" s="1" t="str">
        <f t="shared" si="40"/>
        <v/>
      </c>
      <c r="B334" s="17"/>
      <c r="C334" s="18" t="str">
        <f>IF(B334="","",COUNTIF(INDEX($B:$B,5):B334,B334))</f>
        <v/>
      </c>
      <c r="D334" s="17"/>
      <c r="E334" s="19" t="str">
        <f t="shared" si="41"/>
        <v/>
      </c>
      <c r="F334" s="18" t="str">
        <f t="shared" si="42"/>
        <v/>
      </c>
      <c r="G334" s="6"/>
      <c r="H334" s="20" t="str">
        <f t="shared" si="43"/>
        <v/>
      </c>
      <c r="I334" s="21"/>
      <c r="J334" s="22" t="str">
        <f t="shared" si="44"/>
        <v/>
      </c>
      <c r="K334" s="20" t="str">
        <f t="shared" si="45"/>
        <v/>
      </c>
      <c r="L334" s="20" t="str">
        <f t="shared" si="46"/>
        <v/>
      </c>
      <c r="M334" s="6"/>
      <c r="N334" s="19" t="str">
        <f t="shared" si="47"/>
        <v/>
      </c>
      <c r="O334" s="23" t="str">
        <f>IF(B334="","",TRIM(IF(COUNTIF('Registru comenzi'!$B$5:$B$304,B334)=0,"Comandă inexistentă în registru. ","")&amp;IF(AND(D334&lt;&gt;"",E334=""),"Cod necunoscut. ","")&amp;IF(N(G334)&lt;=0,"Lipsește cantitatea. ","")&amp;IF(N(M334)&gt;N(G334),"Livrat mai mult decât s-a comandat. ","")&amp;IF(N(I334)&gt;0.3,"Discount neobișnuit de mare. ","")))</f>
        <v/>
      </c>
    </row>
    <row r="335" spans="1:15" x14ac:dyDescent="0.2">
      <c r="A335" s="1" t="str">
        <f t="shared" si="40"/>
        <v/>
      </c>
      <c r="B335" s="17"/>
      <c r="C335" s="18" t="str">
        <f>IF(B335="","",COUNTIF(INDEX($B:$B,5):B335,B335))</f>
        <v/>
      </c>
      <c r="D335" s="17"/>
      <c r="E335" s="19" t="str">
        <f t="shared" si="41"/>
        <v/>
      </c>
      <c r="F335" s="18" t="str">
        <f t="shared" si="42"/>
        <v/>
      </c>
      <c r="G335" s="6"/>
      <c r="H335" s="20" t="str">
        <f t="shared" si="43"/>
        <v/>
      </c>
      <c r="I335" s="21"/>
      <c r="J335" s="22" t="str">
        <f t="shared" si="44"/>
        <v/>
      </c>
      <c r="K335" s="20" t="str">
        <f t="shared" si="45"/>
        <v/>
      </c>
      <c r="L335" s="20" t="str">
        <f t="shared" si="46"/>
        <v/>
      </c>
      <c r="M335" s="6"/>
      <c r="N335" s="19" t="str">
        <f t="shared" si="47"/>
        <v/>
      </c>
      <c r="O335" s="23" t="str">
        <f>IF(B335="","",TRIM(IF(COUNTIF('Registru comenzi'!$B$5:$B$304,B335)=0,"Comandă inexistentă în registru. ","")&amp;IF(AND(D335&lt;&gt;"",E335=""),"Cod necunoscut. ","")&amp;IF(N(G335)&lt;=0,"Lipsește cantitatea. ","")&amp;IF(N(M335)&gt;N(G335),"Livrat mai mult decât s-a comandat. ","")&amp;IF(N(I335)&gt;0.3,"Discount neobișnuit de mare. ","")))</f>
        <v/>
      </c>
    </row>
    <row r="336" spans="1:15" x14ac:dyDescent="0.2">
      <c r="A336" s="1" t="str">
        <f t="shared" si="40"/>
        <v/>
      </c>
      <c r="B336" s="17"/>
      <c r="C336" s="18" t="str">
        <f>IF(B336="","",COUNTIF(INDEX($B:$B,5):B336,B336))</f>
        <v/>
      </c>
      <c r="D336" s="17"/>
      <c r="E336" s="19" t="str">
        <f t="shared" si="41"/>
        <v/>
      </c>
      <c r="F336" s="18" t="str">
        <f t="shared" si="42"/>
        <v/>
      </c>
      <c r="G336" s="6"/>
      <c r="H336" s="20" t="str">
        <f t="shared" si="43"/>
        <v/>
      </c>
      <c r="I336" s="21"/>
      <c r="J336" s="22" t="str">
        <f t="shared" si="44"/>
        <v/>
      </c>
      <c r="K336" s="20" t="str">
        <f t="shared" si="45"/>
        <v/>
      </c>
      <c r="L336" s="20" t="str">
        <f t="shared" si="46"/>
        <v/>
      </c>
      <c r="M336" s="6"/>
      <c r="N336" s="19" t="str">
        <f t="shared" si="47"/>
        <v/>
      </c>
      <c r="O336" s="23" t="str">
        <f>IF(B336="","",TRIM(IF(COUNTIF('Registru comenzi'!$B$5:$B$304,B336)=0,"Comandă inexistentă în registru. ","")&amp;IF(AND(D336&lt;&gt;"",E336=""),"Cod necunoscut. ","")&amp;IF(N(G336)&lt;=0,"Lipsește cantitatea. ","")&amp;IF(N(M336)&gt;N(G336),"Livrat mai mult decât s-a comandat. ","")&amp;IF(N(I336)&gt;0.3,"Discount neobișnuit de mare. ","")))</f>
        <v/>
      </c>
    </row>
    <row r="337" spans="1:15" x14ac:dyDescent="0.2">
      <c r="A337" s="1" t="str">
        <f t="shared" si="40"/>
        <v/>
      </c>
      <c r="B337" s="17"/>
      <c r="C337" s="18" t="str">
        <f>IF(B337="","",COUNTIF(INDEX($B:$B,5):B337,B337))</f>
        <v/>
      </c>
      <c r="D337" s="17"/>
      <c r="E337" s="19" t="str">
        <f t="shared" si="41"/>
        <v/>
      </c>
      <c r="F337" s="18" t="str">
        <f t="shared" si="42"/>
        <v/>
      </c>
      <c r="G337" s="6"/>
      <c r="H337" s="20" t="str">
        <f t="shared" si="43"/>
        <v/>
      </c>
      <c r="I337" s="21"/>
      <c r="J337" s="22" t="str">
        <f t="shared" si="44"/>
        <v/>
      </c>
      <c r="K337" s="20" t="str">
        <f t="shared" si="45"/>
        <v/>
      </c>
      <c r="L337" s="20" t="str">
        <f t="shared" si="46"/>
        <v/>
      </c>
      <c r="M337" s="6"/>
      <c r="N337" s="19" t="str">
        <f t="shared" si="47"/>
        <v/>
      </c>
      <c r="O337" s="23" t="str">
        <f>IF(B337="","",TRIM(IF(COUNTIF('Registru comenzi'!$B$5:$B$304,B337)=0,"Comandă inexistentă în registru. ","")&amp;IF(AND(D337&lt;&gt;"",E337=""),"Cod necunoscut. ","")&amp;IF(N(G337)&lt;=0,"Lipsește cantitatea. ","")&amp;IF(N(M337)&gt;N(G337),"Livrat mai mult decât s-a comandat. ","")&amp;IF(N(I337)&gt;0.3,"Discount neobișnuit de mare. ","")))</f>
        <v/>
      </c>
    </row>
    <row r="338" spans="1:15" x14ac:dyDescent="0.2">
      <c r="A338" s="1" t="str">
        <f t="shared" si="40"/>
        <v/>
      </c>
      <c r="B338" s="17"/>
      <c r="C338" s="18" t="str">
        <f>IF(B338="","",COUNTIF(INDEX($B:$B,5):B338,B338))</f>
        <v/>
      </c>
      <c r="D338" s="17"/>
      <c r="E338" s="19" t="str">
        <f t="shared" si="41"/>
        <v/>
      </c>
      <c r="F338" s="18" t="str">
        <f t="shared" si="42"/>
        <v/>
      </c>
      <c r="G338" s="6"/>
      <c r="H338" s="20" t="str">
        <f t="shared" si="43"/>
        <v/>
      </c>
      <c r="I338" s="21"/>
      <c r="J338" s="22" t="str">
        <f t="shared" si="44"/>
        <v/>
      </c>
      <c r="K338" s="20" t="str">
        <f t="shared" si="45"/>
        <v/>
      </c>
      <c r="L338" s="20" t="str">
        <f t="shared" si="46"/>
        <v/>
      </c>
      <c r="M338" s="6"/>
      <c r="N338" s="19" t="str">
        <f t="shared" si="47"/>
        <v/>
      </c>
      <c r="O338" s="23" t="str">
        <f>IF(B338="","",TRIM(IF(COUNTIF('Registru comenzi'!$B$5:$B$304,B338)=0,"Comandă inexistentă în registru. ","")&amp;IF(AND(D338&lt;&gt;"",E338=""),"Cod necunoscut. ","")&amp;IF(N(G338)&lt;=0,"Lipsește cantitatea. ","")&amp;IF(N(M338)&gt;N(G338),"Livrat mai mult decât s-a comandat. ","")&amp;IF(N(I338)&gt;0.3,"Discount neobișnuit de mare. ","")))</f>
        <v/>
      </c>
    </row>
    <row r="339" spans="1:15" x14ac:dyDescent="0.2">
      <c r="A339" s="1" t="str">
        <f t="shared" si="40"/>
        <v/>
      </c>
      <c r="B339" s="17"/>
      <c r="C339" s="18" t="str">
        <f>IF(B339="","",COUNTIF(INDEX($B:$B,5):B339,B339))</f>
        <v/>
      </c>
      <c r="D339" s="17"/>
      <c r="E339" s="19" t="str">
        <f t="shared" si="41"/>
        <v/>
      </c>
      <c r="F339" s="18" t="str">
        <f t="shared" si="42"/>
        <v/>
      </c>
      <c r="G339" s="6"/>
      <c r="H339" s="20" t="str">
        <f t="shared" si="43"/>
        <v/>
      </c>
      <c r="I339" s="21"/>
      <c r="J339" s="22" t="str">
        <f t="shared" si="44"/>
        <v/>
      </c>
      <c r="K339" s="20" t="str">
        <f t="shared" si="45"/>
        <v/>
      </c>
      <c r="L339" s="20" t="str">
        <f t="shared" si="46"/>
        <v/>
      </c>
      <c r="M339" s="6"/>
      <c r="N339" s="19" t="str">
        <f t="shared" si="47"/>
        <v/>
      </c>
      <c r="O339" s="23" t="str">
        <f>IF(B339="","",TRIM(IF(COUNTIF('Registru comenzi'!$B$5:$B$304,B339)=0,"Comandă inexistentă în registru. ","")&amp;IF(AND(D339&lt;&gt;"",E339=""),"Cod necunoscut. ","")&amp;IF(N(G339)&lt;=0,"Lipsește cantitatea. ","")&amp;IF(N(M339)&gt;N(G339),"Livrat mai mult decât s-a comandat. ","")&amp;IF(N(I339)&gt;0.3,"Discount neobișnuit de mare. ","")))</f>
        <v/>
      </c>
    </row>
    <row r="340" spans="1:15" x14ac:dyDescent="0.2">
      <c r="A340" s="1" t="str">
        <f t="shared" si="40"/>
        <v/>
      </c>
      <c r="B340" s="17"/>
      <c r="C340" s="18" t="str">
        <f>IF(B340="","",COUNTIF(INDEX($B:$B,5):B340,B340))</f>
        <v/>
      </c>
      <c r="D340" s="17"/>
      <c r="E340" s="19" t="str">
        <f t="shared" si="41"/>
        <v/>
      </c>
      <c r="F340" s="18" t="str">
        <f t="shared" si="42"/>
        <v/>
      </c>
      <c r="G340" s="6"/>
      <c r="H340" s="20" t="str">
        <f t="shared" si="43"/>
        <v/>
      </c>
      <c r="I340" s="21"/>
      <c r="J340" s="22" t="str">
        <f t="shared" si="44"/>
        <v/>
      </c>
      <c r="K340" s="20" t="str">
        <f t="shared" si="45"/>
        <v/>
      </c>
      <c r="L340" s="20" t="str">
        <f t="shared" si="46"/>
        <v/>
      </c>
      <c r="M340" s="6"/>
      <c r="N340" s="19" t="str">
        <f t="shared" si="47"/>
        <v/>
      </c>
      <c r="O340" s="23" t="str">
        <f>IF(B340="","",TRIM(IF(COUNTIF('Registru comenzi'!$B$5:$B$304,B340)=0,"Comandă inexistentă în registru. ","")&amp;IF(AND(D340&lt;&gt;"",E340=""),"Cod necunoscut. ","")&amp;IF(N(G340)&lt;=0,"Lipsește cantitatea. ","")&amp;IF(N(M340)&gt;N(G340),"Livrat mai mult decât s-a comandat. ","")&amp;IF(N(I340)&gt;0.3,"Discount neobișnuit de mare. ","")))</f>
        <v/>
      </c>
    </row>
    <row r="341" spans="1:15" x14ac:dyDescent="0.2">
      <c r="A341" s="1" t="str">
        <f t="shared" si="40"/>
        <v/>
      </c>
      <c r="B341" s="17"/>
      <c r="C341" s="18" t="str">
        <f>IF(B341="","",COUNTIF(INDEX($B:$B,5):B341,B341))</f>
        <v/>
      </c>
      <c r="D341" s="17"/>
      <c r="E341" s="19" t="str">
        <f t="shared" si="41"/>
        <v/>
      </c>
      <c r="F341" s="18" t="str">
        <f t="shared" si="42"/>
        <v/>
      </c>
      <c r="G341" s="6"/>
      <c r="H341" s="20" t="str">
        <f t="shared" si="43"/>
        <v/>
      </c>
      <c r="I341" s="21"/>
      <c r="J341" s="22" t="str">
        <f t="shared" si="44"/>
        <v/>
      </c>
      <c r="K341" s="20" t="str">
        <f t="shared" si="45"/>
        <v/>
      </c>
      <c r="L341" s="20" t="str">
        <f t="shared" si="46"/>
        <v/>
      </c>
      <c r="M341" s="6"/>
      <c r="N341" s="19" t="str">
        <f t="shared" si="47"/>
        <v/>
      </c>
      <c r="O341" s="23" t="str">
        <f>IF(B341="","",TRIM(IF(COUNTIF('Registru comenzi'!$B$5:$B$304,B341)=0,"Comandă inexistentă în registru. ","")&amp;IF(AND(D341&lt;&gt;"",E341=""),"Cod necunoscut. ","")&amp;IF(N(G341)&lt;=0,"Lipsește cantitatea. ","")&amp;IF(N(M341)&gt;N(G341),"Livrat mai mult decât s-a comandat. ","")&amp;IF(N(I341)&gt;0.3,"Discount neobișnuit de mare. ","")))</f>
        <v/>
      </c>
    </row>
    <row r="342" spans="1:15" x14ac:dyDescent="0.2">
      <c r="A342" s="1" t="str">
        <f t="shared" si="40"/>
        <v/>
      </c>
      <c r="B342" s="17"/>
      <c r="C342" s="18" t="str">
        <f>IF(B342="","",COUNTIF(INDEX($B:$B,5):B342,B342))</f>
        <v/>
      </c>
      <c r="D342" s="17"/>
      <c r="E342" s="19" t="str">
        <f t="shared" si="41"/>
        <v/>
      </c>
      <c r="F342" s="18" t="str">
        <f t="shared" si="42"/>
        <v/>
      </c>
      <c r="G342" s="6"/>
      <c r="H342" s="20" t="str">
        <f t="shared" si="43"/>
        <v/>
      </c>
      <c r="I342" s="21"/>
      <c r="J342" s="22" t="str">
        <f t="shared" si="44"/>
        <v/>
      </c>
      <c r="K342" s="20" t="str">
        <f t="shared" si="45"/>
        <v/>
      </c>
      <c r="L342" s="20" t="str">
        <f t="shared" si="46"/>
        <v/>
      </c>
      <c r="M342" s="6"/>
      <c r="N342" s="19" t="str">
        <f t="shared" si="47"/>
        <v/>
      </c>
      <c r="O342" s="23" t="str">
        <f>IF(B342="","",TRIM(IF(COUNTIF('Registru comenzi'!$B$5:$B$304,B342)=0,"Comandă inexistentă în registru. ","")&amp;IF(AND(D342&lt;&gt;"",E342=""),"Cod necunoscut. ","")&amp;IF(N(G342)&lt;=0,"Lipsește cantitatea. ","")&amp;IF(N(M342)&gt;N(G342),"Livrat mai mult decât s-a comandat. ","")&amp;IF(N(I342)&gt;0.3,"Discount neobișnuit de mare. ","")))</f>
        <v/>
      </c>
    </row>
    <row r="343" spans="1:15" x14ac:dyDescent="0.2">
      <c r="A343" s="1" t="str">
        <f t="shared" si="40"/>
        <v/>
      </c>
      <c r="B343" s="17"/>
      <c r="C343" s="18" t="str">
        <f>IF(B343="","",COUNTIF(INDEX($B:$B,5):B343,B343))</f>
        <v/>
      </c>
      <c r="D343" s="17"/>
      <c r="E343" s="19" t="str">
        <f t="shared" si="41"/>
        <v/>
      </c>
      <c r="F343" s="18" t="str">
        <f t="shared" si="42"/>
        <v/>
      </c>
      <c r="G343" s="6"/>
      <c r="H343" s="20" t="str">
        <f t="shared" si="43"/>
        <v/>
      </c>
      <c r="I343" s="21"/>
      <c r="J343" s="22" t="str">
        <f t="shared" si="44"/>
        <v/>
      </c>
      <c r="K343" s="20" t="str">
        <f t="shared" si="45"/>
        <v/>
      </c>
      <c r="L343" s="20" t="str">
        <f t="shared" si="46"/>
        <v/>
      </c>
      <c r="M343" s="6"/>
      <c r="N343" s="19" t="str">
        <f t="shared" si="47"/>
        <v/>
      </c>
      <c r="O343" s="23" t="str">
        <f>IF(B343="","",TRIM(IF(COUNTIF('Registru comenzi'!$B$5:$B$304,B343)=0,"Comandă inexistentă în registru. ","")&amp;IF(AND(D343&lt;&gt;"",E343=""),"Cod necunoscut. ","")&amp;IF(N(G343)&lt;=0,"Lipsește cantitatea. ","")&amp;IF(N(M343)&gt;N(G343),"Livrat mai mult decât s-a comandat. ","")&amp;IF(N(I343)&gt;0.3,"Discount neobișnuit de mare. ","")))</f>
        <v/>
      </c>
    </row>
    <row r="344" spans="1:15" x14ac:dyDescent="0.2">
      <c r="A344" s="1" t="str">
        <f t="shared" si="40"/>
        <v/>
      </c>
      <c r="B344" s="17"/>
      <c r="C344" s="18" t="str">
        <f>IF(B344="","",COUNTIF(INDEX($B:$B,5):B344,B344))</f>
        <v/>
      </c>
      <c r="D344" s="17"/>
      <c r="E344" s="19" t="str">
        <f t="shared" si="41"/>
        <v/>
      </c>
      <c r="F344" s="18" t="str">
        <f t="shared" si="42"/>
        <v/>
      </c>
      <c r="G344" s="6"/>
      <c r="H344" s="20" t="str">
        <f t="shared" si="43"/>
        <v/>
      </c>
      <c r="I344" s="21"/>
      <c r="J344" s="22" t="str">
        <f t="shared" si="44"/>
        <v/>
      </c>
      <c r="K344" s="20" t="str">
        <f t="shared" si="45"/>
        <v/>
      </c>
      <c r="L344" s="20" t="str">
        <f t="shared" si="46"/>
        <v/>
      </c>
      <c r="M344" s="6"/>
      <c r="N344" s="19" t="str">
        <f t="shared" si="47"/>
        <v/>
      </c>
      <c r="O344" s="23" t="str">
        <f>IF(B344="","",TRIM(IF(COUNTIF('Registru comenzi'!$B$5:$B$304,B344)=0,"Comandă inexistentă în registru. ","")&amp;IF(AND(D344&lt;&gt;"",E344=""),"Cod necunoscut. ","")&amp;IF(N(G344)&lt;=0,"Lipsește cantitatea. ","")&amp;IF(N(M344)&gt;N(G344),"Livrat mai mult decât s-a comandat. ","")&amp;IF(N(I344)&gt;0.3,"Discount neobișnuit de mare. ","")))</f>
        <v/>
      </c>
    </row>
    <row r="345" spans="1:15" x14ac:dyDescent="0.2">
      <c r="A345" s="1" t="str">
        <f t="shared" si="40"/>
        <v/>
      </c>
      <c r="B345" s="17"/>
      <c r="C345" s="18" t="str">
        <f>IF(B345="","",COUNTIF(INDEX($B:$B,5):B345,B345))</f>
        <v/>
      </c>
      <c r="D345" s="17"/>
      <c r="E345" s="19" t="str">
        <f t="shared" si="41"/>
        <v/>
      </c>
      <c r="F345" s="18" t="str">
        <f t="shared" si="42"/>
        <v/>
      </c>
      <c r="G345" s="6"/>
      <c r="H345" s="20" t="str">
        <f t="shared" si="43"/>
        <v/>
      </c>
      <c r="I345" s="21"/>
      <c r="J345" s="22" t="str">
        <f t="shared" si="44"/>
        <v/>
      </c>
      <c r="K345" s="20" t="str">
        <f t="shared" si="45"/>
        <v/>
      </c>
      <c r="L345" s="20" t="str">
        <f t="shared" si="46"/>
        <v/>
      </c>
      <c r="M345" s="6"/>
      <c r="N345" s="19" t="str">
        <f t="shared" si="47"/>
        <v/>
      </c>
      <c r="O345" s="23" t="str">
        <f>IF(B345="","",TRIM(IF(COUNTIF('Registru comenzi'!$B$5:$B$304,B345)=0,"Comandă inexistentă în registru. ","")&amp;IF(AND(D345&lt;&gt;"",E345=""),"Cod necunoscut. ","")&amp;IF(N(G345)&lt;=0,"Lipsește cantitatea. ","")&amp;IF(N(M345)&gt;N(G345),"Livrat mai mult decât s-a comandat. ","")&amp;IF(N(I345)&gt;0.3,"Discount neobișnuit de mare. ","")))</f>
        <v/>
      </c>
    </row>
    <row r="346" spans="1:15" x14ac:dyDescent="0.2">
      <c r="A346" s="1" t="str">
        <f t="shared" si="40"/>
        <v/>
      </c>
      <c r="B346" s="17"/>
      <c r="C346" s="18" t="str">
        <f>IF(B346="","",COUNTIF(INDEX($B:$B,5):B346,B346))</f>
        <v/>
      </c>
      <c r="D346" s="17"/>
      <c r="E346" s="19" t="str">
        <f t="shared" si="41"/>
        <v/>
      </c>
      <c r="F346" s="18" t="str">
        <f t="shared" si="42"/>
        <v/>
      </c>
      <c r="G346" s="6"/>
      <c r="H346" s="20" t="str">
        <f t="shared" si="43"/>
        <v/>
      </c>
      <c r="I346" s="21"/>
      <c r="J346" s="22" t="str">
        <f t="shared" si="44"/>
        <v/>
      </c>
      <c r="K346" s="20" t="str">
        <f t="shared" si="45"/>
        <v/>
      </c>
      <c r="L346" s="20" t="str">
        <f t="shared" si="46"/>
        <v/>
      </c>
      <c r="M346" s="6"/>
      <c r="N346" s="19" t="str">
        <f t="shared" si="47"/>
        <v/>
      </c>
      <c r="O346" s="23" t="str">
        <f>IF(B346="","",TRIM(IF(COUNTIF('Registru comenzi'!$B$5:$B$304,B346)=0,"Comandă inexistentă în registru. ","")&amp;IF(AND(D346&lt;&gt;"",E346=""),"Cod necunoscut. ","")&amp;IF(N(G346)&lt;=0,"Lipsește cantitatea. ","")&amp;IF(N(M346)&gt;N(G346),"Livrat mai mult decât s-a comandat. ","")&amp;IF(N(I346)&gt;0.3,"Discount neobișnuit de mare. ","")))</f>
        <v/>
      </c>
    </row>
    <row r="347" spans="1:15" x14ac:dyDescent="0.2">
      <c r="A347" s="1" t="str">
        <f t="shared" si="40"/>
        <v/>
      </c>
      <c r="B347" s="17"/>
      <c r="C347" s="18" t="str">
        <f>IF(B347="","",COUNTIF(INDEX($B:$B,5):B347,B347))</f>
        <v/>
      </c>
      <c r="D347" s="17"/>
      <c r="E347" s="19" t="str">
        <f t="shared" si="41"/>
        <v/>
      </c>
      <c r="F347" s="18" t="str">
        <f t="shared" si="42"/>
        <v/>
      </c>
      <c r="G347" s="6"/>
      <c r="H347" s="20" t="str">
        <f t="shared" si="43"/>
        <v/>
      </c>
      <c r="I347" s="21"/>
      <c r="J347" s="22" t="str">
        <f t="shared" si="44"/>
        <v/>
      </c>
      <c r="K347" s="20" t="str">
        <f t="shared" si="45"/>
        <v/>
      </c>
      <c r="L347" s="20" t="str">
        <f t="shared" si="46"/>
        <v/>
      </c>
      <c r="M347" s="6"/>
      <c r="N347" s="19" t="str">
        <f t="shared" si="47"/>
        <v/>
      </c>
      <c r="O347" s="23" t="str">
        <f>IF(B347="","",TRIM(IF(COUNTIF('Registru comenzi'!$B$5:$B$304,B347)=0,"Comandă inexistentă în registru. ","")&amp;IF(AND(D347&lt;&gt;"",E347=""),"Cod necunoscut. ","")&amp;IF(N(G347)&lt;=0,"Lipsește cantitatea. ","")&amp;IF(N(M347)&gt;N(G347),"Livrat mai mult decât s-a comandat. ","")&amp;IF(N(I347)&gt;0.3,"Discount neobișnuit de mare. ","")))</f>
        <v/>
      </c>
    </row>
    <row r="348" spans="1:15" x14ac:dyDescent="0.2">
      <c r="A348" s="1" t="str">
        <f t="shared" si="40"/>
        <v/>
      </c>
      <c r="B348" s="17"/>
      <c r="C348" s="18" t="str">
        <f>IF(B348="","",COUNTIF(INDEX($B:$B,5):B348,B348))</f>
        <v/>
      </c>
      <c r="D348" s="17"/>
      <c r="E348" s="19" t="str">
        <f t="shared" si="41"/>
        <v/>
      </c>
      <c r="F348" s="18" t="str">
        <f t="shared" si="42"/>
        <v/>
      </c>
      <c r="G348" s="6"/>
      <c r="H348" s="20" t="str">
        <f t="shared" si="43"/>
        <v/>
      </c>
      <c r="I348" s="21"/>
      <c r="J348" s="22" t="str">
        <f t="shared" si="44"/>
        <v/>
      </c>
      <c r="K348" s="20" t="str">
        <f t="shared" si="45"/>
        <v/>
      </c>
      <c r="L348" s="20" t="str">
        <f t="shared" si="46"/>
        <v/>
      </c>
      <c r="M348" s="6"/>
      <c r="N348" s="19" t="str">
        <f t="shared" si="47"/>
        <v/>
      </c>
      <c r="O348" s="23" t="str">
        <f>IF(B348="","",TRIM(IF(COUNTIF('Registru comenzi'!$B$5:$B$304,B348)=0,"Comandă inexistentă în registru. ","")&amp;IF(AND(D348&lt;&gt;"",E348=""),"Cod necunoscut. ","")&amp;IF(N(G348)&lt;=0,"Lipsește cantitatea. ","")&amp;IF(N(M348)&gt;N(G348),"Livrat mai mult decât s-a comandat. ","")&amp;IF(N(I348)&gt;0.3,"Discount neobișnuit de mare. ","")))</f>
        <v/>
      </c>
    </row>
    <row r="349" spans="1:15" x14ac:dyDescent="0.2">
      <c r="A349" s="1" t="str">
        <f t="shared" si="40"/>
        <v/>
      </c>
      <c r="B349" s="17"/>
      <c r="C349" s="18" t="str">
        <f>IF(B349="","",COUNTIF(INDEX($B:$B,5):B349,B349))</f>
        <v/>
      </c>
      <c r="D349" s="17"/>
      <c r="E349" s="19" t="str">
        <f t="shared" si="41"/>
        <v/>
      </c>
      <c r="F349" s="18" t="str">
        <f t="shared" si="42"/>
        <v/>
      </c>
      <c r="G349" s="6"/>
      <c r="H349" s="20" t="str">
        <f t="shared" si="43"/>
        <v/>
      </c>
      <c r="I349" s="21"/>
      <c r="J349" s="22" t="str">
        <f t="shared" si="44"/>
        <v/>
      </c>
      <c r="K349" s="20" t="str">
        <f t="shared" si="45"/>
        <v/>
      </c>
      <c r="L349" s="20" t="str">
        <f t="shared" si="46"/>
        <v/>
      </c>
      <c r="M349" s="6"/>
      <c r="N349" s="19" t="str">
        <f t="shared" si="47"/>
        <v/>
      </c>
      <c r="O349" s="23" t="str">
        <f>IF(B349="","",TRIM(IF(COUNTIF('Registru comenzi'!$B$5:$B$304,B349)=0,"Comandă inexistentă în registru. ","")&amp;IF(AND(D349&lt;&gt;"",E349=""),"Cod necunoscut. ","")&amp;IF(N(G349)&lt;=0,"Lipsește cantitatea. ","")&amp;IF(N(M349)&gt;N(G349),"Livrat mai mult decât s-a comandat. ","")&amp;IF(N(I349)&gt;0.3,"Discount neobișnuit de mare. ","")))</f>
        <v/>
      </c>
    </row>
    <row r="350" spans="1:15" x14ac:dyDescent="0.2">
      <c r="A350" s="1" t="str">
        <f t="shared" si="40"/>
        <v/>
      </c>
      <c r="B350" s="17"/>
      <c r="C350" s="18" t="str">
        <f>IF(B350="","",COUNTIF(INDEX($B:$B,5):B350,B350))</f>
        <v/>
      </c>
      <c r="D350" s="17"/>
      <c r="E350" s="19" t="str">
        <f t="shared" si="41"/>
        <v/>
      </c>
      <c r="F350" s="18" t="str">
        <f t="shared" si="42"/>
        <v/>
      </c>
      <c r="G350" s="6"/>
      <c r="H350" s="20" t="str">
        <f t="shared" si="43"/>
        <v/>
      </c>
      <c r="I350" s="21"/>
      <c r="J350" s="22" t="str">
        <f t="shared" si="44"/>
        <v/>
      </c>
      <c r="K350" s="20" t="str">
        <f t="shared" si="45"/>
        <v/>
      </c>
      <c r="L350" s="20" t="str">
        <f t="shared" si="46"/>
        <v/>
      </c>
      <c r="M350" s="6"/>
      <c r="N350" s="19" t="str">
        <f t="shared" si="47"/>
        <v/>
      </c>
      <c r="O350" s="23" t="str">
        <f>IF(B350="","",TRIM(IF(COUNTIF('Registru comenzi'!$B$5:$B$304,B350)=0,"Comandă inexistentă în registru. ","")&amp;IF(AND(D350&lt;&gt;"",E350=""),"Cod necunoscut. ","")&amp;IF(N(G350)&lt;=0,"Lipsește cantitatea. ","")&amp;IF(N(M350)&gt;N(G350),"Livrat mai mult decât s-a comandat. ","")&amp;IF(N(I350)&gt;0.3,"Discount neobișnuit de mare. ","")))</f>
        <v/>
      </c>
    </row>
    <row r="351" spans="1:15" x14ac:dyDescent="0.2">
      <c r="A351" s="1" t="str">
        <f t="shared" si="40"/>
        <v/>
      </c>
      <c r="B351" s="17"/>
      <c r="C351" s="18" t="str">
        <f>IF(B351="","",COUNTIF(INDEX($B:$B,5):B351,B351))</f>
        <v/>
      </c>
      <c r="D351" s="17"/>
      <c r="E351" s="19" t="str">
        <f t="shared" si="41"/>
        <v/>
      </c>
      <c r="F351" s="18" t="str">
        <f t="shared" si="42"/>
        <v/>
      </c>
      <c r="G351" s="6"/>
      <c r="H351" s="20" t="str">
        <f t="shared" si="43"/>
        <v/>
      </c>
      <c r="I351" s="21"/>
      <c r="J351" s="22" t="str">
        <f t="shared" si="44"/>
        <v/>
      </c>
      <c r="K351" s="20" t="str">
        <f t="shared" si="45"/>
        <v/>
      </c>
      <c r="L351" s="20" t="str">
        <f t="shared" si="46"/>
        <v/>
      </c>
      <c r="M351" s="6"/>
      <c r="N351" s="19" t="str">
        <f t="shared" si="47"/>
        <v/>
      </c>
      <c r="O351" s="23" t="str">
        <f>IF(B351="","",TRIM(IF(COUNTIF('Registru comenzi'!$B$5:$B$304,B351)=0,"Comandă inexistentă în registru. ","")&amp;IF(AND(D351&lt;&gt;"",E351=""),"Cod necunoscut. ","")&amp;IF(N(G351)&lt;=0,"Lipsește cantitatea. ","")&amp;IF(N(M351)&gt;N(G351),"Livrat mai mult decât s-a comandat. ","")&amp;IF(N(I351)&gt;0.3,"Discount neobișnuit de mare. ","")))</f>
        <v/>
      </c>
    </row>
    <row r="352" spans="1:15" x14ac:dyDescent="0.2">
      <c r="A352" s="1" t="str">
        <f t="shared" si="40"/>
        <v/>
      </c>
      <c r="B352" s="17"/>
      <c r="C352" s="18" t="str">
        <f>IF(B352="","",COUNTIF(INDEX($B:$B,5):B352,B352))</f>
        <v/>
      </c>
      <c r="D352" s="17"/>
      <c r="E352" s="19" t="str">
        <f t="shared" si="41"/>
        <v/>
      </c>
      <c r="F352" s="18" t="str">
        <f t="shared" si="42"/>
        <v/>
      </c>
      <c r="G352" s="6"/>
      <c r="H352" s="20" t="str">
        <f t="shared" si="43"/>
        <v/>
      </c>
      <c r="I352" s="21"/>
      <c r="J352" s="22" t="str">
        <f t="shared" si="44"/>
        <v/>
      </c>
      <c r="K352" s="20" t="str">
        <f t="shared" si="45"/>
        <v/>
      </c>
      <c r="L352" s="20" t="str">
        <f t="shared" si="46"/>
        <v/>
      </c>
      <c r="M352" s="6"/>
      <c r="N352" s="19" t="str">
        <f t="shared" si="47"/>
        <v/>
      </c>
      <c r="O352" s="23" t="str">
        <f>IF(B352="","",TRIM(IF(COUNTIF('Registru comenzi'!$B$5:$B$304,B352)=0,"Comandă inexistentă în registru. ","")&amp;IF(AND(D352&lt;&gt;"",E352=""),"Cod necunoscut. ","")&amp;IF(N(G352)&lt;=0,"Lipsește cantitatea. ","")&amp;IF(N(M352)&gt;N(G352),"Livrat mai mult decât s-a comandat. ","")&amp;IF(N(I352)&gt;0.3,"Discount neobișnuit de mare. ","")))</f>
        <v/>
      </c>
    </row>
    <row r="353" spans="1:15" x14ac:dyDescent="0.2">
      <c r="A353" s="1" t="str">
        <f t="shared" si="40"/>
        <v/>
      </c>
      <c r="B353" s="17"/>
      <c r="C353" s="18" t="str">
        <f>IF(B353="","",COUNTIF(INDEX($B:$B,5):B353,B353))</f>
        <v/>
      </c>
      <c r="D353" s="17"/>
      <c r="E353" s="19" t="str">
        <f t="shared" si="41"/>
        <v/>
      </c>
      <c r="F353" s="18" t="str">
        <f t="shared" si="42"/>
        <v/>
      </c>
      <c r="G353" s="6"/>
      <c r="H353" s="20" t="str">
        <f t="shared" si="43"/>
        <v/>
      </c>
      <c r="I353" s="21"/>
      <c r="J353" s="22" t="str">
        <f t="shared" si="44"/>
        <v/>
      </c>
      <c r="K353" s="20" t="str">
        <f t="shared" si="45"/>
        <v/>
      </c>
      <c r="L353" s="20" t="str">
        <f t="shared" si="46"/>
        <v/>
      </c>
      <c r="M353" s="6"/>
      <c r="N353" s="19" t="str">
        <f t="shared" si="47"/>
        <v/>
      </c>
      <c r="O353" s="23" t="str">
        <f>IF(B353="","",TRIM(IF(COUNTIF('Registru comenzi'!$B$5:$B$304,B353)=0,"Comandă inexistentă în registru. ","")&amp;IF(AND(D353&lt;&gt;"",E353=""),"Cod necunoscut. ","")&amp;IF(N(G353)&lt;=0,"Lipsește cantitatea. ","")&amp;IF(N(M353)&gt;N(G353),"Livrat mai mult decât s-a comandat. ","")&amp;IF(N(I353)&gt;0.3,"Discount neobișnuit de mare. ","")))</f>
        <v/>
      </c>
    </row>
    <row r="354" spans="1:15" x14ac:dyDescent="0.2">
      <c r="A354" s="1" t="str">
        <f t="shared" si="40"/>
        <v/>
      </c>
      <c r="B354" s="17"/>
      <c r="C354" s="18" t="str">
        <f>IF(B354="","",COUNTIF(INDEX($B:$B,5):B354,B354))</f>
        <v/>
      </c>
      <c r="D354" s="17"/>
      <c r="E354" s="19" t="str">
        <f t="shared" si="41"/>
        <v/>
      </c>
      <c r="F354" s="18" t="str">
        <f t="shared" si="42"/>
        <v/>
      </c>
      <c r="G354" s="6"/>
      <c r="H354" s="20" t="str">
        <f t="shared" si="43"/>
        <v/>
      </c>
      <c r="I354" s="21"/>
      <c r="J354" s="22" t="str">
        <f t="shared" si="44"/>
        <v/>
      </c>
      <c r="K354" s="20" t="str">
        <f t="shared" si="45"/>
        <v/>
      </c>
      <c r="L354" s="20" t="str">
        <f t="shared" si="46"/>
        <v/>
      </c>
      <c r="M354" s="6"/>
      <c r="N354" s="19" t="str">
        <f t="shared" si="47"/>
        <v/>
      </c>
      <c r="O354" s="23" t="str">
        <f>IF(B354="","",TRIM(IF(COUNTIF('Registru comenzi'!$B$5:$B$304,B354)=0,"Comandă inexistentă în registru. ","")&amp;IF(AND(D354&lt;&gt;"",E354=""),"Cod necunoscut. ","")&amp;IF(N(G354)&lt;=0,"Lipsește cantitatea. ","")&amp;IF(N(M354)&gt;N(G354),"Livrat mai mult decât s-a comandat. ","")&amp;IF(N(I354)&gt;0.3,"Discount neobișnuit de mare. ","")))</f>
        <v/>
      </c>
    </row>
    <row r="355" spans="1:15" x14ac:dyDescent="0.2">
      <c r="A355" s="1" t="str">
        <f t="shared" si="40"/>
        <v/>
      </c>
      <c r="B355" s="17"/>
      <c r="C355" s="18" t="str">
        <f>IF(B355="","",COUNTIF(INDEX($B:$B,5):B355,B355))</f>
        <v/>
      </c>
      <c r="D355" s="17"/>
      <c r="E355" s="19" t="str">
        <f t="shared" si="41"/>
        <v/>
      </c>
      <c r="F355" s="18" t="str">
        <f t="shared" si="42"/>
        <v/>
      </c>
      <c r="G355" s="6"/>
      <c r="H355" s="20" t="str">
        <f t="shared" si="43"/>
        <v/>
      </c>
      <c r="I355" s="21"/>
      <c r="J355" s="22" t="str">
        <f t="shared" si="44"/>
        <v/>
      </c>
      <c r="K355" s="20" t="str">
        <f t="shared" si="45"/>
        <v/>
      </c>
      <c r="L355" s="20" t="str">
        <f t="shared" si="46"/>
        <v/>
      </c>
      <c r="M355" s="6"/>
      <c r="N355" s="19" t="str">
        <f t="shared" si="47"/>
        <v/>
      </c>
      <c r="O355" s="23" t="str">
        <f>IF(B355="","",TRIM(IF(COUNTIF('Registru comenzi'!$B$5:$B$304,B355)=0,"Comandă inexistentă în registru. ","")&amp;IF(AND(D355&lt;&gt;"",E355=""),"Cod necunoscut. ","")&amp;IF(N(G355)&lt;=0,"Lipsește cantitatea. ","")&amp;IF(N(M355)&gt;N(G355),"Livrat mai mult decât s-a comandat. ","")&amp;IF(N(I355)&gt;0.3,"Discount neobișnuit de mare. ","")))</f>
        <v/>
      </c>
    </row>
    <row r="356" spans="1:15" x14ac:dyDescent="0.2">
      <c r="A356" s="1" t="str">
        <f t="shared" si="40"/>
        <v/>
      </c>
      <c r="B356" s="17"/>
      <c r="C356" s="18" t="str">
        <f>IF(B356="","",COUNTIF(INDEX($B:$B,5):B356,B356))</f>
        <v/>
      </c>
      <c r="D356" s="17"/>
      <c r="E356" s="19" t="str">
        <f t="shared" si="41"/>
        <v/>
      </c>
      <c r="F356" s="18" t="str">
        <f t="shared" si="42"/>
        <v/>
      </c>
      <c r="G356" s="6"/>
      <c r="H356" s="20" t="str">
        <f t="shared" si="43"/>
        <v/>
      </c>
      <c r="I356" s="21"/>
      <c r="J356" s="22" t="str">
        <f t="shared" si="44"/>
        <v/>
      </c>
      <c r="K356" s="20" t="str">
        <f t="shared" si="45"/>
        <v/>
      </c>
      <c r="L356" s="20" t="str">
        <f t="shared" si="46"/>
        <v/>
      </c>
      <c r="M356" s="6"/>
      <c r="N356" s="19" t="str">
        <f t="shared" si="47"/>
        <v/>
      </c>
      <c r="O356" s="23" t="str">
        <f>IF(B356="","",TRIM(IF(COUNTIF('Registru comenzi'!$B$5:$B$304,B356)=0,"Comandă inexistentă în registru. ","")&amp;IF(AND(D356&lt;&gt;"",E356=""),"Cod necunoscut. ","")&amp;IF(N(G356)&lt;=0,"Lipsește cantitatea. ","")&amp;IF(N(M356)&gt;N(G356),"Livrat mai mult decât s-a comandat. ","")&amp;IF(N(I356)&gt;0.3,"Discount neobișnuit de mare. ","")))</f>
        <v/>
      </c>
    </row>
    <row r="357" spans="1:15" x14ac:dyDescent="0.2">
      <c r="A357" s="1" t="str">
        <f t="shared" si="40"/>
        <v/>
      </c>
      <c r="B357" s="17"/>
      <c r="C357" s="18" t="str">
        <f>IF(B357="","",COUNTIF(INDEX($B:$B,5):B357,B357))</f>
        <v/>
      </c>
      <c r="D357" s="17"/>
      <c r="E357" s="19" t="str">
        <f t="shared" si="41"/>
        <v/>
      </c>
      <c r="F357" s="18" t="str">
        <f t="shared" si="42"/>
        <v/>
      </c>
      <c r="G357" s="6"/>
      <c r="H357" s="20" t="str">
        <f t="shared" si="43"/>
        <v/>
      </c>
      <c r="I357" s="21"/>
      <c r="J357" s="22" t="str">
        <f t="shared" si="44"/>
        <v/>
      </c>
      <c r="K357" s="20" t="str">
        <f t="shared" si="45"/>
        <v/>
      </c>
      <c r="L357" s="20" t="str">
        <f t="shared" si="46"/>
        <v/>
      </c>
      <c r="M357" s="6"/>
      <c r="N357" s="19" t="str">
        <f t="shared" si="47"/>
        <v/>
      </c>
      <c r="O357" s="23" t="str">
        <f>IF(B357="","",TRIM(IF(COUNTIF('Registru comenzi'!$B$5:$B$304,B357)=0,"Comandă inexistentă în registru. ","")&amp;IF(AND(D357&lt;&gt;"",E357=""),"Cod necunoscut. ","")&amp;IF(N(G357)&lt;=0,"Lipsește cantitatea. ","")&amp;IF(N(M357)&gt;N(G357),"Livrat mai mult decât s-a comandat. ","")&amp;IF(N(I357)&gt;0.3,"Discount neobișnuit de mare. ","")))</f>
        <v/>
      </c>
    </row>
    <row r="358" spans="1:15" x14ac:dyDescent="0.2">
      <c r="A358" s="1" t="str">
        <f t="shared" si="40"/>
        <v/>
      </c>
      <c r="B358" s="17"/>
      <c r="C358" s="18" t="str">
        <f>IF(B358="","",COUNTIF(INDEX($B:$B,5):B358,B358))</f>
        <v/>
      </c>
      <c r="D358" s="17"/>
      <c r="E358" s="19" t="str">
        <f t="shared" si="41"/>
        <v/>
      </c>
      <c r="F358" s="18" t="str">
        <f t="shared" si="42"/>
        <v/>
      </c>
      <c r="G358" s="6"/>
      <c r="H358" s="20" t="str">
        <f t="shared" si="43"/>
        <v/>
      </c>
      <c r="I358" s="21"/>
      <c r="J358" s="22" t="str">
        <f t="shared" si="44"/>
        <v/>
      </c>
      <c r="K358" s="20" t="str">
        <f t="shared" si="45"/>
        <v/>
      </c>
      <c r="L358" s="20" t="str">
        <f t="shared" si="46"/>
        <v/>
      </c>
      <c r="M358" s="6"/>
      <c r="N358" s="19" t="str">
        <f t="shared" si="47"/>
        <v/>
      </c>
      <c r="O358" s="23" t="str">
        <f>IF(B358="","",TRIM(IF(COUNTIF('Registru comenzi'!$B$5:$B$304,B358)=0,"Comandă inexistentă în registru. ","")&amp;IF(AND(D358&lt;&gt;"",E358=""),"Cod necunoscut. ","")&amp;IF(N(G358)&lt;=0,"Lipsește cantitatea. ","")&amp;IF(N(M358)&gt;N(G358),"Livrat mai mult decât s-a comandat. ","")&amp;IF(N(I358)&gt;0.3,"Discount neobișnuit de mare. ","")))</f>
        <v/>
      </c>
    </row>
    <row r="359" spans="1:15" x14ac:dyDescent="0.2">
      <c r="A359" s="1" t="str">
        <f t="shared" si="40"/>
        <v/>
      </c>
      <c r="B359" s="17"/>
      <c r="C359" s="18" t="str">
        <f>IF(B359="","",COUNTIF(INDEX($B:$B,5):B359,B359))</f>
        <v/>
      </c>
      <c r="D359" s="17"/>
      <c r="E359" s="19" t="str">
        <f t="shared" si="41"/>
        <v/>
      </c>
      <c r="F359" s="18" t="str">
        <f t="shared" si="42"/>
        <v/>
      </c>
      <c r="G359" s="6"/>
      <c r="H359" s="20" t="str">
        <f t="shared" si="43"/>
        <v/>
      </c>
      <c r="I359" s="21"/>
      <c r="J359" s="22" t="str">
        <f t="shared" si="44"/>
        <v/>
      </c>
      <c r="K359" s="20" t="str">
        <f t="shared" si="45"/>
        <v/>
      </c>
      <c r="L359" s="20" t="str">
        <f t="shared" si="46"/>
        <v/>
      </c>
      <c r="M359" s="6"/>
      <c r="N359" s="19" t="str">
        <f t="shared" si="47"/>
        <v/>
      </c>
      <c r="O359" s="23" t="str">
        <f>IF(B359="","",TRIM(IF(COUNTIF('Registru comenzi'!$B$5:$B$304,B359)=0,"Comandă inexistentă în registru. ","")&amp;IF(AND(D359&lt;&gt;"",E359=""),"Cod necunoscut. ","")&amp;IF(N(G359)&lt;=0,"Lipsește cantitatea. ","")&amp;IF(N(M359)&gt;N(G359),"Livrat mai mult decât s-a comandat. ","")&amp;IF(N(I359)&gt;0.3,"Discount neobișnuit de mare. ","")))</f>
        <v/>
      </c>
    </row>
    <row r="360" spans="1:15" x14ac:dyDescent="0.2">
      <c r="A360" s="1" t="str">
        <f t="shared" si="40"/>
        <v/>
      </c>
      <c r="B360" s="17"/>
      <c r="C360" s="18" t="str">
        <f>IF(B360="","",COUNTIF(INDEX($B:$B,5):B360,B360))</f>
        <v/>
      </c>
      <c r="D360" s="17"/>
      <c r="E360" s="19" t="str">
        <f t="shared" si="41"/>
        <v/>
      </c>
      <c r="F360" s="18" t="str">
        <f t="shared" si="42"/>
        <v/>
      </c>
      <c r="G360" s="6"/>
      <c r="H360" s="20" t="str">
        <f t="shared" si="43"/>
        <v/>
      </c>
      <c r="I360" s="21"/>
      <c r="J360" s="22" t="str">
        <f t="shared" si="44"/>
        <v/>
      </c>
      <c r="K360" s="20" t="str">
        <f t="shared" si="45"/>
        <v/>
      </c>
      <c r="L360" s="20" t="str">
        <f t="shared" si="46"/>
        <v/>
      </c>
      <c r="M360" s="6"/>
      <c r="N360" s="19" t="str">
        <f t="shared" si="47"/>
        <v/>
      </c>
      <c r="O360" s="23" t="str">
        <f>IF(B360="","",TRIM(IF(COUNTIF('Registru comenzi'!$B$5:$B$304,B360)=0,"Comandă inexistentă în registru. ","")&amp;IF(AND(D360&lt;&gt;"",E360=""),"Cod necunoscut. ","")&amp;IF(N(G360)&lt;=0,"Lipsește cantitatea. ","")&amp;IF(N(M360)&gt;N(G360),"Livrat mai mult decât s-a comandat. ","")&amp;IF(N(I360)&gt;0.3,"Discount neobișnuit de mare. ","")))</f>
        <v/>
      </c>
    </row>
    <row r="361" spans="1:15" x14ac:dyDescent="0.2">
      <c r="A361" s="1" t="str">
        <f t="shared" si="40"/>
        <v/>
      </c>
      <c r="B361" s="17"/>
      <c r="C361" s="18" t="str">
        <f>IF(B361="","",COUNTIF(INDEX($B:$B,5):B361,B361))</f>
        <v/>
      </c>
      <c r="D361" s="17"/>
      <c r="E361" s="19" t="str">
        <f t="shared" si="41"/>
        <v/>
      </c>
      <c r="F361" s="18" t="str">
        <f t="shared" si="42"/>
        <v/>
      </c>
      <c r="G361" s="6"/>
      <c r="H361" s="20" t="str">
        <f t="shared" si="43"/>
        <v/>
      </c>
      <c r="I361" s="21"/>
      <c r="J361" s="22" t="str">
        <f t="shared" si="44"/>
        <v/>
      </c>
      <c r="K361" s="20" t="str">
        <f t="shared" si="45"/>
        <v/>
      </c>
      <c r="L361" s="20" t="str">
        <f t="shared" si="46"/>
        <v/>
      </c>
      <c r="M361" s="6"/>
      <c r="N361" s="19" t="str">
        <f t="shared" si="47"/>
        <v/>
      </c>
      <c r="O361" s="23" t="str">
        <f>IF(B361="","",TRIM(IF(COUNTIF('Registru comenzi'!$B$5:$B$304,B361)=0,"Comandă inexistentă în registru. ","")&amp;IF(AND(D361&lt;&gt;"",E361=""),"Cod necunoscut. ","")&amp;IF(N(G361)&lt;=0,"Lipsește cantitatea. ","")&amp;IF(N(M361)&gt;N(G361),"Livrat mai mult decât s-a comandat. ","")&amp;IF(N(I361)&gt;0.3,"Discount neobișnuit de mare. ","")))</f>
        <v/>
      </c>
    </row>
    <row r="362" spans="1:15" x14ac:dyDescent="0.2">
      <c r="A362" s="1" t="str">
        <f t="shared" si="40"/>
        <v/>
      </c>
      <c r="B362" s="17"/>
      <c r="C362" s="18" t="str">
        <f>IF(B362="","",COUNTIF(INDEX($B:$B,5):B362,B362))</f>
        <v/>
      </c>
      <c r="D362" s="17"/>
      <c r="E362" s="19" t="str">
        <f t="shared" si="41"/>
        <v/>
      </c>
      <c r="F362" s="18" t="str">
        <f t="shared" si="42"/>
        <v/>
      </c>
      <c r="G362" s="6"/>
      <c r="H362" s="20" t="str">
        <f t="shared" si="43"/>
        <v/>
      </c>
      <c r="I362" s="21"/>
      <c r="J362" s="22" t="str">
        <f t="shared" si="44"/>
        <v/>
      </c>
      <c r="K362" s="20" t="str">
        <f t="shared" si="45"/>
        <v/>
      </c>
      <c r="L362" s="20" t="str">
        <f t="shared" si="46"/>
        <v/>
      </c>
      <c r="M362" s="6"/>
      <c r="N362" s="19" t="str">
        <f t="shared" si="47"/>
        <v/>
      </c>
      <c r="O362" s="23" t="str">
        <f>IF(B362="","",TRIM(IF(COUNTIF('Registru comenzi'!$B$5:$B$304,B362)=0,"Comandă inexistentă în registru. ","")&amp;IF(AND(D362&lt;&gt;"",E362=""),"Cod necunoscut. ","")&amp;IF(N(G362)&lt;=0,"Lipsește cantitatea. ","")&amp;IF(N(M362)&gt;N(G362),"Livrat mai mult decât s-a comandat. ","")&amp;IF(N(I362)&gt;0.3,"Discount neobișnuit de mare. ","")))</f>
        <v/>
      </c>
    </row>
    <row r="363" spans="1:15" x14ac:dyDescent="0.2">
      <c r="A363" s="1" t="str">
        <f t="shared" si="40"/>
        <v/>
      </c>
      <c r="B363" s="17"/>
      <c r="C363" s="18" t="str">
        <f>IF(B363="","",COUNTIF(INDEX($B:$B,5):B363,B363))</f>
        <v/>
      </c>
      <c r="D363" s="17"/>
      <c r="E363" s="19" t="str">
        <f t="shared" si="41"/>
        <v/>
      </c>
      <c r="F363" s="18" t="str">
        <f t="shared" si="42"/>
        <v/>
      </c>
      <c r="G363" s="6"/>
      <c r="H363" s="20" t="str">
        <f t="shared" si="43"/>
        <v/>
      </c>
      <c r="I363" s="21"/>
      <c r="J363" s="22" t="str">
        <f t="shared" si="44"/>
        <v/>
      </c>
      <c r="K363" s="20" t="str">
        <f t="shared" si="45"/>
        <v/>
      </c>
      <c r="L363" s="20" t="str">
        <f t="shared" si="46"/>
        <v/>
      </c>
      <c r="M363" s="6"/>
      <c r="N363" s="19" t="str">
        <f t="shared" si="47"/>
        <v/>
      </c>
      <c r="O363" s="23" t="str">
        <f>IF(B363="","",TRIM(IF(COUNTIF('Registru comenzi'!$B$5:$B$304,B363)=0,"Comandă inexistentă în registru. ","")&amp;IF(AND(D363&lt;&gt;"",E363=""),"Cod necunoscut. ","")&amp;IF(N(G363)&lt;=0,"Lipsește cantitatea. ","")&amp;IF(N(M363)&gt;N(G363),"Livrat mai mult decât s-a comandat. ","")&amp;IF(N(I363)&gt;0.3,"Discount neobișnuit de mare. ","")))</f>
        <v/>
      </c>
    </row>
    <row r="364" spans="1:15" x14ac:dyDescent="0.2">
      <c r="A364" s="1" t="str">
        <f t="shared" si="40"/>
        <v/>
      </c>
      <c r="B364" s="17"/>
      <c r="C364" s="18" t="str">
        <f>IF(B364="","",COUNTIF(INDEX($B:$B,5):B364,B364))</f>
        <v/>
      </c>
      <c r="D364" s="17"/>
      <c r="E364" s="19" t="str">
        <f t="shared" si="41"/>
        <v/>
      </c>
      <c r="F364" s="18" t="str">
        <f t="shared" si="42"/>
        <v/>
      </c>
      <c r="G364" s="6"/>
      <c r="H364" s="20" t="str">
        <f t="shared" si="43"/>
        <v/>
      </c>
      <c r="I364" s="21"/>
      <c r="J364" s="22" t="str">
        <f t="shared" si="44"/>
        <v/>
      </c>
      <c r="K364" s="20" t="str">
        <f t="shared" si="45"/>
        <v/>
      </c>
      <c r="L364" s="20" t="str">
        <f t="shared" si="46"/>
        <v/>
      </c>
      <c r="M364" s="6"/>
      <c r="N364" s="19" t="str">
        <f t="shared" si="47"/>
        <v/>
      </c>
      <c r="O364" s="23" t="str">
        <f>IF(B364="","",TRIM(IF(COUNTIF('Registru comenzi'!$B$5:$B$304,B364)=0,"Comandă inexistentă în registru. ","")&amp;IF(AND(D364&lt;&gt;"",E364=""),"Cod necunoscut. ","")&amp;IF(N(G364)&lt;=0,"Lipsește cantitatea. ","")&amp;IF(N(M364)&gt;N(G364),"Livrat mai mult decât s-a comandat. ","")&amp;IF(N(I364)&gt;0.3,"Discount neobișnuit de mare. ","")))</f>
        <v/>
      </c>
    </row>
    <row r="365" spans="1:15" x14ac:dyDescent="0.2">
      <c r="A365" s="1" t="str">
        <f t="shared" si="40"/>
        <v/>
      </c>
      <c r="B365" s="17"/>
      <c r="C365" s="18" t="str">
        <f>IF(B365="","",COUNTIF(INDEX($B:$B,5):B365,B365))</f>
        <v/>
      </c>
      <c r="D365" s="17"/>
      <c r="E365" s="19" t="str">
        <f t="shared" si="41"/>
        <v/>
      </c>
      <c r="F365" s="18" t="str">
        <f t="shared" si="42"/>
        <v/>
      </c>
      <c r="G365" s="6"/>
      <c r="H365" s="20" t="str">
        <f t="shared" si="43"/>
        <v/>
      </c>
      <c r="I365" s="21"/>
      <c r="J365" s="22" t="str">
        <f t="shared" si="44"/>
        <v/>
      </c>
      <c r="K365" s="20" t="str">
        <f t="shared" si="45"/>
        <v/>
      </c>
      <c r="L365" s="20" t="str">
        <f t="shared" si="46"/>
        <v/>
      </c>
      <c r="M365" s="6"/>
      <c r="N365" s="19" t="str">
        <f t="shared" si="47"/>
        <v/>
      </c>
      <c r="O365" s="23" t="str">
        <f>IF(B365="","",TRIM(IF(COUNTIF('Registru comenzi'!$B$5:$B$304,B365)=0,"Comandă inexistentă în registru. ","")&amp;IF(AND(D365&lt;&gt;"",E365=""),"Cod necunoscut. ","")&amp;IF(N(G365)&lt;=0,"Lipsește cantitatea. ","")&amp;IF(N(M365)&gt;N(G365),"Livrat mai mult decât s-a comandat. ","")&amp;IF(N(I365)&gt;0.3,"Discount neobișnuit de mare. ","")))</f>
        <v/>
      </c>
    </row>
    <row r="366" spans="1:15" x14ac:dyDescent="0.2">
      <c r="A366" s="1" t="str">
        <f t="shared" si="40"/>
        <v/>
      </c>
      <c r="B366" s="17"/>
      <c r="C366" s="18" t="str">
        <f>IF(B366="","",COUNTIF(INDEX($B:$B,5):B366,B366))</f>
        <v/>
      </c>
      <c r="D366" s="17"/>
      <c r="E366" s="19" t="str">
        <f t="shared" si="41"/>
        <v/>
      </c>
      <c r="F366" s="18" t="str">
        <f t="shared" si="42"/>
        <v/>
      </c>
      <c r="G366" s="6"/>
      <c r="H366" s="20" t="str">
        <f t="shared" si="43"/>
        <v/>
      </c>
      <c r="I366" s="21"/>
      <c r="J366" s="22" t="str">
        <f t="shared" si="44"/>
        <v/>
      </c>
      <c r="K366" s="20" t="str">
        <f t="shared" si="45"/>
        <v/>
      </c>
      <c r="L366" s="20" t="str">
        <f t="shared" si="46"/>
        <v/>
      </c>
      <c r="M366" s="6"/>
      <c r="N366" s="19" t="str">
        <f t="shared" si="47"/>
        <v/>
      </c>
      <c r="O366" s="23" t="str">
        <f>IF(B366="","",TRIM(IF(COUNTIF('Registru comenzi'!$B$5:$B$304,B366)=0,"Comandă inexistentă în registru. ","")&amp;IF(AND(D366&lt;&gt;"",E366=""),"Cod necunoscut. ","")&amp;IF(N(G366)&lt;=0,"Lipsește cantitatea. ","")&amp;IF(N(M366)&gt;N(G366),"Livrat mai mult decât s-a comandat. ","")&amp;IF(N(I366)&gt;0.3,"Discount neobișnuit de mare. ","")))</f>
        <v/>
      </c>
    </row>
    <row r="367" spans="1:15" x14ac:dyDescent="0.2">
      <c r="A367" s="1" t="str">
        <f t="shared" si="40"/>
        <v/>
      </c>
      <c r="B367" s="17"/>
      <c r="C367" s="18" t="str">
        <f>IF(B367="","",COUNTIF(INDEX($B:$B,5):B367,B367))</f>
        <v/>
      </c>
      <c r="D367" s="17"/>
      <c r="E367" s="19" t="str">
        <f t="shared" si="41"/>
        <v/>
      </c>
      <c r="F367" s="18" t="str">
        <f t="shared" si="42"/>
        <v/>
      </c>
      <c r="G367" s="6"/>
      <c r="H367" s="20" t="str">
        <f t="shared" si="43"/>
        <v/>
      </c>
      <c r="I367" s="21"/>
      <c r="J367" s="22" t="str">
        <f t="shared" si="44"/>
        <v/>
      </c>
      <c r="K367" s="20" t="str">
        <f t="shared" si="45"/>
        <v/>
      </c>
      <c r="L367" s="20" t="str">
        <f t="shared" si="46"/>
        <v/>
      </c>
      <c r="M367" s="6"/>
      <c r="N367" s="19" t="str">
        <f t="shared" si="47"/>
        <v/>
      </c>
      <c r="O367" s="23" t="str">
        <f>IF(B367="","",TRIM(IF(COUNTIF('Registru comenzi'!$B$5:$B$304,B367)=0,"Comandă inexistentă în registru. ","")&amp;IF(AND(D367&lt;&gt;"",E367=""),"Cod necunoscut. ","")&amp;IF(N(G367)&lt;=0,"Lipsește cantitatea. ","")&amp;IF(N(M367)&gt;N(G367),"Livrat mai mult decât s-a comandat. ","")&amp;IF(N(I367)&gt;0.3,"Discount neobișnuit de mare. ","")))</f>
        <v/>
      </c>
    </row>
    <row r="368" spans="1:15" x14ac:dyDescent="0.2">
      <c r="A368" s="1" t="str">
        <f t="shared" si="40"/>
        <v/>
      </c>
      <c r="B368" s="17"/>
      <c r="C368" s="18" t="str">
        <f>IF(B368="","",COUNTIF(INDEX($B:$B,5):B368,B368))</f>
        <v/>
      </c>
      <c r="D368" s="17"/>
      <c r="E368" s="19" t="str">
        <f t="shared" si="41"/>
        <v/>
      </c>
      <c r="F368" s="18" t="str">
        <f t="shared" si="42"/>
        <v/>
      </c>
      <c r="G368" s="6"/>
      <c r="H368" s="20" t="str">
        <f t="shared" si="43"/>
        <v/>
      </c>
      <c r="I368" s="21"/>
      <c r="J368" s="22" t="str">
        <f t="shared" si="44"/>
        <v/>
      </c>
      <c r="K368" s="20" t="str">
        <f t="shared" si="45"/>
        <v/>
      </c>
      <c r="L368" s="20" t="str">
        <f t="shared" si="46"/>
        <v/>
      </c>
      <c r="M368" s="6"/>
      <c r="N368" s="19" t="str">
        <f t="shared" si="47"/>
        <v/>
      </c>
      <c r="O368" s="23" t="str">
        <f>IF(B368="","",TRIM(IF(COUNTIF('Registru comenzi'!$B$5:$B$304,B368)=0,"Comandă inexistentă în registru. ","")&amp;IF(AND(D368&lt;&gt;"",E368=""),"Cod necunoscut. ","")&amp;IF(N(G368)&lt;=0,"Lipsește cantitatea. ","")&amp;IF(N(M368)&gt;N(G368),"Livrat mai mult decât s-a comandat. ","")&amp;IF(N(I368)&gt;0.3,"Discount neobișnuit de mare. ","")))</f>
        <v/>
      </c>
    </row>
    <row r="369" spans="1:15" x14ac:dyDescent="0.2">
      <c r="A369" s="1" t="str">
        <f t="shared" si="40"/>
        <v/>
      </c>
      <c r="B369" s="17"/>
      <c r="C369" s="18" t="str">
        <f>IF(B369="","",COUNTIF(INDEX($B:$B,5):B369,B369))</f>
        <v/>
      </c>
      <c r="D369" s="17"/>
      <c r="E369" s="19" t="str">
        <f t="shared" si="41"/>
        <v/>
      </c>
      <c r="F369" s="18" t="str">
        <f t="shared" si="42"/>
        <v/>
      </c>
      <c r="G369" s="6"/>
      <c r="H369" s="20" t="str">
        <f t="shared" si="43"/>
        <v/>
      </c>
      <c r="I369" s="21"/>
      <c r="J369" s="22" t="str">
        <f t="shared" si="44"/>
        <v/>
      </c>
      <c r="K369" s="20" t="str">
        <f t="shared" si="45"/>
        <v/>
      </c>
      <c r="L369" s="20" t="str">
        <f t="shared" si="46"/>
        <v/>
      </c>
      <c r="M369" s="6"/>
      <c r="N369" s="19" t="str">
        <f t="shared" si="47"/>
        <v/>
      </c>
      <c r="O369" s="23" t="str">
        <f>IF(B369="","",TRIM(IF(COUNTIF('Registru comenzi'!$B$5:$B$304,B369)=0,"Comandă inexistentă în registru. ","")&amp;IF(AND(D369&lt;&gt;"",E369=""),"Cod necunoscut. ","")&amp;IF(N(G369)&lt;=0,"Lipsește cantitatea. ","")&amp;IF(N(M369)&gt;N(G369),"Livrat mai mult decât s-a comandat. ","")&amp;IF(N(I369)&gt;0.3,"Discount neobișnuit de mare. ","")))</f>
        <v/>
      </c>
    </row>
    <row r="370" spans="1:15" x14ac:dyDescent="0.2">
      <c r="A370" s="1" t="str">
        <f t="shared" si="40"/>
        <v/>
      </c>
      <c r="B370" s="17"/>
      <c r="C370" s="18" t="str">
        <f>IF(B370="","",COUNTIF(INDEX($B:$B,5):B370,B370))</f>
        <v/>
      </c>
      <c r="D370" s="17"/>
      <c r="E370" s="19" t="str">
        <f t="shared" si="41"/>
        <v/>
      </c>
      <c r="F370" s="18" t="str">
        <f t="shared" si="42"/>
        <v/>
      </c>
      <c r="G370" s="6"/>
      <c r="H370" s="20" t="str">
        <f t="shared" si="43"/>
        <v/>
      </c>
      <c r="I370" s="21"/>
      <c r="J370" s="22" t="str">
        <f t="shared" si="44"/>
        <v/>
      </c>
      <c r="K370" s="20" t="str">
        <f t="shared" si="45"/>
        <v/>
      </c>
      <c r="L370" s="20" t="str">
        <f t="shared" si="46"/>
        <v/>
      </c>
      <c r="M370" s="6"/>
      <c r="N370" s="19" t="str">
        <f t="shared" si="47"/>
        <v/>
      </c>
      <c r="O370" s="23" t="str">
        <f>IF(B370="","",TRIM(IF(COUNTIF('Registru comenzi'!$B$5:$B$304,B370)=0,"Comandă inexistentă în registru. ","")&amp;IF(AND(D370&lt;&gt;"",E370=""),"Cod necunoscut. ","")&amp;IF(N(G370)&lt;=0,"Lipsește cantitatea. ","")&amp;IF(N(M370)&gt;N(G370),"Livrat mai mult decât s-a comandat. ","")&amp;IF(N(I370)&gt;0.3,"Discount neobișnuit de mare. ","")))</f>
        <v/>
      </c>
    </row>
    <row r="371" spans="1:15" x14ac:dyDescent="0.2">
      <c r="A371" s="1" t="str">
        <f t="shared" si="40"/>
        <v/>
      </c>
      <c r="B371" s="17"/>
      <c r="C371" s="18" t="str">
        <f>IF(B371="","",COUNTIF(INDEX($B:$B,5):B371,B371))</f>
        <v/>
      </c>
      <c r="D371" s="17"/>
      <c r="E371" s="19" t="str">
        <f t="shared" si="41"/>
        <v/>
      </c>
      <c r="F371" s="18" t="str">
        <f t="shared" si="42"/>
        <v/>
      </c>
      <c r="G371" s="6"/>
      <c r="H371" s="20" t="str">
        <f t="shared" si="43"/>
        <v/>
      </c>
      <c r="I371" s="21"/>
      <c r="J371" s="22" t="str">
        <f t="shared" si="44"/>
        <v/>
      </c>
      <c r="K371" s="20" t="str">
        <f t="shared" si="45"/>
        <v/>
      </c>
      <c r="L371" s="20" t="str">
        <f t="shared" si="46"/>
        <v/>
      </c>
      <c r="M371" s="6"/>
      <c r="N371" s="19" t="str">
        <f t="shared" si="47"/>
        <v/>
      </c>
      <c r="O371" s="23" t="str">
        <f>IF(B371="","",TRIM(IF(COUNTIF('Registru comenzi'!$B$5:$B$304,B371)=0,"Comandă inexistentă în registru. ","")&amp;IF(AND(D371&lt;&gt;"",E371=""),"Cod necunoscut. ","")&amp;IF(N(G371)&lt;=0,"Lipsește cantitatea. ","")&amp;IF(N(M371)&gt;N(G371),"Livrat mai mult decât s-a comandat. ","")&amp;IF(N(I371)&gt;0.3,"Discount neobișnuit de mare. ","")))</f>
        <v/>
      </c>
    </row>
    <row r="372" spans="1:15" x14ac:dyDescent="0.2">
      <c r="A372" s="1" t="str">
        <f t="shared" si="40"/>
        <v/>
      </c>
      <c r="B372" s="17"/>
      <c r="C372" s="18" t="str">
        <f>IF(B372="","",COUNTIF(INDEX($B:$B,5):B372,B372))</f>
        <v/>
      </c>
      <c r="D372" s="17"/>
      <c r="E372" s="19" t="str">
        <f t="shared" si="41"/>
        <v/>
      </c>
      <c r="F372" s="18" t="str">
        <f t="shared" si="42"/>
        <v/>
      </c>
      <c r="G372" s="6"/>
      <c r="H372" s="20" t="str">
        <f t="shared" si="43"/>
        <v/>
      </c>
      <c r="I372" s="21"/>
      <c r="J372" s="22" t="str">
        <f t="shared" si="44"/>
        <v/>
      </c>
      <c r="K372" s="20" t="str">
        <f t="shared" si="45"/>
        <v/>
      </c>
      <c r="L372" s="20" t="str">
        <f t="shared" si="46"/>
        <v/>
      </c>
      <c r="M372" s="6"/>
      <c r="N372" s="19" t="str">
        <f t="shared" si="47"/>
        <v/>
      </c>
      <c r="O372" s="23" t="str">
        <f>IF(B372="","",TRIM(IF(COUNTIF('Registru comenzi'!$B$5:$B$304,B372)=0,"Comandă inexistentă în registru. ","")&amp;IF(AND(D372&lt;&gt;"",E372=""),"Cod necunoscut. ","")&amp;IF(N(G372)&lt;=0,"Lipsește cantitatea. ","")&amp;IF(N(M372)&gt;N(G372),"Livrat mai mult decât s-a comandat. ","")&amp;IF(N(I372)&gt;0.3,"Discount neobișnuit de mare. ","")))</f>
        <v/>
      </c>
    </row>
    <row r="373" spans="1:15" x14ac:dyDescent="0.2">
      <c r="A373" s="1" t="str">
        <f t="shared" si="40"/>
        <v/>
      </c>
      <c r="B373" s="17"/>
      <c r="C373" s="18" t="str">
        <f>IF(B373="","",COUNTIF(INDEX($B:$B,5):B373,B373))</f>
        <v/>
      </c>
      <c r="D373" s="17"/>
      <c r="E373" s="19" t="str">
        <f t="shared" si="41"/>
        <v/>
      </c>
      <c r="F373" s="18" t="str">
        <f t="shared" si="42"/>
        <v/>
      </c>
      <c r="G373" s="6"/>
      <c r="H373" s="20" t="str">
        <f t="shared" si="43"/>
        <v/>
      </c>
      <c r="I373" s="21"/>
      <c r="J373" s="22" t="str">
        <f t="shared" si="44"/>
        <v/>
      </c>
      <c r="K373" s="20" t="str">
        <f t="shared" si="45"/>
        <v/>
      </c>
      <c r="L373" s="20" t="str">
        <f t="shared" si="46"/>
        <v/>
      </c>
      <c r="M373" s="6"/>
      <c r="N373" s="19" t="str">
        <f t="shared" si="47"/>
        <v/>
      </c>
      <c r="O373" s="23" t="str">
        <f>IF(B373="","",TRIM(IF(COUNTIF('Registru comenzi'!$B$5:$B$304,B373)=0,"Comandă inexistentă în registru. ","")&amp;IF(AND(D373&lt;&gt;"",E373=""),"Cod necunoscut. ","")&amp;IF(N(G373)&lt;=0,"Lipsește cantitatea. ","")&amp;IF(N(M373)&gt;N(G373),"Livrat mai mult decât s-a comandat. ","")&amp;IF(N(I373)&gt;0.3,"Discount neobișnuit de mare. ","")))</f>
        <v/>
      </c>
    </row>
    <row r="374" spans="1:15" x14ac:dyDescent="0.2">
      <c r="A374" s="1" t="str">
        <f t="shared" si="40"/>
        <v/>
      </c>
      <c r="B374" s="17"/>
      <c r="C374" s="18" t="str">
        <f>IF(B374="","",COUNTIF(INDEX($B:$B,5):B374,B374))</f>
        <v/>
      </c>
      <c r="D374" s="17"/>
      <c r="E374" s="19" t="str">
        <f t="shared" si="41"/>
        <v/>
      </c>
      <c r="F374" s="18" t="str">
        <f t="shared" si="42"/>
        <v/>
      </c>
      <c r="G374" s="6"/>
      <c r="H374" s="20" t="str">
        <f t="shared" si="43"/>
        <v/>
      </c>
      <c r="I374" s="21"/>
      <c r="J374" s="22" t="str">
        <f t="shared" si="44"/>
        <v/>
      </c>
      <c r="K374" s="20" t="str">
        <f t="shared" si="45"/>
        <v/>
      </c>
      <c r="L374" s="20" t="str">
        <f t="shared" si="46"/>
        <v/>
      </c>
      <c r="M374" s="6"/>
      <c r="N374" s="19" t="str">
        <f t="shared" si="47"/>
        <v/>
      </c>
      <c r="O374" s="23" t="str">
        <f>IF(B374="","",TRIM(IF(COUNTIF('Registru comenzi'!$B$5:$B$304,B374)=0,"Comandă inexistentă în registru. ","")&amp;IF(AND(D374&lt;&gt;"",E374=""),"Cod necunoscut. ","")&amp;IF(N(G374)&lt;=0,"Lipsește cantitatea. ","")&amp;IF(N(M374)&gt;N(G374),"Livrat mai mult decât s-a comandat. ","")&amp;IF(N(I374)&gt;0.3,"Discount neobișnuit de mare. ","")))</f>
        <v/>
      </c>
    </row>
    <row r="375" spans="1:15" x14ac:dyDescent="0.2">
      <c r="A375" s="1" t="str">
        <f t="shared" si="40"/>
        <v/>
      </c>
      <c r="B375" s="17"/>
      <c r="C375" s="18" t="str">
        <f>IF(B375="","",COUNTIF(INDEX($B:$B,5):B375,B375))</f>
        <v/>
      </c>
      <c r="D375" s="17"/>
      <c r="E375" s="19" t="str">
        <f t="shared" si="41"/>
        <v/>
      </c>
      <c r="F375" s="18" t="str">
        <f t="shared" si="42"/>
        <v/>
      </c>
      <c r="G375" s="6"/>
      <c r="H375" s="20" t="str">
        <f t="shared" si="43"/>
        <v/>
      </c>
      <c r="I375" s="21"/>
      <c r="J375" s="22" t="str">
        <f t="shared" si="44"/>
        <v/>
      </c>
      <c r="K375" s="20" t="str">
        <f t="shared" si="45"/>
        <v/>
      </c>
      <c r="L375" s="20" t="str">
        <f t="shared" si="46"/>
        <v/>
      </c>
      <c r="M375" s="6"/>
      <c r="N375" s="19" t="str">
        <f t="shared" si="47"/>
        <v/>
      </c>
      <c r="O375" s="23" t="str">
        <f>IF(B375="","",TRIM(IF(COUNTIF('Registru comenzi'!$B$5:$B$304,B375)=0,"Comandă inexistentă în registru. ","")&amp;IF(AND(D375&lt;&gt;"",E375=""),"Cod necunoscut. ","")&amp;IF(N(G375)&lt;=0,"Lipsește cantitatea. ","")&amp;IF(N(M375)&gt;N(G375),"Livrat mai mult decât s-a comandat. ","")&amp;IF(N(I375)&gt;0.3,"Discount neobișnuit de mare. ","")))</f>
        <v/>
      </c>
    </row>
    <row r="376" spans="1:15" x14ac:dyDescent="0.2">
      <c r="A376" s="1" t="str">
        <f t="shared" si="40"/>
        <v/>
      </c>
      <c r="B376" s="17"/>
      <c r="C376" s="18" t="str">
        <f>IF(B376="","",COUNTIF(INDEX($B:$B,5):B376,B376))</f>
        <v/>
      </c>
      <c r="D376" s="17"/>
      <c r="E376" s="19" t="str">
        <f t="shared" si="41"/>
        <v/>
      </c>
      <c r="F376" s="18" t="str">
        <f t="shared" si="42"/>
        <v/>
      </c>
      <c r="G376" s="6"/>
      <c r="H376" s="20" t="str">
        <f t="shared" si="43"/>
        <v/>
      </c>
      <c r="I376" s="21"/>
      <c r="J376" s="22" t="str">
        <f t="shared" si="44"/>
        <v/>
      </c>
      <c r="K376" s="20" t="str">
        <f t="shared" si="45"/>
        <v/>
      </c>
      <c r="L376" s="20" t="str">
        <f t="shared" si="46"/>
        <v/>
      </c>
      <c r="M376" s="6"/>
      <c r="N376" s="19" t="str">
        <f t="shared" si="47"/>
        <v/>
      </c>
      <c r="O376" s="23" t="str">
        <f>IF(B376="","",TRIM(IF(COUNTIF('Registru comenzi'!$B$5:$B$304,B376)=0,"Comandă inexistentă în registru. ","")&amp;IF(AND(D376&lt;&gt;"",E376=""),"Cod necunoscut. ","")&amp;IF(N(G376)&lt;=0,"Lipsește cantitatea. ","")&amp;IF(N(M376)&gt;N(G376),"Livrat mai mult decât s-a comandat. ","")&amp;IF(N(I376)&gt;0.3,"Discount neobișnuit de mare. ","")))</f>
        <v/>
      </c>
    </row>
    <row r="377" spans="1:15" x14ac:dyDescent="0.2">
      <c r="A377" s="1" t="str">
        <f t="shared" si="40"/>
        <v/>
      </c>
      <c r="B377" s="17"/>
      <c r="C377" s="18" t="str">
        <f>IF(B377="","",COUNTIF(INDEX($B:$B,5):B377,B377))</f>
        <v/>
      </c>
      <c r="D377" s="17"/>
      <c r="E377" s="19" t="str">
        <f t="shared" si="41"/>
        <v/>
      </c>
      <c r="F377" s="18" t="str">
        <f t="shared" si="42"/>
        <v/>
      </c>
      <c r="G377" s="6"/>
      <c r="H377" s="20" t="str">
        <f t="shared" si="43"/>
        <v/>
      </c>
      <c r="I377" s="21"/>
      <c r="J377" s="22" t="str">
        <f t="shared" si="44"/>
        <v/>
      </c>
      <c r="K377" s="20" t="str">
        <f t="shared" si="45"/>
        <v/>
      </c>
      <c r="L377" s="20" t="str">
        <f t="shared" si="46"/>
        <v/>
      </c>
      <c r="M377" s="6"/>
      <c r="N377" s="19" t="str">
        <f t="shared" si="47"/>
        <v/>
      </c>
      <c r="O377" s="23" t="str">
        <f>IF(B377="","",TRIM(IF(COUNTIF('Registru comenzi'!$B$5:$B$304,B377)=0,"Comandă inexistentă în registru. ","")&amp;IF(AND(D377&lt;&gt;"",E377=""),"Cod necunoscut. ","")&amp;IF(N(G377)&lt;=0,"Lipsește cantitatea. ","")&amp;IF(N(M377)&gt;N(G377),"Livrat mai mult decât s-a comandat. ","")&amp;IF(N(I377)&gt;0.3,"Discount neobișnuit de mare. ","")))</f>
        <v/>
      </c>
    </row>
    <row r="378" spans="1:15" x14ac:dyDescent="0.2">
      <c r="A378" s="1" t="str">
        <f t="shared" si="40"/>
        <v/>
      </c>
      <c r="B378" s="17"/>
      <c r="C378" s="18" t="str">
        <f>IF(B378="","",COUNTIF(INDEX($B:$B,5):B378,B378))</f>
        <v/>
      </c>
      <c r="D378" s="17"/>
      <c r="E378" s="19" t="str">
        <f t="shared" si="41"/>
        <v/>
      </c>
      <c r="F378" s="18" t="str">
        <f t="shared" si="42"/>
        <v/>
      </c>
      <c r="G378" s="6"/>
      <c r="H378" s="20" t="str">
        <f t="shared" si="43"/>
        <v/>
      </c>
      <c r="I378" s="21"/>
      <c r="J378" s="22" t="str">
        <f t="shared" si="44"/>
        <v/>
      </c>
      <c r="K378" s="20" t="str">
        <f t="shared" si="45"/>
        <v/>
      </c>
      <c r="L378" s="20" t="str">
        <f t="shared" si="46"/>
        <v/>
      </c>
      <c r="M378" s="6"/>
      <c r="N378" s="19" t="str">
        <f t="shared" si="47"/>
        <v/>
      </c>
      <c r="O378" s="23" t="str">
        <f>IF(B378="","",TRIM(IF(COUNTIF('Registru comenzi'!$B$5:$B$304,B378)=0,"Comandă inexistentă în registru. ","")&amp;IF(AND(D378&lt;&gt;"",E378=""),"Cod necunoscut. ","")&amp;IF(N(G378)&lt;=0,"Lipsește cantitatea. ","")&amp;IF(N(M378)&gt;N(G378),"Livrat mai mult decât s-a comandat. ","")&amp;IF(N(I378)&gt;0.3,"Discount neobișnuit de mare. ","")))</f>
        <v/>
      </c>
    </row>
    <row r="379" spans="1:15" x14ac:dyDescent="0.2">
      <c r="A379" s="1" t="str">
        <f t="shared" si="40"/>
        <v/>
      </c>
      <c r="B379" s="17"/>
      <c r="C379" s="18" t="str">
        <f>IF(B379="","",COUNTIF(INDEX($B:$B,5):B379,B379))</f>
        <v/>
      </c>
      <c r="D379" s="17"/>
      <c r="E379" s="19" t="str">
        <f t="shared" si="41"/>
        <v/>
      </c>
      <c r="F379" s="18" t="str">
        <f t="shared" si="42"/>
        <v/>
      </c>
      <c r="G379" s="6"/>
      <c r="H379" s="20" t="str">
        <f t="shared" si="43"/>
        <v/>
      </c>
      <c r="I379" s="21"/>
      <c r="J379" s="22" t="str">
        <f t="shared" si="44"/>
        <v/>
      </c>
      <c r="K379" s="20" t="str">
        <f t="shared" si="45"/>
        <v/>
      </c>
      <c r="L379" s="20" t="str">
        <f t="shared" si="46"/>
        <v/>
      </c>
      <c r="M379" s="6"/>
      <c r="N379" s="19" t="str">
        <f t="shared" si="47"/>
        <v/>
      </c>
      <c r="O379" s="23" t="str">
        <f>IF(B379="","",TRIM(IF(COUNTIF('Registru comenzi'!$B$5:$B$304,B379)=0,"Comandă inexistentă în registru. ","")&amp;IF(AND(D379&lt;&gt;"",E379=""),"Cod necunoscut. ","")&amp;IF(N(G379)&lt;=0,"Lipsește cantitatea. ","")&amp;IF(N(M379)&gt;N(G379),"Livrat mai mult decât s-a comandat. ","")&amp;IF(N(I379)&gt;0.3,"Discount neobișnuit de mare. ","")))</f>
        <v/>
      </c>
    </row>
    <row r="380" spans="1:15" x14ac:dyDescent="0.2">
      <c r="A380" s="1" t="str">
        <f t="shared" si="40"/>
        <v/>
      </c>
      <c r="B380" s="17"/>
      <c r="C380" s="18" t="str">
        <f>IF(B380="","",COUNTIF(INDEX($B:$B,5):B380,B380))</f>
        <v/>
      </c>
      <c r="D380" s="17"/>
      <c r="E380" s="19" t="str">
        <f t="shared" si="41"/>
        <v/>
      </c>
      <c r="F380" s="18" t="str">
        <f t="shared" si="42"/>
        <v/>
      </c>
      <c r="G380" s="6"/>
      <c r="H380" s="20" t="str">
        <f t="shared" si="43"/>
        <v/>
      </c>
      <c r="I380" s="21"/>
      <c r="J380" s="22" t="str">
        <f t="shared" si="44"/>
        <v/>
      </c>
      <c r="K380" s="20" t="str">
        <f t="shared" si="45"/>
        <v/>
      </c>
      <c r="L380" s="20" t="str">
        <f t="shared" si="46"/>
        <v/>
      </c>
      <c r="M380" s="6"/>
      <c r="N380" s="19" t="str">
        <f t="shared" si="47"/>
        <v/>
      </c>
      <c r="O380" s="23" t="str">
        <f>IF(B380="","",TRIM(IF(COUNTIF('Registru comenzi'!$B$5:$B$304,B380)=0,"Comandă inexistentă în registru. ","")&amp;IF(AND(D380&lt;&gt;"",E380=""),"Cod necunoscut. ","")&amp;IF(N(G380)&lt;=0,"Lipsește cantitatea. ","")&amp;IF(N(M380)&gt;N(G380),"Livrat mai mult decât s-a comandat. ","")&amp;IF(N(I380)&gt;0.3,"Discount neobișnuit de mare. ","")))</f>
        <v/>
      </c>
    </row>
    <row r="381" spans="1:15" x14ac:dyDescent="0.2">
      <c r="A381" s="1" t="str">
        <f t="shared" si="40"/>
        <v/>
      </c>
      <c r="B381" s="17"/>
      <c r="C381" s="18" t="str">
        <f>IF(B381="","",COUNTIF(INDEX($B:$B,5):B381,B381))</f>
        <v/>
      </c>
      <c r="D381" s="17"/>
      <c r="E381" s="19" t="str">
        <f t="shared" si="41"/>
        <v/>
      </c>
      <c r="F381" s="18" t="str">
        <f t="shared" si="42"/>
        <v/>
      </c>
      <c r="G381" s="6"/>
      <c r="H381" s="20" t="str">
        <f t="shared" si="43"/>
        <v/>
      </c>
      <c r="I381" s="21"/>
      <c r="J381" s="22" t="str">
        <f t="shared" si="44"/>
        <v/>
      </c>
      <c r="K381" s="20" t="str">
        <f t="shared" si="45"/>
        <v/>
      </c>
      <c r="L381" s="20" t="str">
        <f t="shared" si="46"/>
        <v/>
      </c>
      <c r="M381" s="6"/>
      <c r="N381" s="19" t="str">
        <f t="shared" si="47"/>
        <v/>
      </c>
      <c r="O381" s="23" t="str">
        <f>IF(B381="","",TRIM(IF(COUNTIF('Registru comenzi'!$B$5:$B$304,B381)=0,"Comandă inexistentă în registru. ","")&amp;IF(AND(D381&lt;&gt;"",E381=""),"Cod necunoscut. ","")&amp;IF(N(G381)&lt;=0,"Lipsește cantitatea. ","")&amp;IF(N(M381)&gt;N(G381),"Livrat mai mult decât s-a comandat. ","")&amp;IF(N(I381)&gt;0.3,"Discount neobișnuit de mare. ","")))</f>
        <v/>
      </c>
    </row>
    <row r="382" spans="1:15" x14ac:dyDescent="0.2">
      <c r="A382" s="1" t="str">
        <f t="shared" si="40"/>
        <v/>
      </c>
      <c r="B382" s="17"/>
      <c r="C382" s="18" t="str">
        <f>IF(B382="","",COUNTIF(INDEX($B:$B,5):B382,B382))</f>
        <v/>
      </c>
      <c r="D382" s="17"/>
      <c r="E382" s="19" t="str">
        <f t="shared" si="41"/>
        <v/>
      </c>
      <c r="F382" s="18" t="str">
        <f t="shared" si="42"/>
        <v/>
      </c>
      <c r="G382" s="6"/>
      <c r="H382" s="20" t="str">
        <f t="shared" si="43"/>
        <v/>
      </c>
      <c r="I382" s="21"/>
      <c r="J382" s="22" t="str">
        <f t="shared" si="44"/>
        <v/>
      </c>
      <c r="K382" s="20" t="str">
        <f t="shared" si="45"/>
        <v/>
      </c>
      <c r="L382" s="20" t="str">
        <f t="shared" si="46"/>
        <v/>
      </c>
      <c r="M382" s="6"/>
      <c r="N382" s="19" t="str">
        <f t="shared" si="47"/>
        <v/>
      </c>
      <c r="O382" s="23" t="str">
        <f>IF(B382="","",TRIM(IF(COUNTIF('Registru comenzi'!$B$5:$B$304,B382)=0,"Comandă inexistentă în registru. ","")&amp;IF(AND(D382&lt;&gt;"",E382=""),"Cod necunoscut. ","")&amp;IF(N(G382)&lt;=0,"Lipsește cantitatea. ","")&amp;IF(N(M382)&gt;N(G382),"Livrat mai mult decât s-a comandat. ","")&amp;IF(N(I382)&gt;0.3,"Discount neobișnuit de mare. ","")))</f>
        <v/>
      </c>
    </row>
    <row r="383" spans="1:15" x14ac:dyDescent="0.2">
      <c r="A383" s="1" t="str">
        <f t="shared" si="40"/>
        <v/>
      </c>
      <c r="B383" s="17"/>
      <c r="C383" s="18" t="str">
        <f>IF(B383="","",COUNTIF(INDEX($B:$B,5):B383,B383))</f>
        <v/>
      </c>
      <c r="D383" s="17"/>
      <c r="E383" s="19" t="str">
        <f t="shared" si="41"/>
        <v/>
      </c>
      <c r="F383" s="18" t="str">
        <f t="shared" si="42"/>
        <v/>
      </c>
      <c r="G383" s="6"/>
      <c r="H383" s="20" t="str">
        <f t="shared" si="43"/>
        <v/>
      </c>
      <c r="I383" s="21"/>
      <c r="J383" s="22" t="str">
        <f t="shared" si="44"/>
        <v/>
      </c>
      <c r="K383" s="20" t="str">
        <f t="shared" si="45"/>
        <v/>
      </c>
      <c r="L383" s="20" t="str">
        <f t="shared" si="46"/>
        <v/>
      </c>
      <c r="M383" s="6"/>
      <c r="N383" s="19" t="str">
        <f t="shared" si="47"/>
        <v/>
      </c>
      <c r="O383" s="23" t="str">
        <f>IF(B383="","",TRIM(IF(COUNTIF('Registru comenzi'!$B$5:$B$304,B383)=0,"Comandă inexistentă în registru. ","")&amp;IF(AND(D383&lt;&gt;"",E383=""),"Cod necunoscut. ","")&amp;IF(N(G383)&lt;=0,"Lipsește cantitatea. ","")&amp;IF(N(M383)&gt;N(G383),"Livrat mai mult decât s-a comandat. ","")&amp;IF(N(I383)&gt;0.3,"Discount neobișnuit de mare. ","")))</f>
        <v/>
      </c>
    </row>
    <row r="384" spans="1:15" x14ac:dyDescent="0.2">
      <c r="A384" s="1" t="str">
        <f t="shared" si="40"/>
        <v/>
      </c>
      <c r="B384" s="17"/>
      <c r="C384" s="18" t="str">
        <f>IF(B384="","",COUNTIF(INDEX($B:$B,5):B384,B384))</f>
        <v/>
      </c>
      <c r="D384" s="17"/>
      <c r="E384" s="19" t="str">
        <f t="shared" si="41"/>
        <v/>
      </c>
      <c r="F384" s="18" t="str">
        <f t="shared" si="42"/>
        <v/>
      </c>
      <c r="G384" s="6"/>
      <c r="H384" s="20" t="str">
        <f t="shared" si="43"/>
        <v/>
      </c>
      <c r="I384" s="21"/>
      <c r="J384" s="22" t="str">
        <f t="shared" si="44"/>
        <v/>
      </c>
      <c r="K384" s="20" t="str">
        <f t="shared" si="45"/>
        <v/>
      </c>
      <c r="L384" s="20" t="str">
        <f t="shared" si="46"/>
        <v/>
      </c>
      <c r="M384" s="6"/>
      <c r="N384" s="19" t="str">
        <f t="shared" si="47"/>
        <v/>
      </c>
      <c r="O384" s="23" t="str">
        <f>IF(B384="","",TRIM(IF(COUNTIF('Registru comenzi'!$B$5:$B$304,B384)=0,"Comandă inexistentă în registru. ","")&amp;IF(AND(D384&lt;&gt;"",E384=""),"Cod necunoscut. ","")&amp;IF(N(G384)&lt;=0,"Lipsește cantitatea. ","")&amp;IF(N(M384)&gt;N(G384),"Livrat mai mult decât s-a comandat. ","")&amp;IF(N(I384)&gt;0.3,"Discount neobișnuit de mare. ","")))</f>
        <v/>
      </c>
    </row>
    <row r="385" spans="1:15" x14ac:dyDescent="0.2">
      <c r="A385" s="1" t="str">
        <f t="shared" si="40"/>
        <v/>
      </c>
      <c r="B385" s="17"/>
      <c r="C385" s="18" t="str">
        <f>IF(B385="","",COUNTIF(INDEX($B:$B,5):B385,B385))</f>
        <v/>
      </c>
      <c r="D385" s="17"/>
      <c r="E385" s="19" t="str">
        <f t="shared" si="41"/>
        <v/>
      </c>
      <c r="F385" s="18" t="str">
        <f t="shared" si="42"/>
        <v/>
      </c>
      <c r="G385" s="6"/>
      <c r="H385" s="20" t="str">
        <f t="shared" si="43"/>
        <v/>
      </c>
      <c r="I385" s="21"/>
      <c r="J385" s="22" t="str">
        <f t="shared" si="44"/>
        <v/>
      </c>
      <c r="K385" s="20" t="str">
        <f t="shared" si="45"/>
        <v/>
      </c>
      <c r="L385" s="20" t="str">
        <f t="shared" si="46"/>
        <v/>
      </c>
      <c r="M385" s="6"/>
      <c r="N385" s="19" t="str">
        <f t="shared" si="47"/>
        <v/>
      </c>
      <c r="O385" s="23" t="str">
        <f>IF(B385="","",TRIM(IF(COUNTIF('Registru comenzi'!$B$5:$B$304,B385)=0,"Comandă inexistentă în registru. ","")&amp;IF(AND(D385&lt;&gt;"",E385=""),"Cod necunoscut. ","")&amp;IF(N(G385)&lt;=0,"Lipsește cantitatea. ","")&amp;IF(N(M385)&gt;N(G385),"Livrat mai mult decât s-a comandat. ","")&amp;IF(N(I385)&gt;0.3,"Discount neobișnuit de mare. ","")))</f>
        <v/>
      </c>
    </row>
    <row r="386" spans="1:15" x14ac:dyDescent="0.2">
      <c r="A386" s="1" t="str">
        <f t="shared" si="40"/>
        <v/>
      </c>
      <c r="B386" s="17"/>
      <c r="C386" s="18" t="str">
        <f>IF(B386="","",COUNTIF(INDEX($B:$B,5):B386,B386))</f>
        <v/>
      </c>
      <c r="D386" s="17"/>
      <c r="E386" s="19" t="str">
        <f t="shared" si="41"/>
        <v/>
      </c>
      <c r="F386" s="18" t="str">
        <f t="shared" si="42"/>
        <v/>
      </c>
      <c r="G386" s="6"/>
      <c r="H386" s="20" t="str">
        <f t="shared" si="43"/>
        <v/>
      </c>
      <c r="I386" s="21"/>
      <c r="J386" s="22" t="str">
        <f t="shared" si="44"/>
        <v/>
      </c>
      <c r="K386" s="20" t="str">
        <f t="shared" si="45"/>
        <v/>
      </c>
      <c r="L386" s="20" t="str">
        <f t="shared" si="46"/>
        <v/>
      </c>
      <c r="M386" s="6"/>
      <c r="N386" s="19" t="str">
        <f t="shared" si="47"/>
        <v/>
      </c>
      <c r="O386" s="23" t="str">
        <f>IF(B386="","",TRIM(IF(COUNTIF('Registru comenzi'!$B$5:$B$304,B386)=0,"Comandă inexistentă în registru. ","")&amp;IF(AND(D386&lt;&gt;"",E386=""),"Cod necunoscut. ","")&amp;IF(N(G386)&lt;=0,"Lipsește cantitatea. ","")&amp;IF(N(M386)&gt;N(G386),"Livrat mai mult decât s-a comandat. ","")&amp;IF(N(I386)&gt;0.3,"Discount neobișnuit de mare. ","")))</f>
        <v/>
      </c>
    </row>
    <row r="387" spans="1:15" x14ac:dyDescent="0.2">
      <c r="A387" s="1" t="str">
        <f t="shared" si="40"/>
        <v/>
      </c>
      <c r="B387" s="17"/>
      <c r="C387" s="18" t="str">
        <f>IF(B387="","",COUNTIF(INDEX($B:$B,5):B387,B387))</f>
        <v/>
      </c>
      <c r="D387" s="17"/>
      <c r="E387" s="19" t="str">
        <f t="shared" si="41"/>
        <v/>
      </c>
      <c r="F387" s="18" t="str">
        <f t="shared" si="42"/>
        <v/>
      </c>
      <c r="G387" s="6"/>
      <c r="H387" s="20" t="str">
        <f t="shared" si="43"/>
        <v/>
      </c>
      <c r="I387" s="21"/>
      <c r="J387" s="22" t="str">
        <f t="shared" si="44"/>
        <v/>
      </c>
      <c r="K387" s="20" t="str">
        <f t="shared" si="45"/>
        <v/>
      </c>
      <c r="L387" s="20" t="str">
        <f t="shared" si="46"/>
        <v/>
      </c>
      <c r="M387" s="6"/>
      <c r="N387" s="19" t="str">
        <f t="shared" si="47"/>
        <v/>
      </c>
      <c r="O387" s="23" t="str">
        <f>IF(B387="","",TRIM(IF(COUNTIF('Registru comenzi'!$B$5:$B$304,B387)=0,"Comandă inexistentă în registru. ","")&amp;IF(AND(D387&lt;&gt;"",E387=""),"Cod necunoscut. ","")&amp;IF(N(G387)&lt;=0,"Lipsește cantitatea. ","")&amp;IF(N(M387)&gt;N(G387),"Livrat mai mult decât s-a comandat. ","")&amp;IF(N(I387)&gt;0.3,"Discount neobișnuit de mare. ","")))</f>
        <v/>
      </c>
    </row>
    <row r="388" spans="1:15" x14ac:dyDescent="0.2">
      <c r="A388" s="1" t="str">
        <f t="shared" si="40"/>
        <v/>
      </c>
      <c r="B388" s="17"/>
      <c r="C388" s="18" t="str">
        <f>IF(B388="","",COUNTIF(INDEX($B:$B,5):B388,B388))</f>
        <v/>
      </c>
      <c r="D388" s="17"/>
      <c r="E388" s="19" t="str">
        <f t="shared" si="41"/>
        <v/>
      </c>
      <c r="F388" s="18" t="str">
        <f t="shared" si="42"/>
        <v/>
      </c>
      <c r="G388" s="6"/>
      <c r="H388" s="20" t="str">
        <f t="shared" si="43"/>
        <v/>
      </c>
      <c r="I388" s="21"/>
      <c r="J388" s="22" t="str">
        <f t="shared" si="44"/>
        <v/>
      </c>
      <c r="K388" s="20" t="str">
        <f t="shared" si="45"/>
        <v/>
      </c>
      <c r="L388" s="20" t="str">
        <f t="shared" si="46"/>
        <v/>
      </c>
      <c r="M388" s="6"/>
      <c r="N388" s="19" t="str">
        <f t="shared" si="47"/>
        <v/>
      </c>
      <c r="O388" s="23" t="str">
        <f>IF(B388="","",TRIM(IF(COUNTIF('Registru comenzi'!$B$5:$B$304,B388)=0,"Comandă inexistentă în registru. ","")&amp;IF(AND(D388&lt;&gt;"",E388=""),"Cod necunoscut. ","")&amp;IF(N(G388)&lt;=0,"Lipsește cantitatea. ","")&amp;IF(N(M388)&gt;N(G388),"Livrat mai mult decât s-a comandat. ","")&amp;IF(N(I388)&gt;0.3,"Discount neobișnuit de mare. ","")))</f>
        <v/>
      </c>
    </row>
    <row r="389" spans="1:15" x14ac:dyDescent="0.2">
      <c r="A389" s="1" t="str">
        <f t="shared" ref="A389:A452" si="48">IF(B389="","",B389&amp;"|"&amp;C389)</f>
        <v/>
      </c>
      <c r="B389" s="17"/>
      <c r="C389" s="18" t="str">
        <f>IF(B389="","",COUNTIF(INDEX($B:$B,5):B389,B389))</f>
        <v/>
      </c>
      <c r="D389" s="17"/>
      <c r="E389" s="19" t="str">
        <f t="shared" ref="E389:E452" si="49">IF(D389="","",IFERROR(VLOOKUP(D389,Catalog,2,FALSE),""))</f>
        <v/>
      </c>
      <c r="F389" s="18" t="str">
        <f t="shared" ref="F389:F452" si="50">IF(D389="","",IFERROR(VLOOKUP(D389,Catalog,3,FALSE),""))</f>
        <v/>
      </c>
      <c r="G389" s="6"/>
      <c r="H389" s="20" t="str">
        <f t="shared" ref="H389:H452" si="51">IF(D389="","",IFERROR(VLOOKUP(D389,Catalog,4,FALSE),""))</f>
        <v/>
      </c>
      <c r="I389" s="21"/>
      <c r="J389" s="22" t="str">
        <f t="shared" ref="J389:J452" si="52">IF(D389="","",IFERROR(VLOOKUP(D389,Catalog,5,FALSE),""))</f>
        <v/>
      </c>
      <c r="K389" s="20" t="str">
        <f t="shared" ref="K389:K452" si="53">IF(OR(G389="",H389=""),"",ROUND(G389*H389*(1-N(I389)),2))</f>
        <v/>
      </c>
      <c r="L389" s="20" t="str">
        <f t="shared" ref="L389:L452" si="54">IF(OR(K389="",J389=""),"",ROUND(K389*J389,2))</f>
        <v/>
      </c>
      <c r="M389" s="6"/>
      <c r="N389" s="19" t="str">
        <f t="shared" ref="N389:N452" si="55">IF(G389="","",G389-N(M389))</f>
        <v/>
      </c>
      <c r="O389" s="23" t="str">
        <f>IF(B389="","",TRIM(IF(COUNTIF('Registru comenzi'!$B$5:$B$304,B389)=0,"Comandă inexistentă în registru. ","")&amp;IF(AND(D389&lt;&gt;"",E389=""),"Cod necunoscut. ","")&amp;IF(N(G389)&lt;=0,"Lipsește cantitatea. ","")&amp;IF(N(M389)&gt;N(G389),"Livrat mai mult decât s-a comandat. ","")&amp;IF(N(I389)&gt;0.3,"Discount neobișnuit de mare. ","")))</f>
        <v/>
      </c>
    </row>
    <row r="390" spans="1:15" x14ac:dyDescent="0.2">
      <c r="A390" s="1" t="str">
        <f t="shared" si="48"/>
        <v/>
      </c>
      <c r="B390" s="17"/>
      <c r="C390" s="18" t="str">
        <f>IF(B390="","",COUNTIF(INDEX($B:$B,5):B390,B390))</f>
        <v/>
      </c>
      <c r="D390" s="17"/>
      <c r="E390" s="19" t="str">
        <f t="shared" si="49"/>
        <v/>
      </c>
      <c r="F390" s="18" t="str">
        <f t="shared" si="50"/>
        <v/>
      </c>
      <c r="G390" s="6"/>
      <c r="H390" s="20" t="str">
        <f t="shared" si="51"/>
        <v/>
      </c>
      <c r="I390" s="21"/>
      <c r="J390" s="22" t="str">
        <f t="shared" si="52"/>
        <v/>
      </c>
      <c r="K390" s="20" t="str">
        <f t="shared" si="53"/>
        <v/>
      </c>
      <c r="L390" s="20" t="str">
        <f t="shared" si="54"/>
        <v/>
      </c>
      <c r="M390" s="6"/>
      <c r="N390" s="19" t="str">
        <f t="shared" si="55"/>
        <v/>
      </c>
      <c r="O390" s="23" t="str">
        <f>IF(B390="","",TRIM(IF(COUNTIF('Registru comenzi'!$B$5:$B$304,B390)=0,"Comandă inexistentă în registru. ","")&amp;IF(AND(D390&lt;&gt;"",E390=""),"Cod necunoscut. ","")&amp;IF(N(G390)&lt;=0,"Lipsește cantitatea. ","")&amp;IF(N(M390)&gt;N(G390),"Livrat mai mult decât s-a comandat. ","")&amp;IF(N(I390)&gt;0.3,"Discount neobișnuit de mare. ","")))</f>
        <v/>
      </c>
    </row>
    <row r="391" spans="1:15" x14ac:dyDescent="0.2">
      <c r="A391" s="1" t="str">
        <f t="shared" si="48"/>
        <v/>
      </c>
      <c r="B391" s="17"/>
      <c r="C391" s="18" t="str">
        <f>IF(B391="","",COUNTIF(INDEX($B:$B,5):B391,B391))</f>
        <v/>
      </c>
      <c r="D391" s="17"/>
      <c r="E391" s="19" t="str">
        <f t="shared" si="49"/>
        <v/>
      </c>
      <c r="F391" s="18" t="str">
        <f t="shared" si="50"/>
        <v/>
      </c>
      <c r="G391" s="6"/>
      <c r="H391" s="20" t="str">
        <f t="shared" si="51"/>
        <v/>
      </c>
      <c r="I391" s="21"/>
      <c r="J391" s="22" t="str">
        <f t="shared" si="52"/>
        <v/>
      </c>
      <c r="K391" s="20" t="str">
        <f t="shared" si="53"/>
        <v/>
      </c>
      <c r="L391" s="20" t="str">
        <f t="shared" si="54"/>
        <v/>
      </c>
      <c r="M391" s="6"/>
      <c r="N391" s="19" t="str">
        <f t="shared" si="55"/>
        <v/>
      </c>
      <c r="O391" s="23" t="str">
        <f>IF(B391="","",TRIM(IF(COUNTIF('Registru comenzi'!$B$5:$B$304,B391)=0,"Comandă inexistentă în registru. ","")&amp;IF(AND(D391&lt;&gt;"",E391=""),"Cod necunoscut. ","")&amp;IF(N(G391)&lt;=0,"Lipsește cantitatea. ","")&amp;IF(N(M391)&gt;N(G391),"Livrat mai mult decât s-a comandat. ","")&amp;IF(N(I391)&gt;0.3,"Discount neobișnuit de mare. ","")))</f>
        <v/>
      </c>
    </row>
    <row r="392" spans="1:15" x14ac:dyDescent="0.2">
      <c r="A392" s="1" t="str">
        <f t="shared" si="48"/>
        <v/>
      </c>
      <c r="B392" s="17"/>
      <c r="C392" s="18" t="str">
        <f>IF(B392="","",COUNTIF(INDEX($B:$B,5):B392,B392))</f>
        <v/>
      </c>
      <c r="D392" s="17"/>
      <c r="E392" s="19" t="str">
        <f t="shared" si="49"/>
        <v/>
      </c>
      <c r="F392" s="18" t="str">
        <f t="shared" si="50"/>
        <v/>
      </c>
      <c r="G392" s="6"/>
      <c r="H392" s="20" t="str">
        <f t="shared" si="51"/>
        <v/>
      </c>
      <c r="I392" s="21"/>
      <c r="J392" s="22" t="str">
        <f t="shared" si="52"/>
        <v/>
      </c>
      <c r="K392" s="20" t="str">
        <f t="shared" si="53"/>
        <v/>
      </c>
      <c r="L392" s="20" t="str">
        <f t="shared" si="54"/>
        <v/>
      </c>
      <c r="M392" s="6"/>
      <c r="N392" s="19" t="str">
        <f t="shared" si="55"/>
        <v/>
      </c>
      <c r="O392" s="23" t="str">
        <f>IF(B392="","",TRIM(IF(COUNTIF('Registru comenzi'!$B$5:$B$304,B392)=0,"Comandă inexistentă în registru. ","")&amp;IF(AND(D392&lt;&gt;"",E392=""),"Cod necunoscut. ","")&amp;IF(N(G392)&lt;=0,"Lipsește cantitatea. ","")&amp;IF(N(M392)&gt;N(G392),"Livrat mai mult decât s-a comandat. ","")&amp;IF(N(I392)&gt;0.3,"Discount neobișnuit de mare. ","")))</f>
        <v/>
      </c>
    </row>
    <row r="393" spans="1:15" x14ac:dyDescent="0.2">
      <c r="A393" s="1" t="str">
        <f t="shared" si="48"/>
        <v/>
      </c>
      <c r="B393" s="17"/>
      <c r="C393" s="18" t="str">
        <f>IF(B393="","",COUNTIF(INDEX($B:$B,5):B393,B393))</f>
        <v/>
      </c>
      <c r="D393" s="17"/>
      <c r="E393" s="19" t="str">
        <f t="shared" si="49"/>
        <v/>
      </c>
      <c r="F393" s="18" t="str">
        <f t="shared" si="50"/>
        <v/>
      </c>
      <c r="G393" s="6"/>
      <c r="H393" s="20" t="str">
        <f t="shared" si="51"/>
        <v/>
      </c>
      <c r="I393" s="21"/>
      <c r="J393" s="22" t="str">
        <f t="shared" si="52"/>
        <v/>
      </c>
      <c r="K393" s="20" t="str">
        <f t="shared" si="53"/>
        <v/>
      </c>
      <c r="L393" s="20" t="str">
        <f t="shared" si="54"/>
        <v/>
      </c>
      <c r="M393" s="6"/>
      <c r="N393" s="19" t="str">
        <f t="shared" si="55"/>
        <v/>
      </c>
      <c r="O393" s="23" t="str">
        <f>IF(B393="","",TRIM(IF(COUNTIF('Registru comenzi'!$B$5:$B$304,B393)=0,"Comandă inexistentă în registru. ","")&amp;IF(AND(D393&lt;&gt;"",E393=""),"Cod necunoscut. ","")&amp;IF(N(G393)&lt;=0,"Lipsește cantitatea. ","")&amp;IF(N(M393)&gt;N(G393),"Livrat mai mult decât s-a comandat. ","")&amp;IF(N(I393)&gt;0.3,"Discount neobișnuit de mare. ","")))</f>
        <v/>
      </c>
    </row>
    <row r="394" spans="1:15" x14ac:dyDescent="0.2">
      <c r="A394" s="1" t="str">
        <f t="shared" si="48"/>
        <v/>
      </c>
      <c r="B394" s="17"/>
      <c r="C394" s="18" t="str">
        <f>IF(B394="","",COUNTIF(INDEX($B:$B,5):B394,B394))</f>
        <v/>
      </c>
      <c r="D394" s="17"/>
      <c r="E394" s="19" t="str">
        <f t="shared" si="49"/>
        <v/>
      </c>
      <c r="F394" s="18" t="str">
        <f t="shared" si="50"/>
        <v/>
      </c>
      <c r="G394" s="6"/>
      <c r="H394" s="20" t="str">
        <f t="shared" si="51"/>
        <v/>
      </c>
      <c r="I394" s="21"/>
      <c r="J394" s="22" t="str">
        <f t="shared" si="52"/>
        <v/>
      </c>
      <c r="K394" s="20" t="str">
        <f t="shared" si="53"/>
        <v/>
      </c>
      <c r="L394" s="20" t="str">
        <f t="shared" si="54"/>
        <v/>
      </c>
      <c r="M394" s="6"/>
      <c r="N394" s="19" t="str">
        <f t="shared" si="55"/>
        <v/>
      </c>
      <c r="O394" s="23" t="str">
        <f>IF(B394="","",TRIM(IF(COUNTIF('Registru comenzi'!$B$5:$B$304,B394)=0,"Comandă inexistentă în registru. ","")&amp;IF(AND(D394&lt;&gt;"",E394=""),"Cod necunoscut. ","")&amp;IF(N(G394)&lt;=0,"Lipsește cantitatea. ","")&amp;IF(N(M394)&gt;N(G394),"Livrat mai mult decât s-a comandat. ","")&amp;IF(N(I394)&gt;0.3,"Discount neobișnuit de mare. ","")))</f>
        <v/>
      </c>
    </row>
    <row r="395" spans="1:15" x14ac:dyDescent="0.2">
      <c r="A395" s="1" t="str">
        <f t="shared" si="48"/>
        <v/>
      </c>
      <c r="B395" s="17"/>
      <c r="C395" s="18" t="str">
        <f>IF(B395="","",COUNTIF(INDEX($B:$B,5):B395,B395))</f>
        <v/>
      </c>
      <c r="D395" s="17"/>
      <c r="E395" s="19" t="str">
        <f t="shared" si="49"/>
        <v/>
      </c>
      <c r="F395" s="18" t="str">
        <f t="shared" si="50"/>
        <v/>
      </c>
      <c r="G395" s="6"/>
      <c r="H395" s="20" t="str">
        <f t="shared" si="51"/>
        <v/>
      </c>
      <c r="I395" s="21"/>
      <c r="J395" s="22" t="str">
        <f t="shared" si="52"/>
        <v/>
      </c>
      <c r="K395" s="20" t="str">
        <f t="shared" si="53"/>
        <v/>
      </c>
      <c r="L395" s="20" t="str">
        <f t="shared" si="54"/>
        <v/>
      </c>
      <c r="M395" s="6"/>
      <c r="N395" s="19" t="str">
        <f t="shared" si="55"/>
        <v/>
      </c>
      <c r="O395" s="23" t="str">
        <f>IF(B395="","",TRIM(IF(COUNTIF('Registru comenzi'!$B$5:$B$304,B395)=0,"Comandă inexistentă în registru. ","")&amp;IF(AND(D395&lt;&gt;"",E395=""),"Cod necunoscut. ","")&amp;IF(N(G395)&lt;=0,"Lipsește cantitatea. ","")&amp;IF(N(M395)&gt;N(G395),"Livrat mai mult decât s-a comandat. ","")&amp;IF(N(I395)&gt;0.3,"Discount neobișnuit de mare. ","")))</f>
        <v/>
      </c>
    </row>
    <row r="396" spans="1:15" x14ac:dyDescent="0.2">
      <c r="A396" s="1" t="str">
        <f t="shared" si="48"/>
        <v/>
      </c>
      <c r="B396" s="17"/>
      <c r="C396" s="18" t="str">
        <f>IF(B396="","",COUNTIF(INDEX($B:$B,5):B396,B396))</f>
        <v/>
      </c>
      <c r="D396" s="17"/>
      <c r="E396" s="19" t="str">
        <f t="shared" si="49"/>
        <v/>
      </c>
      <c r="F396" s="18" t="str">
        <f t="shared" si="50"/>
        <v/>
      </c>
      <c r="G396" s="6"/>
      <c r="H396" s="20" t="str">
        <f t="shared" si="51"/>
        <v/>
      </c>
      <c r="I396" s="21"/>
      <c r="J396" s="22" t="str">
        <f t="shared" si="52"/>
        <v/>
      </c>
      <c r="K396" s="20" t="str">
        <f t="shared" si="53"/>
        <v/>
      </c>
      <c r="L396" s="20" t="str">
        <f t="shared" si="54"/>
        <v/>
      </c>
      <c r="M396" s="6"/>
      <c r="N396" s="19" t="str">
        <f t="shared" si="55"/>
        <v/>
      </c>
      <c r="O396" s="23" t="str">
        <f>IF(B396="","",TRIM(IF(COUNTIF('Registru comenzi'!$B$5:$B$304,B396)=0,"Comandă inexistentă în registru. ","")&amp;IF(AND(D396&lt;&gt;"",E396=""),"Cod necunoscut. ","")&amp;IF(N(G396)&lt;=0,"Lipsește cantitatea. ","")&amp;IF(N(M396)&gt;N(G396),"Livrat mai mult decât s-a comandat. ","")&amp;IF(N(I396)&gt;0.3,"Discount neobișnuit de mare. ","")))</f>
        <v/>
      </c>
    </row>
    <row r="397" spans="1:15" x14ac:dyDescent="0.2">
      <c r="A397" s="1" t="str">
        <f t="shared" si="48"/>
        <v/>
      </c>
      <c r="B397" s="17"/>
      <c r="C397" s="18" t="str">
        <f>IF(B397="","",COUNTIF(INDEX($B:$B,5):B397,B397))</f>
        <v/>
      </c>
      <c r="D397" s="17"/>
      <c r="E397" s="19" t="str">
        <f t="shared" si="49"/>
        <v/>
      </c>
      <c r="F397" s="18" t="str">
        <f t="shared" si="50"/>
        <v/>
      </c>
      <c r="G397" s="6"/>
      <c r="H397" s="20" t="str">
        <f t="shared" si="51"/>
        <v/>
      </c>
      <c r="I397" s="21"/>
      <c r="J397" s="22" t="str">
        <f t="shared" si="52"/>
        <v/>
      </c>
      <c r="K397" s="20" t="str">
        <f t="shared" si="53"/>
        <v/>
      </c>
      <c r="L397" s="20" t="str">
        <f t="shared" si="54"/>
        <v/>
      </c>
      <c r="M397" s="6"/>
      <c r="N397" s="19" t="str">
        <f t="shared" si="55"/>
        <v/>
      </c>
      <c r="O397" s="23" t="str">
        <f>IF(B397="","",TRIM(IF(COUNTIF('Registru comenzi'!$B$5:$B$304,B397)=0,"Comandă inexistentă în registru. ","")&amp;IF(AND(D397&lt;&gt;"",E397=""),"Cod necunoscut. ","")&amp;IF(N(G397)&lt;=0,"Lipsește cantitatea. ","")&amp;IF(N(M397)&gt;N(G397),"Livrat mai mult decât s-a comandat. ","")&amp;IF(N(I397)&gt;0.3,"Discount neobișnuit de mare. ","")))</f>
        <v/>
      </c>
    </row>
    <row r="398" spans="1:15" x14ac:dyDescent="0.2">
      <c r="A398" s="1" t="str">
        <f t="shared" si="48"/>
        <v/>
      </c>
      <c r="B398" s="17"/>
      <c r="C398" s="18" t="str">
        <f>IF(B398="","",COUNTIF(INDEX($B:$B,5):B398,B398))</f>
        <v/>
      </c>
      <c r="D398" s="17"/>
      <c r="E398" s="19" t="str">
        <f t="shared" si="49"/>
        <v/>
      </c>
      <c r="F398" s="18" t="str">
        <f t="shared" si="50"/>
        <v/>
      </c>
      <c r="G398" s="6"/>
      <c r="H398" s="20" t="str">
        <f t="shared" si="51"/>
        <v/>
      </c>
      <c r="I398" s="21"/>
      <c r="J398" s="22" t="str">
        <f t="shared" si="52"/>
        <v/>
      </c>
      <c r="K398" s="20" t="str">
        <f t="shared" si="53"/>
        <v/>
      </c>
      <c r="L398" s="20" t="str">
        <f t="shared" si="54"/>
        <v/>
      </c>
      <c r="M398" s="6"/>
      <c r="N398" s="19" t="str">
        <f t="shared" si="55"/>
        <v/>
      </c>
      <c r="O398" s="23" t="str">
        <f>IF(B398="","",TRIM(IF(COUNTIF('Registru comenzi'!$B$5:$B$304,B398)=0,"Comandă inexistentă în registru. ","")&amp;IF(AND(D398&lt;&gt;"",E398=""),"Cod necunoscut. ","")&amp;IF(N(G398)&lt;=0,"Lipsește cantitatea. ","")&amp;IF(N(M398)&gt;N(G398),"Livrat mai mult decât s-a comandat. ","")&amp;IF(N(I398)&gt;0.3,"Discount neobișnuit de mare. ","")))</f>
        <v/>
      </c>
    </row>
    <row r="399" spans="1:15" x14ac:dyDescent="0.2">
      <c r="A399" s="1" t="str">
        <f t="shared" si="48"/>
        <v/>
      </c>
      <c r="B399" s="17"/>
      <c r="C399" s="18" t="str">
        <f>IF(B399="","",COUNTIF(INDEX($B:$B,5):B399,B399))</f>
        <v/>
      </c>
      <c r="D399" s="17"/>
      <c r="E399" s="19" t="str">
        <f t="shared" si="49"/>
        <v/>
      </c>
      <c r="F399" s="18" t="str">
        <f t="shared" si="50"/>
        <v/>
      </c>
      <c r="G399" s="6"/>
      <c r="H399" s="20" t="str">
        <f t="shared" si="51"/>
        <v/>
      </c>
      <c r="I399" s="21"/>
      <c r="J399" s="22" t="str">
        <f t="shared" si="52"/>
        <v/>
      </c>
      <c r="K399" s="20" t="str">
        <f t="shared" si="53"/>
        <v/>
      </c>
      <c r="L399" s="20" t="str">
        <f t="shared" si="54"/>
        <v/>
      </c>
      <c r="M399" s="6"/>
      <c r="N399" s="19" t="str">
        <f t="shared" si="55"/>
        <v/>
      </c>
      <c r="O399" s="23" t="str">
        <f>IF(B399="","",TRIM(IF(COUNTIF('Registru comenzi'!$B$5:$B$304,B399)=0,"Comandă inexistentă în registru. ","")&amp;IF(AND(D399&lt;&gt;"",E399=""),"Cod necunoscut. ","")&amp;IF(N(G399)&lt;=0,"Lipsește cantitatea. ","")&amp;IF(N(M399)&gt;N(G399),"Livrat mai mult decât s-a comandat. ","")&amp;IF(N(I399)&gt;0.3,"Discount neobișnuit de mare. ","")))</f>
        <v/>
      </c>
    </row>
    <row r="400" spans="1:15" x14ac:dyDescent="0.2">
      <c r="A400" s="1" t="str">
        <f t="shared" si="48"/>
        <v/>
      </c>
      <c r="B400" s="17"/>
      <c r="C400" s="18" t="str">
        <f>IF(B400="","",COUNTIF(INDEX($B:$B,5):B400,B400))</f>
        <v/>
      </c>
      <c r="D400" s="17"/>
      <c r="E400" s="19" t="str">
        <f t="shared" si="49"/>
        <v/>
      </c>
      <c r="F400" s="18" t="str">
        <f t="shared" si="50"/>
        <v/>
      </c>
      <c r="G400" s="6"/>
      <c r="H400" s="20" t="str">
        <f t="shared" si="51"/>
        <v/>
      </c>
      <c r="I400" s="21"/>
      <c r="J400" s="22" t="str">
        <f t="shared" si="52"/>
        <v/>
      </c>
      <c r="K400" s="20" t="str">
        <f t="shared" si="53"/>
        <v/>
      </c>
      <c r="L400" s="20" t="str">
        <f t="shared" si="54"/>
        <v/>
      </c>
      <c r="M400" s="6"/>
      <c r="N400" s="19" t="str">
        <f t="shared" si="55"/>
        <v/>
      </c>
      <c r="O400" s="23" t="str">
        <f>IF(B400="","",TRIM(IF(COUNTIF('Registru comenzi'!$B$5:$B$304,B400)=0,"Comandă inexistentă în registru. ","")&amp;IF(AND(D400&lt;&gt;"",E400=""),"Cod necunoscut. ","")&amp;IF(N(G400)&lt;=0,"Lipsește cantitatea. ","")&amp;IF(N(M400)&gt;N(G400),"Livrat mai mult decât s-a comandat. ","")&amp;IF(N(I400)&gt;0.3,"Discount neobișnuit de mare. ","")))</f>
        <v/>
      </c>
    </row>
    <row r="401" spans="1:15" x14ac:dyDescent="0.2">
      <c r="A401" s="1" t="str">
        <f t="shared" si="48"/>
        <v/>
      </c>
      <c r="B401" s="17"/>
      <c r="C401" s="18" t="str">
        <f>IF(B401="","",COUNTIF(INDEX($B:$B,5):B401,B401))</f>
        <v/>
      </c>
      <c r="D401" s="17"/>
      <c r="E401" s="19" t="str">
        <f t="shared" si="49"/>
        <v/>
      </c>
      <c r="F401" s="18" t="str">
        <f t="shared" si="50"/>
        <v/>
      </c>
      <c r="G401" s="6"/>
      <c r="H401" s="20" t="str">
        <f t="shared" si="51"/>
        <v/>
      </c>
      <c r="I401" s="21"/>
      <c r="J401" s="22" t="str">
        <f t="shared" si="52"/>
        <v/>
      </c>
      <c r="K401" s="20" t="str">
        <f t="shared" si="53"/>
        <v/>
      </c>
      <c r="L401" s="20" t="str">
        <f t="shared" si="54"/>
        <v/>
      </c>
      <c r="M401" s="6"/>
      <c r="N401" s="19" t="str">
        <f t="shared" si="55"/>
        <v/>
      </c>
      <c r="O401" s="23" t="str">
        <f>IF(B401="","",TRIM(IF(COUNTIF('Registru comenzi'!$B$5:$B$304,B401)=0,"Comandă inexistentă în registru. ","")&amp;IF(AND(D401&lt;&gt;"",E401=""),"Cod necunoscut. ","")&amp;IF(N(G401)&lt;=0,"Lipsește cantitatea. ","")&amp;IF(N(M401)&gt;N(G401),"Livrat mai mult decât s-a comandat. ","")&amp;IF(N(I401)&gt;0.3,"Discount neobișnuit de mare. ","")))</f>
        <v/>
      </c>
    </row>
    <row r="402" spans="1:15" x14ac:dyDescent="0.2">
      <c r="A402" s="1" t="str">
        <f t="shared" si="48"/>
        <v/>
      </c>
      <c r="B402" s="17"/>
      <c r="C402" s="18" t="str">
        <f>IF(B402="","",COUNTIF(INDEX($B:$B,5):B402,B402))</f>
        <v/>
      </c>
      <c r="D402" s="17"/>
      <c r="E402" s="19" t="str">
        <f t="shared" si="49"/>
        <v/>
      </c>
      <c r="F402" s="18" t="str">
        <f t="shared" si="50"/>
        <v/>
      </c>
      <c r="G402" s="6"/>
      <c r="H402" s="20" t="str">
        <f t="shared" si="51"/>
        <v/>
      </c>
      <c r="I402" s="21"/>
      <c r="J402" s="22" t="str">
        <f t="shared" si="52"/>
        <v/>
      </c>
      <c r="K402" s="20" t="str">
        <f t="shared" si="53"/>
        <v/>
      </c>
      <c r="L402" s="20" t="str">
        <f t="shared" si="54"/>
        <v/>
      </c>
      <c r="M402" s="6"/>
      <c r="N402" s="19" t="str">
        <f t="shared" si="55"/>
        <v/>
      </c>
      <c r="O402" s="23" t="str">
        <f>IF(B402="","",TRIM(IF(COUNTIF('Registru comenzi'!$B$5:$B$304,B402)=0,"Comandă inexistentă în registru. ","")&amp;IF(AND(D402&lt;&gt;"",E402=""),"Cod necunoscut. ","")&amp;IF(N(G402)&lt;=0,"Lipsește cantitatea. ","")&amp;IF(N(M402)&gt;N(G402),"Livrat mai mult decât s-a comandat. ","")&amp;IF(N(I402)&gt;0.3,"Discount neobișnuit de mare. ","")))</f>
        <v/>
      </c>
    </row>
    <row r="403" spans="1:15" x14ac:dyDescent="0.2">
      <c r="A403" s="1" t="str">
        <f t="shared" si="48"/>
        <v/>
      </c>
      <c r="B403" s="17"/>
      <c r="C403" s="18" t="str">
        <f>IF(B403="","",COUNTIF(INDEX($B:$B,5):B403,B403))</f>
        <v/>
      </c>
      <c r="D403" s="17"/>
      <c r="E403" s="19" t="str">
        <f t="shared" si="49"/>
        <v/>
      </c>
      <c r="F403" s="18" t="str">
        <f t="shared" si="50"/>
        <v/>
      </c>
      <c r="G403" s="6"/>
      <c r="H403" s="20" t="str">
        <f t="shared" si="51"/>
        <v/>
      </c>
      <c r="I403" s="21"/>
      <c r="J403" s="22" t="str">
        <f t="shared" si="52"/>
        <v/>
      </c>
      <c r="K403" s="20" t="str">
        <f t="shared" si="53"/>
        <v/>
      </c>
      <c r="L403" s="20" t="str">
        <f t="shared" si="54"/>
        <v/>
      </c>
      <c r="M403" s="6"/>
      <c r="N403" s="19" t="str">
        <f t="shared" si="55"/>
        <v/>
      </c>
      <c r="O403" s="23" t="str">
        <f>IF(B403="","",TRIM(IF(COUNTIF('Registru comenzi'!$B$5:$B$304,B403)=0,"Comandă inexistentă în registru. ","")&amp;IF(AND(D403&lt;&gt;"",E403=""),"Cod necunoscut. ","")&amp;IF(N(G403)&lt;=0,"Lipsește cantitatea. ","")&amp;IF(N(M403)&gt;N(G403),"Livrat mai mult decât s-a comandat. ","")&amp;IF(N(I403)&gt;0.3,"Discount neobișnuit de mare. ","")))</f>
        <v/>
      </c>
    </row>
    <row r="404" spans="1:15" x14ac:dyDescent="0.2">
      <c r="A404" s="1" t="str">
        <f t="shared" si="48"/>
        <v/>
      </c>
      <c r="B404" s="17"/>
      <c r="C404" s="18" t="str">
        <f>IF(B404="","",COUNTIF(INDEX($B:$B,5):B404,B404))</f>
        <v/>
      </c>
      <c r="D404" s="17"/>
      <c r="E404" s="19" t="str">
        <f t="shared" si="49"/>
        <v/>
      </c>
      <c r="F404" s="18" t="str">
        <f t="shared" si="50"/>
        <v/>
      </c>
      <c r="G404" s="6"/>
      <c r="H404" s="20" t="str">
        <f t="shared" si="51"/>
        <v/>
      </c>
      <c r="I404" s="21"/>
      <c r="J404" s="22" t="str">
        <f t="shared" si="52"/>
        <v/>
      </c>
      <c r="K404" s="20" t="str">
        <f t="shared" si="53"/>
        <v/>
      </c>
      <c r="L404" s="20" t="str">
        <f t="shared" si="54"/>
        <v/>
      </c>
      <c r="M404" s="6"/>
      <c r="N404" s="19" t="str">
        <f t="shared" si="55"/>
        <v/>
      </c>
      <c r="O404" s="23" t="str">
        <f>IF(B404="","",TRIM(IF(COUNTIF('Registru comenzi'!$B$5:$B$304,B404)=0,"Comandă inexistentă în registru. ","")&amp;IF(AND(D404&lt;&gt;"",E404=""),"Cod necunoscut. ","")&amp;IF(N(G404)&lt;=0,"Lipsește cantitatea. ","")&amp;IF(N(M404)&gt;N(G404),"Livrat mai mult decât s-a comandat. ","")&amp;IF(N(I404)&gt;0.3,"Discount neobișnuit de mare. ","")))</f>
        <v/>
      </c>
    </row>
    <row r="405" spans="1:15" x14ac:dyDescent="0.2">
      <c r="A405" s="1" t="str">
        <f t="shared" si="48"/>
        <v/>
      </c>
      <c r="B405" s="17"/>
      <c r="C405" s="18" t="str">
        <f>IF(B405="","",COUNTIF(INDEX($B:$B,5):B405,B405))</f>
        <v/>
      </c>
      <c r="D405" s="17"/>
      <c r="E405" s="19" t="str">
        <f t="shared" si="49"/>
        <v/>
      </c>
      <c r="F405" s="18" t="str">
        <f t="shared" si="50"/>
        <v/>
      </c>
      <c r="G405" s="6"/>
      <c r="H405" s="20" t="str">
        <f t="shared" si="51"/>
        <v/>
      </c>
      <c r="I405" s="21"/>
      <c r="J405" s="22" t="str">
        <f t="shared" si="52"/>
        <v/>
      </c>
      <c r="K405" s="20" t="str">
        <f t="shared" si="53"/>
        <v/>
      </c>
      <c r="L405" s="20" t="str">
        <f t="shared" si="54"/>
        <v/>
      </c>
      <c r="M405" s="6"/>
      <c r="N405" s="19" t="str">
        <f t="shared" si="55"/>
        <v/>
      </c>
      <c r="O405" s="23" t="str">
        <f>IF(B405="","",TRIM(IF(COUNTIF('Registru comenzi'!$B$5:$B$304,B405)=0,"Comandă inexistentă în registru. ","")&amp;IF(AND(D405&lt;&gt;"",E405=""),"Cod necunoscut. ","")&amp;IF(N(G405)&lt;=0,"Lipsește cantitatea. ","")&amp;IF(N(M405)&gt;N(G405),"Livrat mai mult decât s-a comandat. ","")&amp;IF(N(I405)&gt;0.3,"Discount neobișnuit de mare. ","")))</f>
        <v/>
      </c>
    </row>
    <row r="406" spans="1:15" x14ac:dyDescent="0.2">
      <c r="A406" s="1" t="str">
        <f t="shared" si="48"/>
        <v/>
      </c>
      <c r="B406" s="17"/>
      <c r="C406" s="18" t="str">
        <f>IF(B406="","",COUNTIF(INDEX($B:$B,5):B406,B406))</f>
        <v/>
      </c>
      <c r="D406" s="17"/>
      <c r="E406" s="19" t="str">
        <f t="shared" si="49"/>
        <v/>
      </c>
      <c r="F406" s="18" t="str">
        <f t="shared" si="50"/>
        <v/>
      </c>
      <c r="G406" s="6"/>
      <c r="H406" s="20" t="str">
        <f t="shared" si="51"/>
        <v/>
      </c>
      <c r="I406" s="21"/>
      <c r="J406" s="22" t="str">
        <f t="shared" si="52"/>
        <v/>
      </c>
      <c r="K406" s="20" t="str">
        <f t="shared" si="53"/>
        <v/>
      </c>
      <c r="L406" s="20" t="str">
        <f t="shared" si="54"/>
        <v/>
      </c>
      <c r="M406" s="6"/>
      <c r="N406" s="19" t="str">
        <f t="shared" si="55"/>
        <v/>
      </c>
      <c r="O406" s="23" t="str">
        <f>IF(B406="","",TRIM(IF(COUNTIF('Registru comenzi'!$B$5:$B$304,B406)=0,"Comandă inexistentă în registru. ","")&amp;IF(AND(D406&lt;&gt;"",E406=""),"Cod necunoscut. ","")&amp;IF(N(G406)&lt;=0,"Lipsește cantitatea. ","")&amp;IF(N(M406)&gt;N(G406),"Livrat mai mult decât s-a comandat. ","")&amp;IF(N(I406)&gt;0.3,"Discount neobișnuit de mare. ","")))</f>
        <v/>
      </c>
    </row>
    <row r="407" spans="1:15" x14ac:dyDescent="0.2">
      <c r="A407" s="1" t="str">
        <f t="shared" si="48"/>
        <v/>
      </c>
      <c r="B407" s="17"/>
      <c r="C407" s="18" t="str">
        <f>IF(B407="","",COUNTIF(INDEX($B:$B,5):B407,B407))</f>
        <v/>
      </c>
      <c r="D407" s="17"/>
      <c r="E407" s="19" t="str">
        <f t="shared" si="49"/>
        <v/>
      </c>
      <c r="F407" s="18" t="str">
        <f t="shared" si="50"/>
        <v/>
      </c>
      <c r="G407" s="6"/>
      <c r="H407" s="20" t="str">
        <f t="shared" si="51"/>
        <v/>
      </c>
      <c r="I407" s="21"/>
      <c r="J407" s="22" t="str">
        <f t="shared" si="52"/>
        <v/>
      </c>
      <c r="K407" s="20" t="str">
        <f t="shared" si="53"/>
        <v/>
      </c>
      <c r="L407" s="20" t="str">
        <f t="shared" si="54"/>
        <v/>
      </c>
      <c r="M407" s="6"/>
      <c r="N407" s="19" t="str">
        <f t="shared" si="55"/>
        <v/>
      </c>
      <c r="O407" s="23" t="str">
        <f>IF(B407="","",TRIM(IF(COUNTIF('Registru comenzi'!$B$5:$B$304,B407)=0,"Comandă inexistentă în registru. ","")&amp;IF(AND(D407&lt;&gt;"",E407=""),"Cod necunoscut. ","")&amp;IF(N(G407)&lt;=0,"Lipsește cantitatea. ","")&amp;IF(N(M407)&gt;N(G407),"Livrat mai mult decât s-a comandat. ","")&amp;IF(N(I407)&gt;0.3,"Discount neobișnuit de mare. ","")))</f>
        <v/>
      </c>
    </row>
    <row r="408" spans="1:15" x14ac:dyDescent="0.2">
      <c r="A408" s="1" t="str">
        <f t="shared" si="48"/>
        <v/>
      </c>
      <c r="B408" s="17"/>
      <c r="C408" s="18" t="str">
        <f>IF(B408="","",COUNTIF(INDEX($B:$B,5):B408,B408))</f>
        <v/>
      </c>
      <c r="D408" s="17"/>
      <c r="E408" s="19" t="str">
        <f t="shared" si="49"/>
        <v/>
      </c>
      <c r="F408" s="18" t="str">
        <f t="shared" si="50"/>
        <v/>
      </c>
      <c r="G408" s="6"/>
      <c r="H408" s="20" t="str">
        <f t="shared" si="51"/>
        <v/>
      </c>
      <c r="I408" s="21"/>
      <c r="J408" s="22" t="str">
        <f t="shared" si="52"/>
        <v/>
      </c>
      <c r="K408" s="20" t="str">
        <f t="shared" si="53"/>
        <v/>
      </c>
      <c r="L408" s="20" t="str">
        <f t="shared" si="54"/>
        <v/>
      </c>
      <c r="M408" s="6"/>
      <c r="N408" s="19" t="str">
        <f t="shared" si="55"/>
        <v/>
      </c>
      <c r="O408" s="23" t="str">
        <f>IF(B408="","",TRIM(IF(COUNTIF('Registru comenzi'!$B$5:$B$304,B408)=0,"Comandă inexistentă în registru. ","")&amp;IF(AND(D408&lt;&gt;"",E408=""),"Cod necunoscut. ","")&amp;IF(N(G408)&lt;=0,"Lipsește cantitatea. ","")&amp;IF(N(M408)&gt;N(G408),"Livrat mai mult decât s-a comandat. ","")&amp;IF(N(I408)&gt;0.3,"Discount neobișnuit de mare. ","")))</f>
        <v/>
      </c>
    </row>
    <row r="409" spans="1:15" x14ac:dyDescent="0.2">
      <c r="A409" s="1" t="str">
        <f t="shared" si="48"/>
        <v/>
      </c>
      <c r="B409" s="17"/>
      <c r="C409" s="18" t="str">
        <f>IF(B409="","",COUNTIF(INDEX($B:$B,5):B409,B409))</f>
        <v/>
      </c>
      <c r="D409" s="17"/>
      <c r="E409" s="19" t="str">
        <f t="shared" si="49"/>
        <v/>
      </c>
      <c r="F409" s="18" t="str">
        <f t="shared" si="50"/>
        <v/>
      </c>
      <c r="G409" s="6"/>
      <c r="H409" s="20" t="str">
        <f t="shared" si="51"/>
        <v/>
      </c>
      <c r="I409" s="21"/>
      <c r="J409" s="22" t="str">
        <f t="shared" si="52"/>
        <v/>
      </c>
      <c r="K409" s="20" t="str">
        <f t="shared" si="53"/>
        <v/>
      </c>
      <c r="L409" s="20" t="str">
        <f t="shared" si="54"/>
        <v/>
      </c>
      <c r="M409" s="6"/>
      <c r="N409" s="19" t="str">
        <f t="shared" si="55"/>
        <v/>
      </c>
      <c r="O409" s="23" t="str">
        <f>IF(B409="","",TRIM(IF(COUNTIF('Registru comenzi'!$B$5:$B$304,B409)=0,"Comandă inexistentă în registru. ","")&amp;IF(AND(D409&lt;&gt;"",E409=""),"Cod necunoscut. ","")&amp;IF(N(G409)&lt;=0,"Lipsește cantitatea. ","")&amp;IF(N(M409)&gt;N(G409),"Livrat mai mult decât s-a comandat. ","")&amp;IF(N(I409)&gt;0.3,"Discount neobișnuit de mare. ","")))</f>
        <v/>
      </c>
    </row>
    <row r="410" spans="1:15" x14ac:dyDescent="0.2">
      <c r="A410" s="1" t="str">
        <f t="shared" si="48"/>
        <v/>
      </c>
      <c r="B410" s="17"/>
      <c r="C410" s="18" t="str">
        <f>IF(B410="","",COUNTIF(INDEX($B:$B,5):B410,B410))</f>
        <v/>
      </c>
      <c r="D410" s="17"/>
      <c r="E410" s="19" t="str">
        <f t="shared" si="49"/>
        <v/>
      </c>
      <c r="F410" s="18" t="str">
        <f t="shared" si="50"/>
        <v/>
      </c>
      <c r="G410" s="6"/>
      <c r="H410" s="20" t="str">
        <f t="shared" si="51"/>
        <v/>
      </c>
      <c r="I410" s="21"/>
      <c r="J410" s="22" t="str">
        <f t="shared" si="52"/>
        <v/>
      </c>
      <c r="K410" s="20" t="str">
        <f t="shared" si="53"/>
        <v/>
      </c>
      <c r="L410" s="20" t="str">
        <f t="shared" si="54"/>
        <v/>
      </c>
      <c r="M410" s="6"/>
      <c r="N410" s="19" t="str">
        <f t="shared" si="55"/>
        <v/>
      </c>
      <c r="O410" s="23" t="str">
        <f>IF(B410="","",TRIM(IF(COUNTIF('Registru comenzi'!$B$5:$B$304,B410)=0,"Comandă inexistentă în registru. ","")&amp;IF(AND(D410&lt;&gt;"",E410=""),"Cod necunoscut. ","")&amp;IF(N(G410)&lt;=0,"Lipsește cantitatea. ","")&amp;IF(N(M410)&gt;N(G410),"Livrat mai mult decât s-a comandat. ","")&amp;IF(N(I410)&gt;0.3,"Discount neobișnuit de mare. ","")))</f>
        <v/>
      </c>
    </row>
    <row r="411" spans="1:15" x14ac:dyDescent="0.2">
      <c r="A411" s="1" t="str">
        <f t="shared" si="48"/>
        <v/>
      </c>
      <c r="B411" s="17"/>
      <c r="C411" s="18" t="str">
        <f>IF(B411="","",COUNTIF(INDEX($B:$B,5):B411,B411))</f>
        <v/>
      </c>
      <c r="D411" s="17"/>
      <c r="E411" s="19" t="str">
        <f t="shared" si="49"/>
        <v/>
      </c>
      <c r="F411" s="18" t="str">
        <f t="shared" si="50"/>
        <v/>
      </c>
      <c r="G411" s="6"/>
      <c r="H411" s="20" t="str">
        <f t="shared" si="51"/>
        <v/>
      </c>
      <c r="I411" s="21"/>
      <c r="J411" s="22" t="str">
        <f t="shared" si="52"/>
        <v/>
      </c>
      <c r="K411" s="20" t="str">
        <f t="shared" si="53"/>
        <v/>
      </c>
      <c r="L411" s="20" t="str">
        <f t="shared" si="54"/>
        <v/>
      </c>
      <c r="M411" s="6"/>
      <c r="N411" s="19" t="str">
        <f t="shared" si="55"/>
        <v/>
      </c>
      <c r="O411" s="23" t="str">
        <f>IF(B411="","",TRIM(IF(COUNTIF('Registru comenzi'!$B$5:$B$304,B411)=0,"Comandă inexistentă în registru. ","")&amp;IF(AND(D411&lt;&gt;"",E411=""),"Cod necunoscut. ","")&amp;IF(N(G411)&lt;=0,"Lipsește cantitatea. ","")&amp;IF(N(M411)&gt;N(G411),"Livrat mai mult decât s-a comandat. ","")&amp;IF(N(I411)&gt;0.3,"Discount neobișnuit de mare. ","")))</f>
        <v/>
      </c>
    </row>
    <row r="412" spans="1:15" x14ac:dyDescent="0.2">
      <c r="A412" s="1" t="str">
        <f t="shared" si="48"/>
        <v/>
      </c>
      <c r="B412" s="17"/>
      <c r="C412" s="18" t="str">
        <f>IF(B412="","",COUNTIF(INDEX($B:$B,5):B412,B412))</f>
        <v/>
      </c>
      <c r="D412" s="17"/>
      <c r="E412" s="19" t="str">
        <f t="shared" si="49"/>
        <v/>
      </c>
      <c r="F412" s="18" t="str">
        <f t="shared" si="50"/>
        <v/>
      </c>
      <c r="G412" s="6"/>
      <c r="H412" s="20" t="str">
        <f t="shared" si="51"/>
        <v/>
      </c>
      <c r="I412" s="21"/>
      <c r="J412" s="22" t="str">
        <f t="shared" si="52"/>
        <v/>
      </c>
      <c r="K412" s="20" t="str">
        <f t="shared" si="53"/>
        <v/>
      </c>
      <c r="L412" s="20" t="str">
        <f t="shared" si="54"/>
        <v/>
      </c>
      <c r="M412" s="6"/>
      <c r="N412" s="19" t="str">
        <f t="shared" si="55"/>
        <v/>
      </c>
      <c r="O412" s="23" t="str">
        <f>IF(B412="","",TRIM(IF(COUNTIF('Registru comenzi'!$B$5:$B$304,B412)=0,"Comandă inexistentă în registru. ","")&amp;IF(AND(D412&lt;&gt;"",E412=""),"Cod necunoscut. ","")&amp;IF(N(G412)&lt;=0,"Lipsește cantitatea. ","")&amp;IF(N(M412)&gt;N(G412),"Livrat mai mult decât s-a comandat. ","")&amp;IF(N(I412)&gt;0.3,"Discount neobișnuit de mare. ","")))</f>
        <v/>
      </c>
    </row>
    <row r="413" spans="1:15" x14ac:dyDescent="0.2">
      <c r="A413" s="1" t="str">
        <f t="shared" si="48"/>
        <v/>
      </c>
      <c r="B413" s="17"/>
      <c r="C413" s="18" t="str">
        <f>IF(B413="","",COUNTIF(INDEX($B:$B,5):B413,B413))</f>
        <v/>
      </c>
      <c r="D413" s="17"/>
      <c r="E413" s="19" t="str">
        <f t="shared" si="49"/>
        <v/>
      </c>
      <c r="F413" s="18" t="str">
        <f t="shared" si="50"/>
        <v/>
      </c>
      <c r="G413" s="6"/>
      <c r="H413" s="20" t="str">
        <f t="shared" si="51"/>
        <v/>
      </c>
      <c r="I413" s="21"/>
      <c r="J413" s="22" t="str">
        <f t="shared" si="52"/>
        <v/>
      </c>
      <c r="K413" s="20" t="str">
        <f t="shared" si="53"/>
        <v/>
      </c>
      <c r="L413" s="20" t="str">
        <f t="shared" si="54"/>
        <v/>
      </c>
      <c r="M413" s="6"/>
      <c r="N413" s="19" t="str">
        <f t="shared" si="55"/>
        <v/>
      </c>
      <c r="O413" s="23" t="str">
        <f>IF(B413="","",TRIM(IF(COUNTIF('Registru comenzi'!$B$5:$B$304,B413)=0,"Comandă inexistentă în registru. ","")&amp;IF(AND(D413&lt;&gt;"",E413=""),"Cod necunoscut. ","")&amp;IF(N(G413)&lt;=0,"Lipsește cantitatea. ","")&amp;IF(N(M413)&gt;N(G413),"Livrat mai mult decât s-a comandat. ","")&amp;IF(N(I413)&gt;0.3,"Discount neobișnuit de mare. ","")))</f>
        <v/>
      </c>
    </row>
    <row r="414" spans="1:15" x14ac:dyDescent="0.2">
      <c r="A414" s="1" t="str">
        <f t="shared" si="48"/>
        <v/>
      </c>
      <c r="B414" s="17"/>
      <c r="C414" s="18" t="str">
        <f>IF(B414="","",COUNTIF(INDEX($B:$B,5):B414,B414))</f>
        <v/>
      </c>
      <c r="D414" s="17"/>
      <c r="E414" s="19" t="str">
        <f t="shared" si="49"/>
        <v/>
      </c>
      <c r="F414" s="18" t="str">
        <f t="shared" si="50"/>
        <v/>
      </c>
      <c r="G414" s="6"/>
      <c r="H414" s="20" t="str">
        <f t="shared" si="51"/>
        <v/>
      </c>
      <c r="I414" s="21"/>
      <c r="J414" s="22" t="str">
        <f t="shared" si="52"/>
        <v/>
      </c>
      <c r="K414" s="20" t="str">
        <f t="shared" si="53"/>
        <v/>
      </c>
      <c r="L414" s="20" t="str">
        <f t="shared" si="54"/>
        <v/>
      </c>
      <c r="M414" s="6"/>
      <c r="N414" s="19" t="str">
        <f t="shared" si="55"/>
        <v/>
      </c>
      <c r="O414" s="23" t="str">
        <f>IF(B414="","",TRIM(IF(COUNTIF('Registru comenzi'!$B$5:$B$304,B414)=0,"Comandă inexistentă în registru. ","")&amp;IF(AND(D414&lt;&gt;"",E414=""),"Cod necunoscut. ","")&amp;IF(N(G414)&lt;=0,"Lipsește cantitatea. ","")&amp;IF(N(M414)&gt;N(G414),"Livrat mai mult decât s-a comandat. ","")&amp;IF(N(I414)&gt;0.3,"Discount neobișnuit de mare. ","")))</f>
        <v/>
      </c>
    </row>
    <row r="415" spans="1:15" x14ac:dyDescent="0.2">
      <c r="A415" s="1" t="str">
        <f t="shared" si="48"/>
        <v/>
      </c>
      <c r="B415" s="17"/>
      <c r="C415" s="18" t="str">
        <f>IF(B415="","",COUNTIF(INDEX($B:$B,5):B415,B415))</f>
        <v/>
      </c>
      <c r="D415" s="17"/>
      <c r="E415" s="19" t="str">
        <f t="shared" si="49"/>
        <v/>
      </c>
      <c r="F415" s="18" t="str">
        <f t="shared" si="50"/>
        <v/>
      </c>
      <c r="G415" s="6"/>
      <c r="H415" s="20" t="str">
        <f t="shared" si="51"/>
        <v/>
      </c>
      <c r="I415" s="21"/>
      <c r="J415" s="22" t="str">
        <f t="shared" si="52"/>
        <v/>
      </c>
      <c r="K415" s="20" t="str">
        <f t="shared" si="53"/>
        <v/>
      </c>
      <c r="L415" s="20" t="str">
        <f t="shared" si="54"/>
        <v/>
      </c>
      <c r="M415" s="6"/>
      <c r="N415" s="19" t="str">
        <f t="shared" si="55"/>
        <v/>
      </c>
      <c r="O415" s="23" t="str">
        <f>IF(B415="","",TRIM(IF(COUNTIF('Registru comenzi'!$B$5:$B$304,B415)=0,"Comandă inexistentă în registru. ","")&amp;IF(AND(D415&lt;&gt;"",E415=""),"Cod necunoscut. ","")&amp;IF(N(G415)&lt;=0,"Lipsește cantitatea. ","")&amp;IF(N(M415)&gt;N(G415),"Livrat mai mult decât s-a comandat. ","")&amp;IF(N(I415)&gt;0.3,"Discount neobișnuit de mare. ","")))</f>
        <v/>
      </c>
    </row>
    <row r="416" spans="1:15" x14ac:dyDescent="0.2">
      <c r="A416" s="1" t="str">
        <f t="shared" si="48"/>
        <v/>
      </c>
      <c r="B416" s="17"/>
      <c r="C416" s="18" t="str">
        <f>IF(B416="","",COUNTIF(INDEX($B:$B,5):B416,B416))</f>
        <v/>
      </c>
      <c r="D416" s="17"/>
      <c r="E416" s="19" t="str">
        <f t="shared" si="49"/>
        <v/>
      </c>
      <c r="F416" s="18" t="str">
        <f t="shared" si="50"/>
        <v/>
      </c>
      <c r="G416" s="6"/>
      <c r="H416" s="20" t="str">
        <f t="shared" si="51"/>
        <v/>
      </c>
      <c r="I416" s="21"/>
      <c r="J416" s="22" t="str">
        <f t="shared" si="52"/>
        <v/>
      </c>
      <c r="K416" s="20" t="str">
        <f t="shared" si="53"/>
        <v/>
      </c>
      <c r="L416" s="20" t="str">
        <f t="shared" si="54"/>
        <v/>
      </c>
      <c r="M416" s="6"/>
      <c r="N416" s="19" t="str">
        <f t="shared" si="55"/>
        <v/>
      </c>
      <c r="O416" s="23" t="str">
        <f>IF(B416="","",TRIM(IF(COUNTIF('Registru comenzi'!$B$5:$B$304,B416)=0,"Comandă inexistentă în registru. ","")&amp;IF(AND(D416&lt;&gt;"",E416=""),"Cod necunoscut. ","")&amp;IF(N(G416)&lt;=0,"Lipsește cantitatea. ","")&amp;IF(N(M416)&gt;N(G416),"Livrat mai mult decât s-a comandat. ","")&amp;IF(N(I416)&gt;0.3,"Discount neobișnuit de mare. ","")))</f>
        <v/>
      </c>
    </row>
    <row r="417" spans="1:15" x14ac:dyDescent="0.2">
      <c r="A417" s="1" t="str">
        <f t="shared" si="48"/>
        <v/>
      </c>
      <c r="B417" s="17"/>
      <c r="C417" s="18" t="str">
        <f>IF(B417="","",COUNTIF(INDEX($B:$B,5):B417,B417))</f>
        <v/>
      </c>
      <c r="D417" s="17"/>
      <c r="E417" s="19" t="str">
        <f t="shared" si="49"/>
        <v/>
      </c>
      <c r="F417" s="18" t="str">
        <f t="shared" si="50"/>
        <v/>
      </c>
      <c r="G417" s="6"/>
      <c r="H417" s="20" t="str">
        <f t="shared" si="51"/>
        <v/>
      </c>
      <c r="I417" s="21"/>
      <c r="J417" s="22" t="str">
        <f t="shared" si="52"/>
        <v/>
      </c>
      <c r="K417" s="20" t="str">
        <f t="shared" si="53"/>
        <v/>
      </c>
      <c r="L417" s="20" t="str">
        <f t="shared" si="54"/>
        <v/>
      </c>
      <c r="M417" s="6"/>
      <c r="N417" s="19" t="str">
        <f t="shared" si="55"/>
        <v/>
      </c>
      <c r="O417" s="23" t="str">
        <f>IF(B417="","",TRIM(IF(COUNTIF('Registru comenzi'!$B$5:$B$304,B417)=0,"Comandă inexistentă în registru. ","")&amp;IF(AND(D417&lt;&gt;"",E417=""),"Cod necunoscut. ","")&amp;IF(N(G417)&lt;=0,"Lipsește cantitatea. ","")&amp;IF(N(M417)&gt;N(G417),"Livrat mai mult decât s-a comandat. ","")&amp;IF(N(I417)&gt;0.3,"Discount neobișnuit de mare. ","")))</f>
        <v/>
      </c>
    </row>
    <row r="418" spans="1:15" x14ac:dyDescent="0.2">
      <c r="A418" s="1" t="str">
        <f t="shared" si="48"/>
        <v/>
      </c>
      <c r="B418" s="17"/>
      <c r="C418" s="18" t="str">
        <f>IF(B418="","",COUNTIF(INDEX($B:$B,5):B418,B418))</f>
        <v/>
      </c>
      <c r="D418" s="17"/>
      <c r="E418" s="19" t="str">
        <f t="shared" si="49"/>
        <v/>
      </c>
      <c r="F418" s="18" t="str">
        <f t="shared" si="50"/>
        <v/>
      </c>
      <c r="G418" s="6"/>
      <c r="H418" s="20" t="str">
        <f t="shared" si="51"/>
        <v/>
      </c>
      <c r="I418" s="21"/>
      <c r="J418" s="22" t="str">
        <f t="shared" si="52"/>
        <v/>
      </c>
      <c r="K418" s="20" t="str">
        <f t="shared" si="53"/>
        <v/>
      </c>
      <c r="L418" s="20" t="str">
        <f t="shared" si="54"/>
        <v/>
      </c>
      <c r="M418" s="6"/>
      <c r="N418" s="19" t="str">
        <f t="shared" si="55"/>
        <v/>
      </c>
      <c r="O418" s="23" t="str">
        <f>IF(B418="","",TRIM(IF(COUNTIF('Registru comenzi'!$B$5:$B$304,B418)=0,"Comandă inexistentă în registru. ","")&amp;IF(AND(D418&lt;&gt;"",E418=""),"Cod necunoscut. ","")&amp;IF(N(G418)&lt;=0,"Lipsește cantitatea. ","")&amp;IF(N(M418)&gt;N(G418),"Livrat mai mult decât s-a comandat. ","")&amp;IF(N(I418)&gt;0.3,"Discount neobișnuit de mare. ","")))</f>
        <v/>
      </c>
    </row>
    <row r="419" spans="1:15" x14ac:dyDescent="0.2">
      <c r="A419" s="1" t="str">
        <f t="shared" si="48"/>
        <v/>
      </c>
      <c r="B419" s="17"/>
      <c r="C419" s="18" t="str">
        <f>IF(B419="","",COUNTIF(INDEX($B:$B,5):B419,B419))</f>
        <v/>
      </c>
      <c r="D419" s="17"/>
      <c r="E419" s="19" t="str">
        <f t="shared" si="49"/>
        <v/>
      </c>
      <c r="F419" s="18" t="str">
        <f t="shared" si="50"/>
        <v/>
      </c>
      <c r="G419" s="6"/>
      <c r="H419" s="20" t="str">
        <f t="shared" si="51"/>
        <v/>
      </c>
      <c r="I419" s="21"/>
      <c r="J419" s="22" t="str">
        <f t="shared" si="52"/>
        <v/>
      </c>
      <c r="K419" s="20" t="str">
        <f t="shared" si="53"/>
        <v/>
      </c>
      <c r="L419" s="20" t="str">
        <f t="shared" si="54"/>
        <v/>
      </c>
      <c r="M419" s="6"/>
      <c r="N419" s="19" t="str">
        <f t="shared" si="55"/>
        <v/>
      </c>
      <c r="O419" s="23" t="str">
        <f>IF(B419="","",TRIM(IF(COUNTIF('Registru comenzi'!$B$5:$B$304,B419)=0,"Comandă inexistentă în registru. ","")&amp;IF(AND(D419&lt;&gt;"",E419=""),"Cod necunoscut. ","")&amp;IF(N(G419)&lt;=0,"Lipsește cantitatea. ","")&amp;IF(N(M419)&gt;N(G419),"Livrat mai mult decât s-a comandat. ","")&amp;IF(N(I419)&gt;0.3,"Discount neobișnuit de mare. ","")))</f>
        <v/>
      </c>
    </row>
    <row r="420" spans="1:15" x14ac:dyDescent="0.2">
      <c r="A420" s="1" t="str">
        <f t="shared" si="48"/>
        <v/>
      </c>
      <c r="B420" s="17"/>
      <c r="C420" s="18" t="str">
        <f>IF(B420="","",COUNTIF(INDEX($B:$B,5):B420,B420))</f>
        <v/>
      </c>
      <c r="D420" s="17"/>
      <c r="E420" s="19" t="str">
        <f t="shared" si="49"/>
        <v/>
      </c>
      <c r="F420" s="18" t="str">
        <f t="shared" si="50"/>
        <v/>
      </c>
      <c r="G420" s="6"/>
      <c r="H420" s="20" t="str">
        <f t="shared" si="51"/>
        <v/>
      </c>
      <c r="I420" s="21"/>
      <c r="J420" s="22" t="str">
        <f t="shared" si="52"/>
        <v/>
      </c>
      <c r="K420" s="20" t="str">
        <f t="shared" si="53"/>
        <v/>
      </c>
      <c r="L420" s="20" t="str">
        <f t="shared" si="54"/>
        <v/>
      </c>
      <c r="M420" s="6"/>
      <c r="N420" s="19" t="str">
        <f t="shared" si="55"/>
        <v/>
      </c>
      <c r="O420" s="23" t="str">
        <f>IF(B420="","",TRIM(IF(COUNTIF('Registru comenzi'!$B$5:$B$304,B420)=0,"Comandă inexistentă în registru. ","")&amp;IF(AND(D420&lt;&gt;"",E420=""),"Cod necunoscut. ","")&amp;IF(N(G420)&lt;=0,"Lipsește cantitatea. ","")&amp;IF(N(M420)&gt;N(G420),"Livrat mai mult decât s-a comandat. ","")&amp;IF(N(I420)&gt;0.3,"Discount neobișnuit de mare. ","")))</f>
        <v/>
      </c>
    </row>
    <row r="421" spans="1:15" x14ac:dyDescent="0.2">
      <c r="A421" s="1" t="str">
        <f t="shared" si="48"/>
        <v/>
      </c>
      <c r="B421" s="17"/>
      <c r="C421" s="18" t="str">
        <f>IF(B421="","",COUNTIF(INDEX($B:$B,5):B421,B421))</f>
        <v/>
      </c>
      <c r="D421" s="17"/>
      <c r="E421" s="19" t="str">
        <f t="shared" si="49"/>
        <v/>
      </c>
      <c r="F421" s="18" t="str">
        <f t="shared" si="50"/>
        <v/>
      </c>
      <c r="G421" s="6"/>
      <c r="H421" s="20" t="str">
        <f t="shared" si="51"/>
        <v/>
      </c>
      <c r="I421" s="21"/>
      <c r="J421" s="22" t="str">
        <f t="shared" si="52"/>
        <v/>
      </c>
      <c r="K421" s="20" t="str">
        <f t="shared" si="53"/>
        <v/>
      </c>
      <c r="L421" s="20" t="str">
        <f t="shared" si="54"/>
        <v/>
      </c>
      <c r="M421" s="6"/>
      <c r="N421" s="19" t="str">
        <f t="shared" si="55"/>
        <v/>
      </c>
      <c r="O421" s="23" t="str">
        <f>IF(B421="","",TRIM(IF(COUNTIF('Registru comenzi'!$B$5:$B$304,B421)=0,"Comandă inexistentă în registru. ","")&amp;IF(AND(D421&lt;&gt;"",E421=""),"Cod necunoscut. ","")&amp;IF(N(G421)&lt;=0,"Lipsește cantitatea. ","")&amp;IF(N(M421)&gt;N(G421),"Livrat mai mult decât s-a comandat. ","")&amp;IF(N(I421)&gt;0.3,"Discount neobișnuit de mare. ","")))</f>
        <v/>
      </c>
    </row>
    <row r="422" spans="1:15" x14ac:dyDescent="0.2">
      <c r="A422" s="1" t="str">
        <f t="shared" si="48"/>
        <v/>
      </c>
      <c r="B422" s="17"/>
      <c r="C422" s="18" t="str">
        <f>IF(B422="","",COUNTIF(INDEX($B:$B,5):B422,B422))</f>
        <v/>
      </c>
      <c r="D422" s="17"/>
      <c r="E422" s="19" t="str">
        <f t="shared" si="49"/>
        <v/>
      </c>
      <c r="F422" s="18" t="str">
        <f t="shared" si="50"/>
        <v/>
      </c>
      <c r="G422" s="6"/>
      <c r="H422" s="20" t="str">
        <f t="shared" si="51"/>
        <v/>
      </c>
      <c r="I422" s="21"/>
      <c r="J422" s="22" t="str">
        <f t="shared" si="52"/>
        <v/>
      </c>
      <c r="K422" s="20" t="str">
        <f t="shared" si="53"/>
        <v/>
      </c>
      <c r="L422" s="20" t="str">
        <f t="shared" si="54"/>
        <v/>
      </c>
      <c r="M422" s="6"/>
      <c r="N422" s="19" t="str">
        <f t="shared" si="55"/>
        <v/>
      </c>
      <c r="O422" s="23" t="str">
        <f>IF(B422="","",TRIM(IF(COUNTIF('Registru comenzi'!$B$5:$B$304,B422)=0,"Comandă inexistentă în registru. ","")&amp;IF(AND(D422&lt;&gt;"",E422=""),"Cod necunoscut. ","")&amp;IF(N(G422)&lt;=0,"Lipsește cantitatea. ","")&amp;IF(N(M422)&gt;N(G422),"Livrat mai mult decât s-a comandat. ","")&amp;IF(N(I422)&gt;0.3,"Discount neobișnuit de mare. ","")))</f>
        <v/>
      </c>
    </row>
    <row r="423" spans="1:15" x14ac:dyDescent="0.2">
      <c r="A423" s="1" t="str">
        <f t="shared" si="48"/>
        <v/>
      </c>
      <c r="B423" s="17"/>
      <c r="C423" s="18" t="str">
        <f>IF(B423="","",COUNTIF(INDEX($B:$B,5):B423,B423))</f>
        <v/>
      </c>
      <c r="D423" s="17"/>
      <c r="E423" s="19" t="str">
        <f t="shared" si="49"/>
        <v/>
      </c>
      <c r="F423" s="18" t="str">
        <f t="shared" si="50"/>
        <v/>
      </c>
      <c r="G423" s="6"/>
      <c r="H423" s="20" t="str">
        <f t="shared" si="51"/>
        <v/>
      </c>
      <c r="I423" s="21"/>
      <c r="J423" s="22" t="str">
        <f t="shared" si="52"/>
        <v/>
      </c>
      <c r="K423" s="20" t="str">
        <f t="shared" si="53"/>
        <v/>
      </c>
      <c r="L423" s="20" t="str">
        <f t="shared" si="54"/>
        <v/>
      </c>
      <c r="M423" s="6"/>
      <c r="N423" s="19" t="str">
        <f t="shared" si="55"/>
        <v/>
      </c>
      <c r="O423" s="23" t="str">
        <f>IF(B423="","",TRIM(IF(COUNTIF('Registru comenzi'!$B$5:$B$304,B423)=0,"Comandă inexistentă în registru. ","")&amp;IF(AND(D423&lt;&gt;"",E423=""),"Cod necunoscut. ","")&amp;IF(N(G423)&lt;=0,"Lipsește cantitatea. ","")&amp;IF(N(M423)&gt;N(G423),"Livrat mai mult decât s-a comandat. ","")&amp;IF(N(I423)&gt;0.3,"Discount neobișnuit de mare. ","")))</f>
        <v/>
      </c>
    </row>
    <row r="424" spans="1:15" x14ac:dyDescent="0.2">
      <c r="A424" s="1" t="str">
        <f t="shared" si="48"/>
        <v/>
      </c>
      <c r="B424" s="17"/>
      <c r="C424" s="18" t="str">
        <f>IF(B424="","",COUNTIF(INDEX($B:$B,5):B424,B424))</f>
        <v/>
      </c>
      <c r="D424" s="17"/>
      <c r="E424" s="19" t="str">
        <f t="shared" si="49"/>
        <v/>
      </c>
      <c r="F424" s="18" t="str">
        <f t="shared" si="50"/>
        <v/>
      </c>
      <c r="G424" s="6"/>
      <c r="H424" s="20" t="str">
        <f t="shared" si="51"/>
        <v/>
      </c>
      <c r="I424" s="21"/>
      <c r="J424" s="22" t="str">
        <f t="shared" si="52"/>
        <v/>
      </c>
      <c r="K424" s="20" t="str">
        <f t="shared" si="53"/>
        <v/>
      </c>
      <c r="L424" s="20" t="str">
        <f t="shared" si="54"/>
        <v/>
      </c>
      <c r="M424" s="6"/>
      <c r="N424" s="19" t="str">
        <f t="shared" si="55"/>
        <v/>
      </c>
      <c r="O424" s="23" t="str">
        <f>IF(B424="","",TRIM(IF(COUNTIF('Registru comenzi'!$B$5:$B$304,B424)=0,"Comandă inexistentă în registru. ","")&amp;IF(AND(D424&lt;&gt;"",E424=""),"Cod necunoscut. ","")&amp;IF(N(G424)&lt;=0,"Lipsește cantitatea. ","")&amp;IF(N(M424)&gt;N(G424),"Livrat mai mult decât s-a comandat. ","")&amp;IF(N(I424)&gt;0.3,"Discount neobișnuit de mare. ","")))</f>
        <v/>
      </c>
    </row>
    <row r="425" spans="1:15" x14ac:dyDescent="0.2">
      <c r="A425" s="1" t="str">
        <f t="shared" si="48"/>
        <v/>
      </c>
      <c r="B425" s="17"/>
      <c r="C425" s="18" t="str">
        <f>IF(B425="","",COUNTIF(INDEX($B:$B,5):B425,B425))</f>
        <v/>
      </c>
      <c r="D425" s="17"/>
      <c r="E425" s="19" t="str">
        <f t="shared" si="49"/>
        <v/>
      </c>
      <c r="F425" s="18" t="str">
        <f t="shared" si="50"/>
        <v/>
      </c>
      <c r="G425" s="6"/>
      <c r="H425" s="20" t="str">
        <f t="shared" si="51"/>
        <v/>
      </c>
      <c r="I425" s="21"/>
      <c r="J425" s="22" t="str">
        <f t="shared" si="52"/>
        <v/>
      </c>
      <c r="K425" s="20" t="str">
        <f t="shared" si="53"/>
        <v/>
      </c>
      <c r="L425" s="20" t="str">
        <f t="shared" si="54"/>
        <v/>
      </c>
      <c r="M425" s="6"/>
      <c r="N425" s="19" t="str">
        <f t="shared" si="55"/>
        <v/>
      </c>
      <c r="O425" s="23" t="str">
        <f>IF(B425="","",TRIM(IF(COUNTIF('Registru comenzi'!$B$5:$B$304,B425)=0,"Comandă inexistentă în registru. ","")&amp;IF(AND(D425&lt;&gt;"",E425=""),"Cod necunoscut. ","")&amp;IF(N(G425)&lt;=0,"Lipsește cantitatea. ","")&amp;IF(N(M425)&gt;N(G425),"Livrat mai mult decât s-a comandat. ","")&amp;IF(N(I425)&gt;0.3,"Discount neobișnuit de mare. ","")))</f>
        <v/>
      </c>
    </row>
    <row r="426" spans="1:15" x14ac:dyDescent="0.2">
      <c r="A426" s="1" t="str">
        <f t="shared" si="48"/>
        <v/>
      </c>
      <c r="B426" s="17"/>
      <c r="C426" s="18" t="str">
        <f>IF(B426="","",COUNTIF(INDEX($B:$B,5):B426,B426))</f>
        <v/>
      </c>
      <c r="D426" s="17"/>
      <c r="E426" s="19" t="str">
        <f t="shared" si="49"/>
        <v/>
      </c>
      <c r="F426" s="18" t="str">
        <f t="shared" si="50"/>
        <v/>
      </c>
      <c r="G426" s="6"/>
      <c r="H426" s="20" t="str">
        <f t="shared" si="51"/>
        <v/>
      </c>
      <c r="I426" s="21"/>
      <c r="J426" s="22" t="str">
        <f t="shared" si="52"/>
        <v/>
      </c>
      <c r="K426" s="20" t="str">
        <f t="shared" si="53"/>
        <v/>
      </c>
      <c r="L426" s="20" t="str">
        <f t="shared" si="54"/>
        <v/>
      </c>
      <c r="M426" s="6"/>
      <c r="N426" s="19" t="str">
        <f t="shared" si="55"/>
        <v/>
      </c>
      <c r="O426" s="23" t="str">
        <f>IF(B426="","",TRIM(IF(COUNTIF('Registru comenzi'!$B$5:$B$304,B426)=0,"Comandă inexistentă în registru. ","")&amp;IF(AND(D426&lt;&gt;"",E426=""),"Cod necunoscut. ","")&amp;IF(N(G426)&lt;=0,"Lipsește cantitatea. ","")&amp;IF(N(M426)&gt;N(G426),"Livrat mai mult decât s-a comandat. ","")&amp;IF(N(I426)&gt;0.3,"Discount neobișnuit de mare. ","")))</f>
        <v/>
      </c>
    </row>
    <row r="427" spans="1:15" x14ac:dyDescent="0.2">
      <c r="A427" s="1" t="str">
        <f t="shared" si="48"/>
        <v/>
      </c>
      <c r="B427" s="17"/>
      <c r="C427" s="18" t="str">
        <f>IF(B427="","",COUNTIF(INDEX($B:$B,5):B427,B427))</f>
        <v/>
      </c>
      <c r="D427" s="17"/>
      <c r="E427" s="19" t="str">
        <f t="shared" si="49"/>
        <v/>
      </c>
      <c r="F427" s="18" t="str">
        <f t="shared" si="50"/>
        <v/>
      </c>
      <c r="G427" s="6"/>
      <c r="H427" s="20" t="str">
        <f t="shared" si="51"/>
        <v/>
      </c>
      <c r="I427" s="21"/>
      <c r="J427" s="22" t="str">
        <f t="shared" si="52"/>
        <v/>
      </c>
      <c r="K427" s="20" t="str">
        <f t="shared" si="53"/>
        <v/>
      </c>
      <c r="L427" s="20" t="str">
        <f t="shared" si="54"/>
        <v/>
      </c>
      <c r="M427" s="6"/>
      <c r="N427" s="19" t="str">
        <f t="shared" si="55"/>
        <v/>
      </c>
      <c r="O427" s="23" t="str">
        <f>IF(B427="","",TRIM(IF(COUNTIF('Registru comenzi'!$B$5:$B$304,B427)=0,"Comandă inexistentă în registru. ","")&amp;IF(AND(D427&lt;&gt;"",E427=""),"Cod necunoscut. ","")&amp;IF(N(G427)&lt;=0,"Lipsește cantitatea. ","")&amp;IF(N(M427)&gt;N(G427),"Livrat mai mult decât s-a comandat. ","")&amp;IF(N(I427)&gt;0.3,"Discount neobișnuit de mare. ","")))</f>
        <v/>
      </c>
    </row>
    <row r="428" spans="1:15" x14ac:dyDescent="0.2">
      <c r="A428" s="1" t="str">
        <f t="shared" si="48"/>
        <v/>
      </c>
      <c r="B428" s="17"/>
      <c r="C428" s="18" t="str">
        <f>IF(B428="","",COUNTIF(INDEX($B:$B,5):B428,B428))</f>
        <v/>
      </c>
      <c r="D428" s="17"/>
      <c r="E428" s="19" t="str">
        <f t="shared" si="49"/>
        <v/>
      </c>
      <c r="F428" s="18" t="str">
        <f t="shared" si="50"/>
        <v/>
      </c>
      <c r="G428" s="6"/>
      <c r="H428" s="20" t="str">
        <f t="shared" si="51"/>
        <v/>
      </c>
      <c r="I428" s="21"/>
      <c r="J428" s="22" t="str">
        <f t="shared" si="52"/>
        <v/>
      </c>
      <c r="K428" s="20" t="str">
        <f t="shared" si="53"/>
        <v/>
      </c>
      <c r="L428" s="20" t="str">
        <f t="shared" si="54"/>
        <v/>
      </c>
      <c r="M428" s="6"/>
      <c r="N428" s="19" t="str">
        <f t="shared" si="55"/>
        <v/>
      </c>
      <c r="O428" s="23" t="str">
        <f>IF(B428="","",TRIM(IF(COUNTIF('Registru comenzi'!$B$5:$B$304,B428)=0,"Comandă inexistentă în registru. ","")&amp;IF(AND(D428&lt;&gt;"",E428=""),"Cod necunoscut. ","")&amp;IF(N(G428)&lt;=0,"Lipsește cantitatea. ","")&amp;IF(N(M428)&gt;N(G428),"Livrat mai mult decât s-a comandat. ","")&amp;IF(N(I428)&gt;0.3,"Discount neobișnuit de mare. ","")))</f>
        <v/>
      </c>
    </row>
    <row r="429" spans="1:15" x14ac:dyDescent="0.2">
      <c r="A429" s="1" t="str">
        <f t="shared" si="48"/>
        <v/>
      </c>
      <c r="B429" s="17"/>
      <c r="C429" s="18" t="str">
        <f>IF(B429="","",COUNTIF(INDEX($B:$B,5):B429,B429))</f>
        <v/>
      </c>
      <c r="D429" s="17"/>
      <c r="E429" s="19" t="str">
        <f t="shared" si="49"/>
        <v/>
      </c>
      <c r="F429" s="18" t="str">
        <f t="shared" si="50"/>
        <v/>
      </c>
      <c r="G429" s="6"/>
      <c r="H429" s="20" t="str">
        <f t="shared" si="51"/>
        <v/>
      </c>
      <c r="I429" s="21"/>
      <c r="J429" s="22" t="str">
        <f t="shared" si="52"/>
        <v/>
      </c>
      <c r="K429" s="20" t="str">
        <f t="shared" si="53"/>
        <v/>
      </c>
      <c r="L429" s="20" t="str">
        <f t="shared" si="54"/>
        <v/>
      </c>
      <c r="M429" s="6"/>
      <c r="N429" s="19" t="str">
        <f t="shared" si="55"/>
        <v/>
      </c>
      <c r="O429" s="23" t="str">
        <f>IF(B429="","",TRIM(IF(COUNTIF('Registru comenzi'!$B$5:$B$304,B429)=0,"Comandă inexistentă în registru. ","")&amp;IF(AND(D429&lt;&gt;"",E429=""),"Cod necunoscut. ","")&amp;IF(N(G429)&lt;=0,"Lipsește cantitatea. ","")&amp;IF(N(M429)&gt;N(G429),"Livrat mai mult decât s-a comandat. ","")&amp;IF(N(I429)&gt;0.3,"Discount neobișnuit de mare. ","")))</f>
        <v/>
      </c>
    </row>
    <row r="430" spans="1:15" x14ac:dyDescent="0.2">
      <c r="A430" s="1" t="str">
        <f t="shared" si="48"/>
        <v/>
      </c>
      <c r="B430" s="17"/>
      <c r="C430" s="18" t="str">
        <f>IF(B430="","",COUNTIF(INDEX($B:$B,5):B430,B430))</f>
        <v/>
      </c>
      <c r="D430" s="17"/>
      <c r="E430" s="19" t="str">
        <f t="shared" si="49"/>
        <v/>
      </c>
      <c r="F430" s="18" t="str">
        <f t="shared" si="50"/>
        <v/>
      </c>
      <c r="G430" s="6"/>
      <c r="H430" s="20" t="str">
        <f t="shared" si="51"/>
        <v/>
      </c>
      <c r="I430" s="21"/>
      <c r="J430" s="22" t="str">
        <f t="shared" si="52"/>
        <v/>
      </c>
      <c r="K430" s="20" t="str">
        <f t="shared" si="53"/>
        <v/>
      </c>
      <c r="L430" s="20" t="str">
        <f t="shared" si="54"/>
        <v/>
      </c>
      <c r="M430" s="6"/>
      <c r="N430" s="19" t="str">
        <f t="shared" si="55"/>
        <v/>
      </c>
      <c r="O430" s="23" t="str">
        <f>IF(B430="","",TRIM(IF(COUNTIF('Registru comenzi'!$B$5:$B$304,B430)=0,"Comandă inexistentă în registru. ","")&amp;IF(AND(D430&lt;&gt;"",E430=""),"Cod necunoscut. ","")&amp;IF(N(G430)&lt;=0,"Lipsește cantitatea. ","")&amp;IF(N(M430)&gt;N(G430),"Livrat mai mult decât s-a comandat. ","")&amp;IF(N(I430)&gt;0.3,"Discount neobișnuit de mare. ","")))</f>
        <v/>
      </c>
    </row>
    <row r="431" spans="1:15" x14ac:dyDescent="0.2">
      <c r="A431" s="1" t="str">
        <f t="shared" si="48"/>
        <v/>
      </c>
      <c r="B431" s="17"/>
      <c r="C431" s="18" t="str">
        <f>IF(B431="","",COUNTIF(INDEX($B:$B,5):B431,B431))</f>
        <v/>
      </c>
      <c r="D431" s="17"/>
      <c r="E431" s="19" t="str">
        <f t="shared" si="49"/>
        <v/>
      </c>
      <c r="F431" s="18" t="str">
        <f t="shared" si="50"/>
        <v/>
      </c>
      <c r="G431" s="6"/>
      <c r="H431" s="20" t="str">
        <f t="shared" si="51"/>
        <v/>
      </c>
      <c r="I431" s="21"/>
      <c r="J431" s="22" t="str">
        <f t="shared" si="52"/>
        <v/>
      </c>
      <c r="K431" s="20" t="str">
        <f t="shared" si="53"/>
        <v/>
      </c>
      <c r="L431" s="20" t="str">
        <f t="shared" si="54"/>
        <v/>
      </c>
      <c r="M431" s="6"/>
      <c r="N431" s="19" t="str">
        <f t="shared" si="55"/>
        <v/>
      </c>
      <c r="O431" s="23" t="str">
        <f>IF(B431="","",TRIM(IF(COUNTIF('Registru comenzi'!$B$5:$B$304,B431)=0,"Comandă inexistentă în registru. ","")&amp;IF(AND(D431&lt;&gt;"",E431=""),"Cod necunoscut. ","")&amp;IF(N(G431)&lt;=0,"Lipsește cantitatea. ","")&amp;IF(N(M431)&gt;N(G431),"Livrat mai mult decât s-a comandat. ","")&amp;IF(N(I431)&gt;0.3,"Discount neobișnuit de mare. ","")))</f>
        <v/>
      </c>
    </row>
    <row r="432" spans="1:15" x14ac:dyDescent="0.2">
      <c r="A432" s="1" t="str">
        <f t="shared" si="48"/>
        <v/>
      </c>
      <c r="B432" s="17"/>
      <c r="C432" s="18" t="str">
        <f>IF(B432="","",COUNTIF(INDEX($B:$B,5):B432,B432))</f>
        <v/>
      </c>
      <c r="D432" s="17"/>
      <c r="E432" s="19" t="str">
        <f t="shared" si="49"/>
        <v/>
      </c>
      <c r="F432" s="18" t="str">
        <f t="shared" si="50"/>
        <v/>
      </c>
      <c r="G432" s="6"/>
      <c r="H432" s="20" t="str">
        <f t="shared" si="51"/>
        <v/>
      </c>
      <c r="I432" s="21"/>
      <c r="J432" s="22" t="str">
        <f t="shared" si="52"/>
        <v/>
      </c>
      <c r="K432" s="20" t="str">
        <f t="shared" si="53"/>
        <v/>
      </c>
      <c r="L432" s="20" t="str">
        <f t="shared" si="54"/>
        <v/>
      </c>
      <c r="M432" s="6"/>
      <c r="N432" s="19" t="str">
        <f t="shared" si="55"/>
        <v/>
      </c>
      <c r="O432" s="23" t="str">
        <f>IF(B432="","",TRIM(IF(COUNTIF('Registru comenzi'!$B$5:$B$304,B432)=0,"Comandă inexistentă în registru. ","")&amp;IF(AND(D432&lt;&gt;"",E432=""),"Cod necunoscut. ","")&amp;IF(N(G432)&lt;=0,"Lipsește cantitatea. ","")&amp;IF(N(M432)&gt;N(G432),"Livrat mai mult decât s-a comandat. ","")&amp;IF(N(I432)&gt;0.3,"Discount neobișnuit de mare. ","")))</f>
        <v/>
      </c>
    </row>
    <row r="433" spans="1:15" x14ac:dyDescent="0.2">
      <c r="A433" s="1" t="str">
        <f t="shared" si="48"/>
        <v/>
      </c>
      <c r="B433" s="17"/>
      <c r="C433" s="18" t="str">
        <f>IF(B433="","",COUNTIF(INDEX($B:$B,5):B433,B433))</f>
        <v/>
      </c>
      <c r="D433" s="17"/>
      <c r="E433" s="19" t="str">
        <f t="shared" si="49"/>
        <v/>
      </c>
      <c r="F433" s="18" t="str">
        <f t="shared" si="50"/>
        <v/>
      </c>
      <c r="G433" s="6"/>
      <c r="H433" s="20" t="str">
        <f t="shared" si="51"/>
        <v/>
      </c>
      <c r="I433" s="21"/>
      <c r="J433" s="22" t="str">
        <f t="shared" si="52"/>
        <v/>
      </c>
      <c r="K433" s="20" t="str">
        <f t="shared" si="53"/>
        <v/>
      </c>
      <c r="L433" s="20" t="str">
        <f t="shared" si="54"/>
        <v/>
      </c>
      <c r="M433" s="6"/>
      <c r="N433" s="19" t="str">
        <f t="shared" si="55"/>
        <v/>
      </c>
      <c r="O433" s="23" t="str">
        <f>IF(B433="","",TRIM(IF(COUNTIF('Registru comenzi'!$B$5:$B$304,B433)=0,"Comandă inexistentă în registru. ","")&amp;IF(AND(D433&lt;&gt;"",E433=""),"Cod necunoscut. ","")&amp;IF(N(G433)&lt;=0,"Lipsește cantitatea. ","")&amp;IF(N(M433)&gt;N(G433),"Livrat mai mult decât s-a comandat. ","")&amp;IF(N(I433)&gt;0.3,"Discount neobișnuit de mare. ","")))</f>
        <v/>
      </c>
    </row>
    <row r="434" spans="1:15" x14ac:dyDescent="0.2">
      <c r="A434" s="1" t="str">
        <f t="shared" si="48"/>
        <v/>
      </c>
      <c r="B434" s="17"/>
      <c r="C434" s="18" t="str">
        <f>IF(B434="","",COUNTIF(INDEX($B:$B,5):B434,B434))</f>
        <v/>
      </c>
      <c r="D434" s="17"/>
      <c r="E434" s="19" t="str">
        <f t="shared" si="49"/>
        <v/>
      </c>
      <c r="F434" s="18" t="str">
        <f t="shared" si="50"/>
        <v/>
      </c>
      <c r="G434" s="6"/>
      <c r="H434" s="20" t="str">
        <f t="shared" si="51"/>
        <v/>
      </c>
      <c r="I434" s="21"/>
      <c r="J434" s="22" t="str">
        <f t="shared" si="52"/>
        <v/>
      </c>
      <c r="K434" s="20" t="str">
        <f t="shared" si="53"/>
        <v/>
      </c>
      <c r="L434" s="20" t="str">
        <f t="shared" si="54"/>
        <v/>
      </c>
      <c r="M434" s="6"/>
      <c r="N434" s="19" t="str">
        <f t="shared" si="55"/>
        <v/>
      </c>
      <c r="O434" s="23" t="str">
        <f>IF(B434="","",TRIM(IF(COUNTIF('Registru comenzi'!$B$5:$B$304,B434)=0,"Comandă inexistentă în registru. ","")&amp;IF(AND(D434&lt;&gt;"",E434=""),"Cod necunoscut. ","")&amp;IF(N(G434)&lt;=0,"Lipsește cantitatea. ","")&amp;IF(N(M434)&gt;N(G434),"Livrat mai mult decât s-a comandat. ","")&amp;IF(N(I434)&gt;0.3,"Discount neobișnuit de mare. ","")))</f>
        <v/>
      </c>
    </row>
    <row r="435" spans="1:15" x14ac:dyDescent="0.2">
      <c r="A435" s="1" t="str">
        <f t="shared" si="48"/>
        <v/>
      </c>
      <c r="B435" s="17"/>
      <c r="C435" s="18" t="str">
        <f>IF(B435="","",COUNTIF(INDEX($B:$B,5):B435,B435))</f>
        <v/>
      </c>
      <c r="D435" s="17"/>
      <c r="E435" s="19" t="str">
        <f t="shared" si="49"/>
        <v/>
      </c>
      <c r="F435" s="18" t="str">
        <f t="shared" si="50"/>
        <v/>
      </c>
      <c r="G435" s="6"/>
      <c r="H435" s="20" t="str">
        <f t="shared" si="51"/>
        <v/>
      </c>
      <c r="I435" s="21"/>
      <c r="J435" s="22" t="str">
        <f t="shared" si="52"/>
        <v/>
      </c>
      <c r="K435" s="20" t="str">
        <f t="shared" si="53"/>
        <v/>
      </c>
      <c r="L435" s="20" t="str">
        <f t="shared" si="54"/>
        <v/>
      </c>
      <c r="M435" s="6"/>
      <c r="N435" s="19" t="str">
        <f t="shared" si="55"/>
        <v/>
      </c>
      <c r="O435" s="23" t="str">
        <f>IF(B435="","",TRIM(IF(COUNTIF('Registru comenzi'!$B$5:$B$304,B435)=0,"Comandă inexistentă în registru. ","")&amp;IF(AND(D435&lt;&gt;"",E435=""),"Cod necunoscut. ","")&amp;IF(N(G435)&lt;=0,"Lipsește cantitatea. ","")&amp;IF(N(M435)&gt;N(G435),"Livrat mai mult decât s-a comandat. ","")&amp;IF(N(I435)&gt;0.3,"Discount neobișnuit de mare. ","")))</f>
        <v/>
      </c>
    </row>
    <row r="436" spans="1:15" x14ac:dyDescent="0.2">
      <c r="A436" s="1" t="str">
        <f t="shared" si="48"/>
        <v/>
      </c>
      <c r="B436" s="17"/>
      <c r="C436" s="18" t="str">
        <f>IF(B436="","",COUNTIF(INDEX($B:$B,5):B436,B436))</f>
        <v/>
      </c>
      <c r="D436" s="17"/>
      <c r="E436" s="19" t="str">
        <f t="shared" si="49"/>
        <v/>
      </c>
      <c r="F436" s="18" t="str">
        <f t="shared" si="50"/>
        <v/>
      </c>
      <c r="G436" s="6"/>
      <c r="H436" s="20" t="str">
        <f t="shared" si="51"/>
        <v/>
      </c>
      <c r="I436" s="21"/>
      <c r="J436" s="22" t="str">
        <f t="shared" si="52"/>
        <v/>
      </c>
      <c r="K436" s="20" t="str">
        <f t="shared" si="53"/>
        <v/>
      </c>
      <c r="L436" s="20" t="str">
        <f t="shared" si="54"/>
        <v/>
      </c>
      <c r="M436" s="6"/>
      <c r="N436" s="19" t="str">
        <f t="shared" si="55"/>
        <v/>
      </c>
      <c r="O436" s="23" t="str">
        <f>IF(B436="","",TRIM(IF(COUNTIF('Registru comenzi'!$B$5:$B$304,B436)=0,"Comandă inexistentă în registru. ","")&amp;IF(AND(D436&lt;&gt;"",E436=""),"Cod necunoscut. ","")&amp;IF(N(G436)&lt;=0,"Lipsește cantitatea. ","")&amp;IF(N(M436)&gt;N(G436),"Livrat mai mult decât s-a comandat. ","")&amp;IF(N(I436)&gt;0.3,"Discount neobișnuit de mare. ","")))</f>
        <v/>
      </c>
    </row>
    <row r="437" spans="1:15" x14ac:dyDescent="0.2">
      <c r="A437" s="1" t="str">
        <f t="shared" si="48"/>
        <v/>
      </c>
      <c r="B437" s="17"/>
      <c r="C437" s="18" t="str">
        <f>IF(B437="","",COUNTIF(INDEX($B:$B,5):B437,B437))</f>
        <v/>
      </c>
      <c r="D437" s="17"/>
      <c r="E437" s="19" t="str">
        <f t="shared" si="49"/>
        <v/>
      </c>
      <c r="F437" s="18" t="str">
        <f t="shared" si="50"/>
        <v/>
      </c>
      <c r="G437" s="6"/>
      <c r="H437" s="20" t="str">
        <f t="shared" si="51"/>
        <v/>
      </c>
      <c r="I437" s="21"/>
      <c r="J437" s="22" t="str">
        <f t="shared" si="52"/>
        <v/>
      </c>
      <c r="K437" s="20" t="str">
        <f t="shared" si="53"/>
        <v/>
      </c>
      <c r="L437" s="20" t="str">
        <f t="shared" si="54"/>
        <v/>
      </c>
      <c r="M437" s="6"/>
      <c r="N437" s="19" t="str">
        <f t="shared" si="55"/>
        <v/>
      </c>
      <c r="O437" s="23" t="str">
        <f>IF(B437="","",TRIM(IF(COUNTIF('Registru comenzi'!$B$5:$B$304,B437)=0,"Comandă inexistentă în registru. ","")&amp;IF(AND(D437&lt;&gt;"",E437=""),"Cod necunoscut. ","")&amp;IF(N(G437)&lt;=0,"Lipsește cantitatea. ","")&amp;IF(N(M437)&gt;N(G437),"Livrat mai mult decât s-a comandat. ","")&amp;IF(N(I437)&gt;0.3,"Discount neobișnuit de mare. ","")))</f>
        <v/>
      </c>
    </row>
    <row r="438" spans="1:15" x14ac:dyDescent="0.2">
      <c r="A438" s="1" t="str">
        <f t="shared" si="48"/>
        <v/>
      </c>
      <c r="B438" s="17"/>
      <c r="C438" s="18" t="str">
        <f>IF(B438="","",COUNTIF(INDEX($B:$B,5):B438,B438))</f>
        <v/>
      </c>
      <c r="D438" s="17"/>
      <c r="E438" s="19" t="str">
        <f t="shared" si="49"/>
        <v/>
      </c>
      <c r="F438" s="18" t="str">
        <f t="shared" si="50"/>
        <v/>
      </c>
      <c r="G438" s="6"/>
      <c r="H438" s="20" t="str">
        <f t="shared" si="51"/>
        <v/>
      </c>
      <c r="I438" s="21"/>
      <c r="J438" s="22" t="str">
        <f t="shared" si="52"/>
        <v/>
      </c>
      <c r="K438" s="20" t="str">
        <f t="shared" si="53"/>
        <v/>
      </c>
      <c r="L438" s="20" t="str">
        <f t="shared" si="54"/>
        <v/>
      </c>
      <c r="M438" s="6"/>
      <c r="N438" s="19" t="str">
        <f t="shared" si="55"/>
        <v/>
      </c>
      <c r="O438" s="23" t="str">
        <f>IF(B438="","",TRIM(IF(COUNTIF('Registru comenzi'!$B$5:$B$304,B438)=0,"Comandă inexistentă în registru. ","")&amp;IF(AND(D438&lt;&gt;"",E438=""),"Cod necunoscut. ","")&amp;IF(N(G438)&lt;=0,"Lipsește cantitatea. ","")&amp;IF(N(M438)&gt;N(G438),"Livrat mai mult decât s-a comandat. ","")&amp;IF(N(I438)&gt;0.3,"Discount neobișnuit de mare. ","")))</f>
        <v/>
      </c>
    </row>
    <row r="439" spans="1:15" x14ac:dyDescent="0.2">
      <c r="A439" s="1" t="str">
        <f t="shared" si="48"/>
        <v/>
      </c>
      <c r="B439" s="17"/>
      <c r="C439" s="18" t="str">
        <f>IF(B439="","",COUNTIF(INDEX($B:$B,5):B439,B439))</f>
        <v/>
      </c>
      <c r="D439" s="17"/>
      <c r="E439" s="19" t="str">
        <f t="shared" si="49"/>
        <v/>
      </c>
      <c r="F439" s="18" t="str">
        <f t="shared" si="50"/>
        <v/>
      </c>
      <c r="G439" s="6"/>
      <c r="H439" s="20" t="str">
        <f t="shared" si="51"/>
        <v/>
      </c>
      <c r="I439" s="21"/>
      <c r="J439" s="22" t="str">
        <f t="shared" si="52"/>
        <v/>
      </c>
      <c r="K439" s="20" t="str">
        <f t="shared" si="53"/>
        <v/>
      </c>
      <c r="L439" s="20" t="str">
        <f t="shared" si="54"/>
        <v/>
      </c>
      <c r="M439" s="6"/>
      <c r="N439" s="19" t="str">
        <f t="shared" si="55"/>
        <v/>
      </c>
      <c r="O439" s="23" t="str">
        <f>IF(B439="","",TRIM(IF(COUNTIF('Registru comenzi'!$B$5:$B$304,B439)=0,"Comandă inexistentă în registru. ","")&amp;IF(AND(D439&lt;&gt;"",E439=""),"Cod necunoscut. ","")&amp;IF(N(G439)&lt;=0,"Lipsește cantitatea. ","")&amp;IF(N(M439)&gt;N(G439),"Livrat mai mult decât s-a comandat. ","")&amp;IF(N(I439)&gt;0.3,"Discount neobișnuit de mare. ","")))</f>
        <v/>
      </c>
    </row>
    <row r="440" spans="1:15" x14ac:dyDescent="0.2">
      <c r="A440" s="1" t="str">
        <f t="shared" si="48"/>
        <v/>
      </c>
      <c r="B440" s="17"/>
      <c r="C440" s="18" t="str">
        <f>IF(B440="","",COUNTIF(INDEX($B:$B,5):B440,B440))</f>
        <v/>
      </c>
      <c r="D440" s="17"/>
      <c r="E440" s="19" t="str">
        <f t="shared" si="49"/>
        <v/>
      </c>
      <c r="F440" s="18" t="str">
        <f t="shared" si="50"/>
        <v/>
      </c>
      <c r="G440" s="6"/>
      <c r="H440" s="20" t="str">
        <f t="shared" si="51"/>
        <v/>
      </c>
      <c r="I440" s="21"/>
      <c r="J440" s="22" t="str">
        <f t="shared" si="52"/>
        <v/>
      </c>
      <c r="K440" s="20" t="str">
        <f t="shared" si="53"/>
        <v/>
      </c>
      <c r="L440" s="20" t="str">
        <f t="shared" si="54"/>
        <v/>
      </c>
      <c r="M440" s="6"/>
      <c r="N440" s="19" t="str">
        <f t="shared" si="55"/>
        <v/>
      </c>
      <c r="O440" s="23" t="str">
        <f>IF(B440="","",TRIM(IF(COUNTIF('Registru comenzi'!$B$5:$B$304,B440)=0,"Comandă inexistentă în registru. ","")&amp;IF(AND(D440&lt;&gt;"",E440=""),"Cod necunoscut. ","")&amp;IF(N(G440)&lt;=0,"Lipsește cantitatea. ","")&amp;IF(N(M440)&gt;N(G440),"Livrat mai mult decât s-a comandat. ","")&amp;IF(N(I440)&gt;0.3,"Discount neobișnuit de mare. ","")))</f>
        <v/>
      </c>
    </row>
    <row r="441" spans="1:15" x14ac:dyDescent="0.2">
      <c r="A441" s="1" t="str">
        <f t="shared" si="48"/>
        <v/>
      </c>
      <c r="B441" s="17"/>
      <c r="C441" s="18" t="str">
        <f>IF(B441="","",COUNTIF(INDEX($B:$B,5):B441,B441))</f>
        <v/>
      </c>
      <c r="D441" s="17"/>
      <c r="E441" s="19" t="str">
        <f t="shared" si="49"/>
        <v/>
      </c>
      <c r="F441" s="18" t="str">
        <f t="shared" si="50"/>
        <v/>
      </c>
      <c r="G441" s="6"/>
      <c r="H441" s="20" t="str">
        <f t="shared" si="51"/>
        <v/>
      </c>
      <c r="I441" s="21"/>
      <c r="J441" s="22" t="str">
        <f t="shared" si="52"/>
        <v/>
      </c>
      <c r="K441" s="20" t="str">
        <f t="shared" si="53"/>
        <v/>
      </c>
      <c r="L441" s="20" t="str">
        <f t="shared" si="54"/>
        <v/>
      </c>
      <c r="M441" s="6"/>
      <c r="N441" s="19" t="str">
        <f t="shared" si="55"/>
        <v/>
      </c>
      <c r="O441" s="23" t="str">
        <f>IF(B441="","",TRIM(IF(COUNTIF('Registru comenzi'!$B$5:$B$304,B441)=0,"Comandă inexistentă în registru. ","")&amp;IF(AND(D441&lt;&gt;"",E441=""),"Cod necunoscut. ","")&amp;IF(N(G441)&lt;=0,"Lipsește cantitatea. ","")&amp;IF(N(M441)&gt;N(G441),"Livrat mai mult decât s-a comandat. ","")&amp;IF(N(I441)&gt;0.3,"Discount neobișnuit de mare. ","")))</f>
        <v/>
      </c>
    </row>
    <row r="442" spans="1:15" x14ac:dyDescent="0.2">
      <c r="A442" s="1" t="str">
        <f t="shared" si="48"/>
        <v/>
      </c>
      <c r="B442" s="17"/>
      <c r="C442" s="18" t="str">
        <f>IF(B442="","",COUNTIF(INDEX($B:$B,5):B442,B442))</f>
        <v/>
      </c>
      <c r="D442" s="17"/>
      <c r="E442" s="19" t="str">
        <f t="shared" si="49"/>
        <v/>
      </c>
      <c r="F442" s="18" t="str">
        <f t="shared" si="50"/>
        <v/>
      </c>
      <c r="G442" s="6"/>
      <c r="H442" s="20" t="str">
        <f t="shared" si="51"/>
        <v/>
      </c>
      <c r="I442" s="21"/>
      <c r="J442" s="22" t="str">
        <f t="shared" si="52"/>
        <v/>
      </c>
      <c r="K442" s="20" t="str">
        <f t="shared" si="53"/>
        <v/>
      </c>
      <c r="L442" s="20" t="str">
        <f t="shared" si="54"/>
        <v/>
      </c>
      <c r="M442" s="6"/>
      <c r="N442" s="19" t="str">
        <f t="shared" si="55"/>
        <v/>
      </c>
      <c r="O442" s="23" t="str">
        <f>IF(B442="","",TRIM(IF(COUNTIF('Registru comenzi'!$B$5:$B$304,B442)=0,"Comandă inexistentă în registru. ","")&amp;IF(AND(D442&lt;&gt;"",E442=""),"Cod necunoscut. ","")&amp;IF(N(G442)&lt;=0,"Lipsește cantitatea. ","")&amp;IF(N(M442)&gt;N(G442),"Livrat mai mult decât s-a comandat. ","")&amp;IF(N(I442)&gt;0.3,"Discount neobișnuit de mare. ","")))</f>
        <v/>
      </c>
    </row>
    <row r="443" spans="1:15" x14ac:dyDescent="0.2">
      <c r="A443" s="1" t="str">
        <f t="shared" si="48"/>
        <v/>
      </c>
      <c r="B443" s="17"/>
      <c r="C443" s="18" t="str">
        <f>IF(B443="","",COUNTIF(INDEX($B:$B,5):B443,B443))</f>
        <v/>
      </c>
      <c r="D443" s="17"/>
      <c r="E443" s="19" t="str">
        <f t="shared" si="49"/>
        <v/>
      </c>
      <c r="F443" s="18" t="str">
        <f t="shared" si="50"/>
        <v/>
      </c>
      <c r="G443" s="6"/>
      <c r="H443" s="20" t="str">
        <f t="shared" si="51"/>
        <v/>
      </c>
      <c r="I443" s="21"/>
      <c r="J443" s="22" t="str">
        <f t="shared" si="52"/>
        <v/>
      </c>
      <c r="K443" s="20" t="str">
        <f t="shared" si="53"/>
        <v/>
      </c>
      <c r="L443" s="20" t="str">
        <f t="shared" si="54"/>
        <v/>
      </c>
      <c r="M443" s="6"/>
      <c r="N443" s="19" t="str">
        <f t="shared" si="55"/>
        <v/>
      </c>
      <c r="O443" s="23" t="str">
        <f>IF(B443="","",TRIM(IF(COUNTIF('Registru comenzi'!$B$5:$B$304,B443)=0,"Comandă inexistentă în registru. ","")&amp;IF(AND(D443&lt;&gt;"",E443=""),"Cod necunoscut. ","")&amp;IF(N(G443)&lt;=0,"Lipsește cantitatea. ","")&amp;IF(N(M443)&gt;N(G443),"Livrat mai mult decât s-a comandat. ","")&amp;IF(N(I443)&gt;0.3,"Discount neobișnuit de mare. ","")))</f>
        <v/>
      </c>
    </row>
    <row r="444" spans="1:15" x14ac:dyDescent="0.2">
      <c r="A444" s="1" t="str">
        <f t="shared" si="48"/>
        <v/>
      </c>
      <c r="B444" s="17"/>
      <c r="C444" s="18" t="str">
        <f>IF(B444="","",COUNTIF(INDEX($B:$B,5):B444,B444))</f>
        <v/>
      </c>
      <c r="D444" s="17"/>
      <c r="E444" s="19" t="str">
        <f t="shared" si="49"/>
        <v/>
      </c>
      <c r="F444" s="18" t="str">
        <f t="shared" si="50"/>
        <v/>
      </c>
      <c r="G444" s="6"/>
      <c r="H444" s="20" t="str">
        <f t="shared" si="51"/>
        <v/>
      </c>
      <c r="I444" s="21"/>
      <c r="J444" s="22" t="str">
        <f t="shared" si="52"/>
        <v/>
      </c>
      <c r="K444" s="20" t="str">
        <f t="shared" si="53"/>
        <v/>
      </c>
      <c r="L444" s="20" t="str">
        <f t="shared" si="54"/>
        <v/>
      </c>
      <c r="M444" s="6"/>
      <c r="N444" s="19" t="str">
        <f t="shared" si="55"/>
        <v/>
      </c>
      <c r="O444" s="23" t="str">
        <f>IF(B444="","",TRIM(IF(COUNTIF('Registru comenzi'!$B$5:$B$304,B444)=0,"Comandă inexistentă în registru. ","")&amp;IF(AND(D444&lt;&gt;"",E444=""),"Cod necunoscut. ","")&amp;IF(N(G444)&lt;=0,"Lipsește cantitatea. ","")&amp;IF(N(M444)&gt;N(G444),"Livrat mai mult decât s-a comandat. ","")&amp;IF(N(I444)&gt;0.3,"Discount neobișnuit de mare. ","")))</f>
        <v/>
      </c>
    </row>
    <row r="445" spans="1:15" x14ac:dyDescent="0.2">
      <c r="A445" s="1" t="str">
        <f t="shared" si="48"/>
        <v/>
      </c>
      <c r="B445" s="17"/>
      <c r="C445" s="18" t="str">
        <f>IF(B445="","",COUNTIF(INDEX($B:$B,5):B445,B445))</f>
        <v/>
      </c>
      <c r="D445" s="17"/>
      <c r="E445" s="19" t="str">
        <f t="shared" si="49"/>
        <v/>
      </c>
      <c r="F445" s="18" t="str">
        <f t="shared" si="50"/>
        <v/>
      </c>
      <c r="G445" s="6"/>
      <c r="H445" s="20" t="str">
        <f t="shared" si="51"/>
        <v/>
      </c>
      <c r="I445" s="21"/>
      <c r="J445" s="22" t="str">
        <f t="shared" si="52"/>
        <v/>
      </c>
      <c r="K445" s="20" t="str">
        <f t="shared" si="53"/>
        <v/>
      </c>
      <c r="L445" s="20" t="str">
        <f t="shared" si="54"/>
        <v/>
      </c>
      <c r="M445" s="6"/>
      <c r="N445" s="19" t="str">
        <f t="shared" si="55"/>
        <v/>
      </c>
      <c r="O445" s="23" t="str">
        <f>IF(B445="","",TRIM(IF(COUNTIF('Registru comenzi'!$B$5:$B$304,B445)=0,"Comandă inexistentă în registru. ","")&amp;IF(AND(D445&lt;&gt;"",E445=""),"Cod necunoscut. ","")&amp;IF(N(G445)&lt;=0,"Lipsește cantitatea. ","")&amp;IF(N(M445)&gt;N(G445),"Livrat mai mult decât s-a comandat. ","")&amp;IF(N(I445)&gt;0.3,"Discount neobișnuit de mare. ","")))</f>
        <v/>
      </c>
    </row>
    <row r="446" spans="1:15" x14ac:dyDescent="0.2">
      <c r="A446" s="1" t="str">
        <f t="shared" si="48"/>
        <v/>
      </c>
      <c r="B446" s="17"/>
      <c r="C446" s="18" t="str">
        <f>IF(B446="","",COUNTIF(INDEX($B:$B,5):B446,B446))</f>
        <v/>
      </c>
      <c r="D446" s="17"/>
      <c r="E446" s="19" t="str">
        <f t="shared" si="49"/>
        <v/>
      </c>
      <c r="F446" s="18" t="str">
        <f t="shared" si="50"/>
        <v/>
      </c>
      <c r="G446" s="6"/>
      <c r="H446" s="20" t="str">
        <f t="shared" si="51"/>
        <v/>
      </c>
      <c r="I446" s="21"/>
      <c r="J446" s="22" t="str">
        <f t="shared" si="52"/>
        <v/>
      </c>
      <c r="K446" s="20" t="str">
        <f t="shared" si="53"/>
        <v/>
      </c>
      <c r="L446" s="20" t="str">
        <f t="shared" si="54"/>
        <v/>
      </c>
      <c r="M446" s="6"/>
      <c r="N446" s="19" t="str">
        <f t="shared" si="55"/>
        <v/>
      </c>
      <c r="O446" s="23" t="str">
        <f>IF(B446="","",TRIM(IF(COUNTIF('Registru comenzi'!$B$5:$B$304,B446)=0,"Comandă inexistentă în registru. ","")&amp;IF(AND(D446&lt;&gt;"",E446=""),"Cod necunoscut. ","")&amp;IF(N(G446)&lt;=0,"Lipsește cantitatea. ","")&amp;IF(N(M446)&gt;N(G446),"Livrat mai mult decât s-a comandat. ","")&amp;IF(N(I446)&gt;0.3,"Discount neobișnuit de mare. ","")))</f>
        <v/>
      </c>
    </row>
    <row r="447" spans="1:15" x14ac:dyDescent="0.2">
      <c r="A447" s="1" t="str">
        <f t="shared" si="48"/>
        <v/>
      </c>
      <c r="B447" s="17"/>
      <c r="C447" s="18" t="str">
        <f>IF(B447="","",COUNTIF(INDEX($B:$B,5):B447,B447))</f>
        <v/>
      </c>
      <c r="D447" s="17"/>
      <c r="E447" s="19" t="str">
        <f t="shared" si="49"/>
        <v/>
      </c>
      <c r="F447" s="18" t="str">
        <f t="shared" si="50"/>
        <v/>
      </c>
      <c r="G447" s="6"/>
      <c r="H447" s="20" t="str">
        <f t="shared" si="51"/>
        <v/>
      </c>
      <c r="I447" s="21"/>
      <c r="J447" s="22" t="str">
        <f t="shared" si="52"/>
        <v/>
      </c>
      <c r="K447" s="20" t="str">
        <f t="shared" si="53"/>
        <v/>
      </c>
      <c r="L447" s="20" t="str">
        <f t="shared" si="54"/>
        <v/>
      </c>
      <c r="M447" s="6"/>
      <c r="N447" s="19" t="str">
        <f t="shared" si="55"/>
        <v/>
      </c>
      <c r="O447" s="23" t="str">
        <f>IF(B447="","",TRIM(IF(COUNTIF('Registru comenzi'!$B$5:$B$304,B447)=0,"Comandă inexistentă în registru. ","")&amp;IF(AND(D447&lt;&gt;"",E447=""),"Cod necunoscut. ","")&amp;IF(N(G447)&lt;=0,"Lipsește cantitatea. ","")&amp;IF(N(M447)&gt;N(G447),"Livrat mai mult decât s-a comandat. ","")&amp;IF(N(I447)&gt;0.3,"Discount neobișnuit de mare. ","")))</f>
        <v/>
      </c>
    </row>
    <row r="448" spans="1:15" x14ac:dyDescent="0.2">
      <c r="A448" s="1" t="str">
        <f t="shared" si="48"/>
        <v/>
      </c>
      <c r="B448" s="17"/>
      <c r="C448" s="18" t="str">
        <f>IF(B448="","",COUNTIF(INDEX($B:$B,5):B448,B448))</f>
        <v/>
      </c>
      <c r="D448" s="17"/>
      <c r="E448" s="19" t="str">
        <f t="shared" si="49"/>
        <v/>
      </c>
      <c r="F448" s="18" t="str">
        <f t="shared" si="50"/>
        <v/>
      </c>
      <c r="G448" s="6"/>
      <c r="H448" s="20" t="str">
        <f t="shared" si="51"/>
        <v/>
      </c>
      <c r="I448" s="21"/>
      <c r="J448" s="22" t="str">
        <f t="shared" si="52"/>
        <v/>
      </c>
      <c r="K448" s="20" t="str">
        <f t="shared" si="53"/>
        <v/>
      </c>
      <c r="L448" s="20" t="str">
        <f t="shared" si="54"/>
        <v/>
      </c>
      <c r="M448" s="6"/>
      <c r="N448" s="19" t="str">
        <f t="shared" si="55"/>
        <v/>
      </c>
      <c r="O448" s="23" t="str">
        <f>IF(B448="","",TRIM(IF(COUNTIF('Registru comenzi'!$B$5:$B$304,B448)=0,"Comandă inexistentă în registru. ","")&amp;IF(AND(D448&lt;&gt;"",E448=""),"Cod necunoscut. ","")&amp;IF(N(G448)&lt;=0,"Lipsește cantitatea. ","")&amp;IF(N(M448)&gt;N(G448),"Livrat mai mult decât s-a comandat. ","")&amp;IF(N(I448)&gt;0.3,"Discount neobișnuit de mare. ","")))</f>
        <v/>
      </c>
    </row>
    <row r="449" spans="1:15" x14ac:dyDescent="0.2">
      <c r="A449" s="1" t="str">
        <f t="shared" si="48"/>
        <v/>
      </c>
      <c r="B449" s="17"/>
      <c r="C449" s="18" t="str">
        <f>IF(B449="","",COUNTIF(INDEX($B:$B,5):B449,B449))</f>
        <v/>
      </c>
      <c r="D449" s="17"/>
      <c r="E449" s="19" t="str">
        <f t="shared" si="49"/>
        <v/>
      </c>
      <c r="F449" s="18" t="str">
        <f t="shared" si="50"/>
        <v/>
      </c>
      <c r="G449" s="6"/>
      <c r="H449" s="20" t="str">
        <f t="shared" si="51"/>
        <v/>
      </c>
      <c r="I449" s="21"/>
      <c r="J449" s="22" t="str">
        <f t="shared" si="52"/>
        <v/>
      </c>
      <c r="K449" s="20" t="str">
        <f t="shared" si="53"/>
        <v/>
      </c>
      <c r="L449" s="20" t="str">
        <f t="shared" si="54"/>
        <v/>
      </c>
      <c r="M449" s="6"/>
      <c r="N449" s="19" t="str">
        <f t="shared" si="55"/>
        <v/>
      </c>
      <c r="O449" s="23" t="str">
        <f>IF(B449="","",TRIM(IF(COUNTIF('Registru comenzi'!$B$5:$B$304,B449)=0,"Comandă inexistentă în registru. ","")&amp;IF(AND(D449&lt;&gt;"",E449=""),"Cod necunoscut. ","")&amp;IF(N(G449)&lt;=0,"Lipsește cantitatea. ","")&amp;IF(N(M449)&gt;N(G449),"Livrat mai mult decât s-a comandat. ","")&amp;IF(N(I449)&gt;0.3,"Discount neobișnuit de mare. ","")))</f>
        <v/>
      </c>
    </row>
    <row r="450" spans="1:15" x14ac:dyDescent="0.2">
      <c r="A450" s="1" t="str">
        <f t="shared" si="48"/>
        <v/>
      </c>
      <c r="B450" s="17"/>
      <c r="C450" s="18" t="str">
        <f>IF(B450="","",COUNTIF(INDEX($B:$B,5):B450,B450))</f>
        <v/>
      </c>
      <c r="D450" s="17"/>
      <c r="E450" s="19" t="str">
        <f t="shared" si="49"/>
        <v/>
      </c>
      <c r="F450" s="18" t="str">
        <f t="shared" si="50"/>
        <v/>
      </c>
      <c r="G450" s="6"/>
      <c r="H450" s="20" t="str">
        <f t="shared" si="51"/>
        <v/>
      </c>
      <c r="I450" s="21"/>
      <c r="J450" s="22" t="str">
        <f t="shared" si="52"/>
        <v/>
      </c>
      <c r="K450" s="20" t="str">
        <f t="shared" si="53"/>
        <v/>
      </c>
      <c r="L450" s="20" t="str">
        <f t="shared" si="54"/>
        <v/>
      </c>
      <c r="M450" s="6"/>
      <c r="N450" s="19" t="str">
        <f t="shared" si="55"/>
        <v/>
      </c>
      <c r="O450" s="23" t="str">
        <f>IF(B450="","",TRIM(IF(COUNTIF('Registru comenzi'!$B$5:$B$304,B450)=0,"Comandă inexistentă în registru. ","")&amp;IF(AND(D450&lt;&gt;"",E450=""),"Cod necunoscut. ","")&amp;IF(N(G450)&lt;=0,"Lipsește cantitatea. ","")&amp;IF(N(M450)&gt;N(G450),"Livrat mai mult decât s-a comandat. ","")&amp;IF(N(I450)&gt;0.3,"Discount neobișnuit de mare. ","")))</f>
        <v/>
      </c>
    </row>
    <row r="451" spans="1:15" x14ac:dyDescent="0.2">
      <c r="A451" s="1" t="str">
        <f t="shared" si="48"/>
        <v/>
      </c>
      <c r="B451" s="17"/>
      <c r="C451" s="18" t="str">
        <f>IF(B451="","",COUNTIF(INDEX($B:$B,5):B451,B451))</f>
        <v/>
      </c>
      <c r="D451" s="17"/>
      <c r="E451" s="19" t="str">
        <f t="shared" si="49"/>
        <v/>
      </c>
      <c r="F451" s="18" t="str">
        <f t="shared" si="50"/>
        <v/>
      </c>
      <c r="G451" s="6"/>
      <c r="H451" s="20" t="str">
        <f t="shared" si="51"/>
        <v/>
      </c>
      <c r="I451" s="21"/>
      <c r="J451" s="22" t="str">
        <f t="shared" si="52"/>
        <v/>
      </c>
      <c r="K451" s="20" t="str">
        <f t="shared" si="53"/>
        <v/>
      </c>
      <c r="L451" s="20" t="str">
        <f t="shared" si="54"/>
        <v/>
      </c>
      <c r="M451" s="6"/>
      <c r="N451" s="19" t="str">
        <f t="shared" si="55"/>
        <v/>
      </c>
      <c r="O451" s="23" t="str">
        <f>IF(B451="","",TRIM(IF(COUNTIF('Registru comenzi'!$B$5:$B$304,B451)=0,"Comandă inexistentă în registru. ","")&amp;IF(AND(D451&lt;&gt;"",E451=""),"Cod necunoscut. ","")&amp;IF(N(G451)&lt;=0,"Lipsește cantitatea. ","")&amp;IF(N(M451)&gt;N(G451),"Livrat mai mult decât s-a comandat. ","")&amp;IF(N(I451)&gt;0.3,"Discount neobișnuit de mare. ","")))</f>
        <v/>
      </c>
    </row>
    <row r="452" spans="1:15" x14ac:dyDescent="0.2">
      <c r="A452" s="1" t="str">
        <f t="shared" si="48"/>
        <v/>
      </c>
      <c r="B452" s="17"/>
      <c r="C452" s="18" t="str">
        <f>IF(B452="","",COUNTIF(INDEX($B:$B,5):B452,B452))</f>
        <v/>
      </c>
      <c r="D452" s="17"/>
      <c r="E452" s="19" t="str">
        <f t="shared" si="49"/>
        <v/>
      </c>
      <c r="F452" s="18" t="str">
        <f t="shared" si="50"/>
        <v/>
      </c>
      <c r="G452" s="6"/>
      <c r="H452" s="20" t="str">
        <f t="shared" si="51"/>
        <v/>
      </c>
      <c r="I452" s="21"/>
      <c r="J452" s="22" t="str">
        <f t="shared" si="52"/>
        <v/>
      </c>
      <c r="K452" s="20" t="str">
        <f t="shared" si="53"/>
        <v/>
      </c>
      <c r="L452" s="20" t="str">
        <f t="shared" si="54"/>
        <v/>
      </c>
      <c r="M452" s="6"/>
      <c r="N452" s="19" t="str">
        <f t="shared" si="55"/>
        <v/>
      </c>
      <c r="O452" s="23" t="str">
        <f>IF(B452="","",TRIM(IF(COUNTIF('Registru comenzi'!$B$5:$B$304,B452)=0,"Comandă inexistentă în registru. ","")&amp;IF(AND(D452&lt;&gt;"",E452=""),"Cod necunoscut. ","")&amp;IF(N(G452)&lt;=0,"Lipsește cantitatea. ","")&amp;IF(N(M452)&gt;N(G452),"Livrat mai mult decât s-a comandat. ","")&amp;IF(N(I452)&gt;0.3,"Discount neobișnuit de mare. ","")))</f>
        <v/>
      </c>
    </row>
    <row r="453" spans="1:15" x14ac:dyDescent="0.2">
      <c r="A453" s="1" t="str">
        <f t="shared" ref="A453:A516" si="56">IF(B453="","",B453&amp;"|"&amp;C453)</f>
        <v/>
      </c>
      <c r="B453" s="17"/>
      <c r="C453" s="18" t="str">
        <f>IF(B453="","",COUNTIF(INDEX($B:$B,5):B453,B453))</f>
        <v/>
      </c>
      <c r="D453" s="17"/>
      <c r="E453" s="19" t="str">
        <f t="shared" ref="E453:E516" si="57">IF(D453="","",IFERROR(VLOOKUP(D453,Catalog,2,FALSE),""))</f>
        <v/>
      </c>
      <c r="F453" s="18" t="str">
        <f t="shared" ref="F453:F516" si="58">IF(D453="","",IFERROR(VLOOKUP(D453,Catalog,3,FALSE),""))</f>
        <v/>
      </c>
      <c r="G453" s="6"/>
      <c r="H453" s="20" t="str">
        <f t="shared" ref="H453:H516" si="59">IF(D453="","",IFERROR(VLOOKUP(D453,Catalog,4,FALSE),""))</f>
        <v/>
      </c>
      <c r="I453" s="21"/>
      <c r="J453" s="22" t="str">
        <f t="shared" ref="J453:J516" si="60">IF(D453="","",IFERROR(VLOOKUP(D453,Catalog,5,FALSE),""))</f>
        <v/>
      </c>
      <c r="K453" s="20" t="str">
        <f t="shared" ref="K453:K516" si="61">IF(OR(G453="",H453=""),"",ROUND(G453*H453*(1-N(I453)),2))</f>
        <v/>
      </c>
      <c r="L453" s="20" t="str">
        <f t="shared" ref="L453:L516" si="62">IF(OR(K453="",J453=""),"",ROUND(K453*J453,2))</f>
        <v/>
      </c>
      <c r="M453" s="6"/>
      <c r="N453" s="19" t="str">
        <f t="shared" ref="N453:N516" si="63">IF(G453="","",G453-N(M453))</f>
        <v/>
      </c>
      <c r="O453" s="23" t="str">
        <f>IF(B453="","",TRIM(IF(COUNTIF('Registru comenzi'!$B$5:$B$304,B453)=0,"Comandă inexistentă în registru. ","")&amp;IF(AND(D453&lt;&gt;"",E453=""),"Cod necunoscut. ","")&amp;IF(N(G453)&lt;=0,"Lipsește cantitatea. ","")&amp;IF(N(M453)&gt;N(G453),"Livrat mai mult decât s-a comandat. ","")&amp;IF(N(I453)&gt;0.3,"Discount neobișnuit de mare. ","")))</f>
        <v/>
      </c>
    </row>
    <row r="454" spans="1:15" x14ac:dyDescent="0.2">
      <c r="A454" s="1" t="str">
        <f t="shared" si="56"/>
        <v/>
      </c>
      <c r="B454" s="17"/>
      <c r="C454" s="18" t="str">
        <f>IF(B454="","",COUNTIF(INDEX($B:$B,5):B454,B454))</f>
        <v/>
      </c>
      <c r="D454" s="17"/>
      <c r="E454" s="19" t="str">
        <f t="shared" si="57"/>
        <v/>
      </c>
      <c r="F454" s="18" t="str">
        <f t="shared" si="58"/>
        <v/>
      </c>
      <c r="G454" s="6"/>
      <c r="H454" s="20" t="str">
        <f t="shared" si="59"/>
        <v/>
      </c>
      <c r="I454" s="21"/>
      <c r="J454" s="22" t="str">
        <f t="shared" si="60"/>
        <v/>
      </c>
      <c r="K454" s="20" t="str">
        <f t="shared" si="61"/>
        <v/>
      </c>
      <c r="L454" s="20" t="str">
        <f t="shared" si="62"/>
        <v/>
      </c>
      <c r="M454" s="6"/>
      <c r="N454" s="19" t="str">
        <f t="shared" si="63"/>
        <v/>
      </c>
      <c r="O454" s="23" t="str">
        <f>IF(B454="","",TRIM(IF(COUNTIF('Registru comenzi'!$B$5:$B$304,B454)=0,"Comandă inexistentă în registru. ","")&amp;IF(AND(D454&lt;&gt;"",E454=""),"Cod necunoscut. ","")&amp;IF(N(G454)&lt;=0,"Lipsește cantitatea. ","")&amp;IF(N(M454)&gt;N(G454),"Livrat mai mult decât s-a comandat. ","")&amp;IF(N(I454)&gt;0.3,"Discount neobișnuit de mare. ","")))</f>
        <v/>
      </c>
    </row>
    <row r="455" spans="1:15" x14ac:dyDescent="0.2">
      <c r="A455" s="1" t="str">
        <f t="shared" si="56"/>
        <v/>
      </c>
      <c r="B455" s="17"/>
      <c r="C455" s="18" t="str">
        <f>IF(B455="","",COUNTIF(INDEX($B:$B,5):B455,B455))</f>
        <v/>
      </c>
      <c r="D455" s="17"/>
      <c r="E455" s="19" t="str">
        <f t="shared" si="57"/>
        <v/>
      </c>
      <c r="F455" s="18" t="str">
        <f t="shared" si="58"/>
        <v/>
      </c>
      <c r="G455" s="6"/>
      <c r="H455" s="20" t="str">
        <f t="shared" si="59"/>
        <v/>
      </c>
      <c r="I455" s="21"/>
      <c r="J455" s="22" t="str">
        <f t="shared" si="60"/>
        <v/>
      </c>
      <c r="K455" s="20" t="str">
        <f t="shared" si="61"/>
        <v/>
      </c>
      <c r="L455" s="20" t="str">
        <f t="shared" si="62"/>
        <v/>
      </c>
      <c r="M455" s="6"/>
      <c r="N455" s="19" t="str">
        <f t="shared" si="63"/>
        <v/>
      </c>
      <c r="O455" s="23" t="str">
        <f>IF(B455="","",TRIM(IF(COUNTIF('Registru comenzi'!$B$5:$B$304,B455)=0,"Comandă inexistentă în registru. ","")&amp;IF(AND(D455&lt;&gt;"",E455=""),"Cod necunoscut. ","")&amp;IF(N(G455)&lt;=0,"Lipsește cantitatea. ","")&amp;IF(N(M455)&gt;N(G455),"Livrat mai mult decât s-a comandat. ","")&amp;IF(N(I455)&gt;0.3,"Discount neobișnuit de mare. ","")))</f>
        <v/>
      </c>
    </row>
    <row r="456" spans="1:15" x14ac:dyDescent="0.2">
      <c r="A456" s="1" t="str">
        <f t="shared" si="56"/>
        <v/>
      </c>
      <c r="B456" s="17"/>
      <c r="C456" s="18" t="str">
        <f>IF(B456="","",COUNTIF(INDEX($B:$B,5):B456,B456))</f>
        <v/>
      </c>
      <c r="D456" s="17"/>
      <c r="E456" s="19" t="str">
        <f t="shared" si="57"/>
        <v/>
      </c>
      <c r="F456" s="18" t="str">
        <f t="shared" si="58"/>
        <v/>
      </c>
      <c r="G456" s="6"/>
      <c r="H456" s="20" t="str">
        <f t="shared" si="59"/>
        <v/>
      </c>
      <c r="I456" s="21"/>
      <c r="J456" s="22" t="str">
        <f t="shared" si="60"/>
        <v/>
      </c>
      <c r="K456" s="20" t="str">
        <f t="shared" si="61"/>
        <v/>
      </c>
      <c r="L456" s="20" t="str">
        <f t="shared" si="62"/>
        <v/>
      </c>
      <c r="M456" s="6"/>
      <c r="N456" s="19" t="str">
        <f t="shared" si="63"/>
        <v/>
      </c>
      <c r="O456" s="23" t="str">
        <f>IF(B456="","",TRIM(IF(COUNTIF('Registru comenzi'!$B$5:$B$304,B456)=0,"Comandă inexistentă în registru. ","")&amp;IF(AND(D456&lt;&gt;"",E456=""),"Cod necunoscut. ","")&amp;IF(N(G456)&lt;=0,"Lipsește cantitatea. ","")&amp;IF(N(M456)&gt;N(G456),"Livrat mai mult decât s-a comandat. ","")&amp;IF(N(I456)&gt;0.3,"Discount neobișnuit de mare. ","")))</f>
        <v/>
      </c>
    </row>
    <row r="457" spans="1:15" x14ac:dyDescent="0.2">
      <c r="A457" s="1" t="str">
        <f t="shared" si="56"/>
        <v/>
      </c>
      <c r="B457" s="17"/>
      <c r="C457" s="18" t="str">
        <f>IF(B457="","",COUNTIF(INDEX($B:$B,5):B457,B457))</f>
        <v/>
      </c>
      <c r="D457" s="17"/>
      <c r="E457" s="19" t="str">
        <f t="shared" si="57"/>
        <v/>
      </c>
      <c r="F457" s="18" t="str">
        <f t="shared" si="58"/>
        <v/>
      </c>
      <c r="G457" s="6"/>
      <c r="H457" s="20" t="str">
        <f t="shared" si="59"/>
        <v/>
      </c>
      <c r="I457" s="21"/>
      <c r="J457" s="22" t="str">
        <f t="shared" si="60"/>
        <v/>
      </c>
      <c r="K457" s="20" t="str">
        <f t="shared" si="61"/>
        <v/>
      </c>
      <c r="L457" s="20" t="str">
        <f t="shared" si="62"/>
        <v/>
      </c>
      <c r="M457" s="6"/>
      <c r="N457" s="19" t="str">
        <f t="shared" si="63"/>
        <v/>
      </c>
      <c r="O457" s="23" t="str">
        <f>IF(B457="","",TRIM(IF(COUNTIF('Registru comenzi'!$B$5:$B$304,B457)=0,"Comandă inexistentă în registru. ","")&amp;IF(AND(D457&lt;&gt;"",E457=""),"Cod necunoscut. ","")&amp;IF(N(G457)&lt;=0,"Lipsește cantitatea. ","")&amp;IF(N(M457)&gt;N(G457),"Livrat mai mult decât s-a comandat. ","")&amp;IF(N(I457)&gt;0.3,"Discount neobișnuit de mare. ","")))</f>
        <v/>
      </c>
    </row>
    <row r="458" spans="1:15" x14ac:dyDescent="0.2">
      <c r="A458" s="1" t="str">
        <f t="shared" si="56"/>
        <v/>
      </c>
      <c r="B458" s="17"/>
      <c r="C458" s="18" t="str">
        <f>IF(B458="","",COUNTIF(INDEX($B:$B,5):B458,B458))</f>
        <v/>
      </c>
      <c r="D458" s="17"/>
      <c r="E458" s="19" t="str">
        <f t="shared" si="57"/>
        <v/>
      </c>
      <c r="F458" s="18" t="str">
        <f t="shared" si="58"/>
        <v/>
      </c>
      <c r="G458" s="6"/>
      <c r="H458" s="20" t="str">
        <f t="shared" si="59"/>
        <v/>
      </c>
      <c r="I458" s="21"/>
      <c r="J458" s="22" t="str">
        <f t="shared" si="60"/>
        <v/>
      </c>
      <c r="K458" s="20" t="str">
        <f t="shared" si="61"/>
        <v/>
      </c>
      <c r="L458" s="20" t="str">
        <f t="shared" si="62"/>
        <v/>
      </c>
      <c r="M458" s="6"/>
      <c r="N458" s="19" t="str">
        <f t="shared" si="63"/>
        <v/>
      </c>
      <c r="O458" s="23" t="str">
        <f>IF(B458="","",TRIM(IF(COUNTIF('Registru comenzi'!$B$5:$B$304,B458)=0,"Comandă inexistentă în registru. ","")&amp;IF(AND(D458&lt;&gt;"",E458=""),"Cod necunoscut. ","")&amp;IF(N(G458)&lt;=0,"Lipsește cantitatea. ","")&amp;IF(N(M458)&gt;N(G458),"Livrat mai mult decât s-a comandat. ","")&amp;IF(N(I458)&gt;0.3,"Discount neobișnuit de mare. ","")))</f>
        <v/>
      </c>
    </row>
    <row r="459" spans="1:15" x14ac:dyDescent="0.2">
      <c r="A459" s="1" t="str">
        <f t="shared" si="56"/>
        <v/>
      </c>
      <c r="B459" s="17"/>
      <c r="C459" s="18" t="str">
        <f>IF(B459="","",COUNTIF(INDEX($B:$B,5):B459,B459))</f>
        <v/>
      </c>
      <c r="D459" s="17"/>
      <c r="E459" s="19" t="str">
        <f t="shared" si="57"/>
        <v/>
      </c>
      <c r="F459" s="18" t="str">
        <f t="shared" si="58"/>
        <v/>
      </c>
      <c r="G459" s="6"/>
      <c r="H459" s="20" t="str">
        <f t="shared" si="59"/>
        <v/>
      </c>
      <c r="I459" s="21"/>
      <c r="J459" s="22" t="str">
        <f t="shared" si="60"/>
        <v/>
      </c>
      <c r="K459" s="20" t="str">
        <f t="shared" si="61"/>
        <v/>
      </c>
      <c r="L459" s="20" t="str">
        <f t="shared" si="62"/>
        <v/>
      </c>
      <c r="M459" s="6"/>
      <c r="N459" s="19" t="str">
        <f t="shared" si="63"/>
        <v/>
      </c>
      <c r="O459" s="23" t="str">
        <f>IF(B459="","",TRIM(IF(COUNTIF('Registru comenzi'!$B$5:$B$304,B459)=0,"Comandă inexistentă în registru. ","")&amp;IF(AND(D459&lt;&gt;"",E459=""),"Cod necunoscut. ","")&amp;IF(N(G459)&lt;=0,"Lipsește cantitatea. ","")&amp;IF(N(M459)&gt;N(G459),"Livrat mai mult decât s-a comandat. ","")&amp;IF(N(I459)&gt;0.3,"Discount neobișnuit de mare. ","")))</f>
        <v/>
      </c>
    </row>
    <row r="460" spans="1:15" x14ac:dyDescent="0.2">
      <c r="A460" s="1" t="str">
        <f t="shared" si="56"/>
        <v/>
      </c>
      <c r="B460" s="17"/>
      <c r="C460" s="18" t="str">
        <f>IF(B460="","",COUNTIF(INDEX($B:$B,5):B460,B460))</f>
        <v/>
      </c>
      <c r="D460" s="17"/>
      <c r="E460" s="19" t="str">
        <f t="shared" si="57"/>
        <v/>
      </c>
      <c r="F460" s="18" t="str">
        <f t="shared" si="58"/>
        <v/>
      </c>
      <c r="G460" s="6"/>
      <c r="H460" s="20" t="str">
        <f t="shared" si="59"/>
        <v/>
      </c>
      <c r="I460" s="21"/>
      <c r="J460" s="22" t="str">
        <f t="shared" si="60"/>
        <v/>
      </c>
      <c r="K460" s="20" t="str">
        <f t="shared" si="61"/>
        <v/>
      </c>
      <c r="L460" s="20" t="str">
        <f t="shared" si="62"/>
        <v/>
      </c>
      <c r="M460" s="6"/>
      <c r="N460" s="19" t="str">
        <f t="shared" si="63"/>
        <v/>
      </c>
      <c r="O460" s="23" t="str">
        <f>IF(B460="","",TRIM(IF(COUNTIF('Registru comenzi'!$B$5:$B$304,B460)=0,"Comandă inexistentă în registru. ","")&amp;IF(AND(D460&lt;&gt;"",E460=""),"Cod necunoscut. ","")&amp;IF(N(G460)&lt;=0,"Lipsește cantitatea. ","")&amp;IF(N(M460)&gt;N(G460),"Livrat mai mult decât s-a comandat. ","")&amp;IF(N(I460)&gt;0.3,"Discount neobișnuit de mare. ","")))</f>
        <v/>
      </c>
    </row>
    <row r="461" spans="1:15" x14ac:dyDescent="0.2">
      <c r="A461" s="1" t="str">
        <f t="shared" si="56"/>
        <v/>
      </c>
      <c r="B461" s="17"/>
      <c r="C461" s="18" t="str">
        <f>IF(B461="","",COUNTIF(INDEX($B:$B,5):B461,B461))</f>
        <v/>
      </c>
      <c r="D461" s="17"/>
      <c r="E461" s="19" t="str">
        <f t="shared" si="57"/>
        <v/>
      </c>
      <c r="F461" s="18" t="str">
        <f t="shared" si="58"/>
        <v/>
      </c>
      <c r="G461" s="6"/>
      <c r="H461" s="20" t="str">
        <f t="shared" si="59"/>
        <v/>
      </c>
      <c r="I461" s="21"/>
      <c r="J461" s="22" t="str">
        <f t="shared" si="60"/>
        <v/>
      </c>
      <c r="K461" s="20" t="str">
        <f t="shared" si="61"/>
        <v/>
      </c>
      <c r="L461" s="20" t="str">
        <f t="shared" si="62"/>
        <v/>
      </c>
      <c r="M461" s="6"/>
      <c r="N461" s="19" t="str">
        <f t="shared" si="63"/>
        <v/>
      </c>
      <c r="O461" s="23" t="str">
        <f>IF(B461="","",TRIM(IF(COUNTIF('Registru comenzi'!$B$5:$B$304,B461)=0,"Comandă inexistentă în registru. ","")&amp;IF(AND(D461&lt;&gt;"",E461=""),"Cod necunoscut. ","")&amp;IF(N(G461)&lt;=0,"Lipsește cantitatea. ","")&amp;IF(N(M461)&gt;N(G461),"Livrat mai mult decât s-a comandat. ","")&amp;IF(N(I461)&gt;0.3,"Discount neobișnuit de mare. ","")))</f>
        <v/>
      </c>
    </row>
    <row r="462" spans="1:15" x14ac:dyDescent="0.2">
      <c r="A462" s="1" t="str">
        <f t="shared" si="56"/>
        <v/>
      </c>
      <c r="B462" s="17"/>
      <c r="C462" s="18" t="str">
        <f>IF(B462="","",COUNTIF(INDEX($B:$B,5):B462,B462))</f>
        <v/>
      </c>
      <c r="D462" s="17"/>
      <c r="E462" s="19" t="str">
        <f t="shared" si="57"/>
        <v/>
      </c>
      <c r="F462" s="18" t="str">
        <f t="shared" si="58"/>
        <v/>
      </c>
      <c r="G462" s="6"/>
      <c r="H462" s="20" t="str">
        <f t="shared" si="59"/>
        <v/>
      </c>
      <c r="I462" s="21"/>
      <c r="J462" s="22" t="str">
        <f t="shared" si="60"/>
        <v/>
      </c>
      <c r="K462" s="20" t="str">
        <f t="shared" si="61"/>
        <v/>
      </c>
      <c r="L462" s="20" t="str">
        <f t="shared" si="62"/>
        <v/>
      </c>
      <c r="M462" s="6"/>
      <c r="N462" s="19" t="str">
        <f t="shared" si="63"/>
        <v/>
      </c>
      <c r="O462" s="23" t="str">
        <f>IF(B462="","",TRIM(IF(COUNTIF('Registru comenzi'!$B$5:$B$304,B462)=0,"Comandă inexistentă în registru. ","")&amp;IF(AND(D462&lt;&gt;"",E462=""),"Cod necunoscut. ","")&amp;IF(N(G462)&lt;=0,"Lipsește cantitatea. ","")&amp;IF(N(M462)&gt;N(G462),"Livrat mai mult decât s-a comandat. ","")&amp;IF(N(I462)&gt;0.3,"Discount neobișnuit de mare. ","")))</f>
        <v/>
      </c>
    </row>
    <row r="463" spans="1:15" x14ac:dyDescent="0.2">
      <c r="A463" s="1" t="str">
        <f t="shared" si="56"/>
        <v/>
      </c>
      <c r="B463" s="17"/>
      <c r="C463" s="18" t="str">
        <f>IF(B463="","",COUNTIF(INDEX($B:$B,5):B463,B463))</f>
        <v/>
      </c>
      <c r="D463" s="17"/>
      <c r="E463" s="19" t="str">
        <f t="shared" si="57"/>
        <v/>
      </c>
      <c r="F463" s="18" t="str">
        <f t="shared" si="58"/>
        <v/>
      </c>
      <c r="G463" s="6"/>
      <c r="H463" s="20" t="str">
        <f t="shared" si="59"/>
        <v/>
      </c>
      <c r="I463" s="21"/>
      <c r="J463" s="22" t="str">
        <f t="shared" si="60"/>
        <v/>
      </c>
      <c r="K463" s="20" t="str">
        <f t="shared" si="61"/>
        <v/>
      </c>
      <c r="L463" s="20" t="str">
        <f t="shared" si="62"/>
        <v/>
      </c>
      <c r="M463" s="6"/>
      <c r="N463" s="19" t="str">
        <f t="shared" si="63"/>
        <v/>
      </c>
      <c r="O463" s="23" t="str">
        <f>IF(B463="","",TRIM(IF(COUNTIF('Registru comenzi'!$B$5:$B$304,B463)=0,"Comandă inexistentă în registru. ","")&amp;IF(AND(D463&lt;&gt;"",E463=""),"Cod necunoscut. ","")&amp;IF(N(G463)&lt;=0,"Lipsește cantitatea. ","")&amp;IF(N(M463)&gt;N(G463),"Livrat mai mult decât s-a comandat. ","")&amp;IF(N(I463)&gt;0.3,"Discount neobișnuit de mare. ","")))</f>
        <v/>
      </c>
    </row>
    <row r="464" spans="1:15" x14ac:dyDescent="0.2">
      <c r="A464" s="1" t="str">
        <f t="shared" si="56"/>
        <v/>
      </c>
      <c r="B464" s="17"/>
      <c r="C464" s="18" t="str">
        <f>IF(B464="","",COUNTIF(INDEX($B:$B,5):B464,B464))</f>
        <v/>
      </c>
      <c r="D464" s="17"/>
      <c r="E464" s="19" t="str">
        <f t="shared" si="57"/>
        <v/>
      </c>
      <c r="F464" s="18" t="str">
        <f t="shared" si="58"/>
        <v/>
      </c>
      <c r="G464" s="6"/>
      <c r="H464" s="20" t="str">
        <f t="shared" si="59"/>
        <v/>
      </c>
      <c r="I464" s="21"/>
      <c r="J464" s="22" t="str">
        <f t="shared" si="60"/>
        <v/>
      </c>
      <c r="K464" s="20" t="str">
        <f t="shared" si="61"/>
        <v/>
      </c>
      <c r="L464" s="20" t="str">
        <f t="shared" si="62"/>
        <v/>
      </c>
      <c r="M464" s="6"/>
      <c r="N464" s="19" t="str">
        <f t="shared" si="63"/>
        <v/>
      </c>
      <c r="O464" s="23" t="str">
        <f>IF(B464="","",TRIM(IF(COUNTIF('Registru comenzi'!$B$5:$B$304,B464)=0,"Comandă inexistentă în registru. ","")&amp;IF(AND(D464&lt;&gt;"",E464=""),"Cod necunoscut. ","")&amp;IF(N(G464)&lt;=0,"Lipsește cantitatea. ","")&amp;IF(N(M464)&gt;N(G464),"Livrat mai mult decât s-a comandat. ","")&amp;IF(N(I464)&gt;0.3,"Discount neobișnuit de mare. ","")))</f>
        <v/>
      </c>
    </row>
    <row r="465" spans="1:15" x14ac:dyDescent="0.2">
      <c r="A465" s="1" t="str">
        <f t="shared" si="56"/>
        <v/>
      </c>
      <c r="B465" s="17"/>
      <c r="C465" s="18" t="str">
        <f>IF(B465="","",COUNTIF(INDEX($B:$B,5):B465,B465))</f>
        <v/>
      </c>
      <c r="D465" s="17"/>
      <c r="E465" s="19" t="str">
        <f t="shared" si="57"/>
        <v/>
      </c>
      <c r="F465" s="18" t="str">
        <f t="shared" si="58"/>
        <v/>
      </c>
      <c r="G465" s="6"/>
      <c r="H465" s="20" t="str">
        <f t="shared" si="59"/>
        <v/>
      </c>
      <c r="I465" s="21"/>
      <c r="J465" s="22" t="str">
        <f t="shared" si="60"/>
        <v/>
      </c>
      <c r="K465" s="20" t="str">
        <f t="shared" si="61"/>
        <v/>
      </c>
      <c r="L465" s="20" t="str">
        <f t="shared" si="62"/>
        <v/>
      </c>
      <c r="M465" s="6"/>
      <c r="N465" s="19" t="str">
        <f t="shared" si="63"/>
        <v/>
      </c>
      <c r="O465" s="23" t="str">
        <f>IF(B465="","",TRIM(IF(COUNTIF('Registru comenzi'!$B$5:$B$304,B465)=0,"Comandă inexistentă în registru. ","")&amp;IF(AND(D465&lt;&gt;"",E465=""),"Cod necunoscut. ","")&amp;IF(N(G465)&lt;=0,"Lipsește cantitatea. ","")&amp;IF(N(M465)&gt;N(G465),"Livrat mai mult decât s-a comandat. ","")&amp;IF(N(I465)&gt;0.3,"Discount neobișnuit de mare. ","")))</f>
        <v/>
      </c>
    </row>
    <row r="466" spans="1:15" x14ac:dyDescent="0.2">
      <c r="A466" s="1" t="str">
        <f t="shared" si="56"/>
        <v/>
      </c>
      <c r="B466" s="17"/>
      <c r="C466" s="18" t="str">
        <f>IF(B466="","",COUNTIF(INDEX($B:$B,5):B466,B466))</f>
        <v/>
      </c>
      <c r="D466" s="17"/>
      <c r="E466" s="19" t="str">
        <f t="shared" si="57"/>
        <v/>
      </c>
      <c r="F466" s="18" t="str">
        <f t="shared" si="58"/>
        <v/>
      </c>
      <c r="G466" s="6"/>
      <c r="H466" s="20" t="str">
        <f t="shared" si="59"/>
        <v/>
      </c>
      <c r="I466" s="21"/>
      <c r="J466" s="22" t="str">
        <f t="shared" si="60"/>
        <v/>
      </c>
      <c r="K466" s="20" t="str">
        <f t="shared" si="61"/>
        <v/>
      </c>
      <c r="L466" s="20" t="str">
        <f t="shared" si="62"/>
        <v/>
      </c>
      <c r="M466" s="6"/>
      <c r="N466" s="19" t="str">
        <f t="shared" si="63"/>
        <v/>
      </c>
      <c r="O466" s="23" t="str">
        <f>IF(B466="","",TRIM(IF(COUNTIF('Registru comenzi'!$B$5:$B$304,B466)=0,"Comandă inexistentă în registru. ","")&amp;IF(AND(D466&lt;&gt;"",E466=""),"Cod necunoscut. ","")&amp;IF(N(G466)&lt;=0,"Lipsește cantitatea. ","")&amp;IF(N(M466)&gt;N(G466),"Livrat mai mult decât s-a comandat. ","")&amp;IF(N(I466)&gt;0.3,"Discount neobișnuit de mare. ","")))</f>
        <v/>
      </c>
    </row>
    <row r="467" spans="1:15" x14ac:dyDescent="0.2">
      <c r="A467" s="1" t="str">
        <f t="shared" si="56"/>
        <v/>
      </c>
      <c r="B467" s="17"/>
      <c r="C467" s="18" t="str">
        <f>IF(B467="","",COUNTIF(INDEX($B:$B,5):B467,B467))</f>
        <v/>
      </c>
      <c r="D467" s="17"/>
      <c r="E467" s="19" t="str">
        <f t="shared" si="57"/>
        <v/>
      </c>
      <c r="F467" s="18" t="str">
        <f t="shared" si="58"/>
        <v/>
      </c>
      <c r="G467" s="6"/>
      <c r="H467" s="20" t="str">
        <f t="shared" si="59"/>
        <v/>
      </c>
      <c r="I467" s="21"/>
      <c r="J467" s="22" t="str">
        <f t="shared" si="60"/>
        <v/>
      </c>
      <c r="K467" s="20" t="str">
        <f t="shared" si="61"/>
        <v/>
      </c>
      <c r="L467" s="20" t="str">
        <f t="shared" si="62"/>
        <v/>
      </c>
      <c r="M467" s="6"/>
      <c r="N467" s="19" t="str">
        <f t="shared" si="63"/>
        <v/>
      </c>
      <c r="O467" s="23" t="str">
        <f>IF(B467="","",TRIM(IF(COUNTIF('Registru comenzi'!$B$5:$B$304,B467)=0,"Comandă inexistentă în registru. ","")&amp;IF(AND(D467&lt;&gt;"",E467=""),"Cod necunoscut. ","")&amp;IF(N(G467)&lt;=0,"Lipsește cantitatea. ","")&amp;IF(N(M467)&gt;N(G467),"Livrat mai mult decât s-a comandat. ","")&amp;IF(N(I467)&gt;0.3,"Discount neobișnuit de mare. ","")))</f>
        <v/>
      </c>
    </row>
    <row r="468" spans="1:15" x14ac:dyDescent="0.2">
      <c r="A468" s="1" t="str">
        <f t="shared" si="56"/>
        <v/>
      </c>
      <c r="B468" s="17"/>
      <c r="C468" s="18" t="str">
        <f>IF(B468="","",COUNTIF(INDEX($B:$B,5):B468,B468))</f>
        <v/>
      </c>
      <c r="D468" s="17"/>
      <c r="E468" s="19" t="str">
        <f t="shared" si="57"/>
        <v/>
      </c>
      <c r="F468" s="18" t="str">
        <f t="shared" si="58"/>
        <v/>
      </c>
      <c r="G468" s="6"/>
      <c r="H468" s="20" t="str">
        <f t="shared" si="59"/>
        <v/>
      </c>
      <c r="I468" s="21"/>
      <c r="J468" s="22" t="str">
        <f t="shared" si="60"/>
        <v/>
      </c>
      <c r="K468" s="20" t="str">
        <f t="shared" si="61"/>
        <v/>
      </c>
      <c r="L468" s="20" t="str">
        <f t="shared" si="62"/>
        <v/>
      </c>
      <c r="M468" s="6"/>
      <c r="N468" s="19" t="str">
        <f t="shared" si="63"/>
        <v/>
      </c>
      <c r="O468" s="23" t="str">
        <f>IF(B468="","",TRIM(IF(COUNTIF('Registru comenzi'!$B$5:$B$304,B468)=0,"Comandă inexistentă în registru. ","")&amp;IF(AND(D468&lt;&gt;"",E468=""),"Cod necunoscut. ","")&amp;IF(N(G468)&lt;=0,"Lipsește cantitatea. ","")&amp;IF(N(M468)&gt;N(G468),"Livrat mai mult decât s-a comandat. ","")&amp;IF(N(I468)&gt;0.3,"Discount neobișnuit de mare. ","")))</f>
        <v/>
      </c>
    </row>
    <row r="469" spans="1:15" x14ac:dyDescent="0.2">
      <c r="A469" s="1" t="str">
        <f t="shared" si="56"/>
        <v/>
      </c>
      <c r="B469" s="17"/>
      <c r="C469" s="18" t="str">
        <f>IF(B469="","",COUNTIF(INDEX($B:$B,5):B469,B469))</f>
        <v/>
      </c>
      <c r="D469" s="17"/>
      <c r="E469" s="19" t="str">
        <f t="shared" si="57"/>
        <v/>
      </c>
      <c r="F469" s="18" t="str">
        <f t="shared" si="58"/>
        <v/>
      </c>
      <c r="G469" s="6"/>
      <c r="H469" s="20" t="str">
        <f t="shared" si="59"/>
        <v/>
      </c>
      <c r="I469" s="21"/>
      <c r="J469" s="22" t="str">
        <f t="shared" si="60"/>
        <v/>
      </c>
      <c r="K469" s="20" t="str">
        <f t="shared" si="61"/>
        <v/>
      </c>
      <c r="L469" s="20" t="str">
        <f t="shared" si="62"/>
        <v/>
      </c>
      <c r="M469" s="6"/>
      <c r="N469" s="19" t="str">
        <f t="shared" si="63"/>
        <v/>
      </c>
      <c r="O469" s="23" t="str">
        <f>IF(B469="","",TRIM(IF(COUNTIF('Registru comenzi'!$B$5:$B$304,B469)=0,"Comandă inexistentă în registru. ","")&amp;IF(AND(D469&lt;&gt;"",E469=""),"Cod necunoscut. ","")&amp;IF(N(G469)&lt;=0,"Lipsește cantitatea. ","")&amp;IF(N(M469)&gt;N(G469),"Livrat mai mult decât s-a comandat. ","")&amp;IF(N(I469)&gt;0.3,"Discount neobișnuit de mare. ","")))</f>
        <v/>
      </c>
    </row>
    <row r="470" spans="1:15" x14ac:dyDescent="0.2">
      <c r="A470" s="1" t="str">
        <f t="shared" si="56"/>
        <v/>
      </c>
      <c r="B470" s="17"/>
      <c r="C470" s="18" t="str">
        <f>IF(B470="","",COUNTIF(INDEX($B:$B,5):B470,B470))</f>
        <v/>
      </c>
      <c r="D470" s="17"/>
      <c r="E470" s="19" t="str">
        <f t="shared" si="57"/>
        <v/>
      </c>
      <c r="F470" s="18" t="str">
        <f t="shared" si="58"/>
        <v/>
      </c>
      <c r="G470" s="6"/>
      <c r="H470" s="20" t="str">
        <f t="shared" si="59"/>
        <v/>
      </c>
      <c r="I470" s="21"/>
      <c r="J470" s="22" t="str">
        <f t="shared" si="60"/>
        <v/>
      </c>
      <c r="K470" s="20" t="str">
        <f t="shared" si="61"/>
        <v/>
      </c>
      <c r="L470" s="20" t="str">
        <f t="shared" si="62"/>
        <v/>
      </c>
      <c r="M470" s="6"/>
      <c r="N470" s="19" t="str">
        <f t="shared" si="63"/>
        <v/>
      </c>
      <c r="O470" s="23" t="str">
        <f>IF(B470="","",TRIM(IF(COUNTIF('Registru comenzi'!$B$5:$B$304,B470)=0,"Comandă inexistentă în registru. ","")&amp;IF(AND(D470&lt;&gt;"",E470=""),"Cod necunoscut. ","")&amp;IF(N(G470)&lt;=0,"Lipsește cantitatea. ","")&amp;IF(N(M470)&gt;N(G470),"Livrat mai mult decât s-a comandat. ","")&amp;IF(N(I470)&gt;0.3,"Discount neobișnuit de mare. ","")))</f>
        <v/>
      </c>
    </row>
    <row r="471" spans="1:15" x14ac:dyDescent="0.2">
      <c r="A471" s="1" t="str">
        <f t="shared" si="56"/>
        <v/>
      </c>
      <c r="B471" s="17"/>
      <c r="C471" s="18" t="str">
        <f>IF(B471="","",COUNTIF(INDEX($B:$B,5):B471,B471))</f>
        <v/>
      </c>
      <c r="D471" s="17"/>
      <c r="E471" s="19" t="str">
        <f t="shared" si="57"/>
        <v/>
      </c>
      <c r="F471" s="18" t="str">
        <f t="shared" si="58"/>
        <v/>
      </c>
      <c r="G471" s="6"/>
      <c r="H471" s="20" t="str">
        <f t="shared" si="59"/>
        <v/>
      </c>
      <c r="I471" s="21"/>
      <c r="J471" s="22" t="str">
        <f t="shared" si="60"/>
        <v/>
      </c>
      <c r="K471" s="20" t="str">
        <f t="shared" si="61"/>
        <v/>
      </c>
      <c r="L471" s="20" t="str">
        <f t="shared" si="62"/>
        <v/>
      </c>
      <c r="M471" s="6"/>
      <c r="N471" s="19" t="str">
        <f t="shared" si="63"/>
        <v/>
      </c>
      <c r="O471" s="23" t="str">
        <f>IF(B471="","",TRIM(IF(COUNTIF('Registru comenzi'!$B$5:$B$304,B471)=0,"Comandă inexistentă în registru. ","")&amp;IF(AND(D471&lt;&gt;"",E471=""),"Cod necunoscut. ","")&amp;IF(N(G471)&lt;=0,"Lipsește cantitatea. ","")&amp;IF(N(M471)&gt;N(G471),"Livrat mai mult decât s-a comandat. ","")&amp;IF(N(I471)&gt;0.3,"Discount neobișnuit de mare. ","")))</f>
        <v/>
      </c>
    </row>
    <row r="472" spans="1:15" x14ac:dyDescent="0.2">
      <c r="A472" s="1" t="str">
        <f t="shared" si="56"/>
        <v/>
      </c>
      <c r="B472" s="17"/>
      <c r="C472" s="18" t="str">
        <f>IF(B472="","",COUNTIF(INDEX($B:$B,5):B472,B472))</f>
        <v/>
      </c>
      <c r="D472" s="17"/>
      <c r="E472" s="19" t="str">
        <f t="shared" si="57"/>
        <v/>
      </c>
      <c r="F472" s="18" t="str">
        <f t="shared" si="58"/>
        <v/>
      </c>
      <c r="G472" s="6"/>
      <c r="H472" s="20" t="str">
        <f t="shared" si="59"/>
        <v/>
      </c>
      <c r="I472" s="21"/>
      <c r="J472" s="22" t="str">
        <f t="shared" si="60"/>
        <v/>
      </c>
      <c r="K472" s="20" t="str">
        <f t="shared" si="61"/>
        <v/>
      </c>
      <c r="L472" s="20" t="str">
        <f t="shared" si="62"/>
        <v/>
      </c>
      <c r="M472" s="6"/>
      <c r="N472" s="19" t="str">
        <f t="shared" si="63"/>
        <v/>
      </c>
      <c r="O472" s="23" t="str">
        <f>IF(B472="","",TRIM(IF(COUNTIF('Registru comenzi'!$B$5:$B$304,B472)=0,"Comandă inexistentă în registru. ","")&amp;IF(AND(D472&lt;&gt;"",E472=""),"Cod necunoscut. ","")&amp;IF(N(G472)&lt;=0,"Lipsește cantitatea. ","")&amp;IF(N(M472)&gt;N(G472),"Livrat mai mult decât s-a comandat. ","")&amp;IF(N(I472)&gt;0.3,"Discount neobișnuit de mare. ","")))</f>
        <v/>
      </c>
    </row>
    <row r="473" spans="1:15" x14ac:dyDescent="0.2">
      <c r="A473" s="1" t="str">
        <f t="shared" si="56"/>
        <v/>
      </c>
      <c r="B473" s="17"/>
      <c r="C473" s="18" t="str">
        <f>IF(B473="","",COUNTIF(INDEX($B:$B,5):B473,B473))</f>
        <v/>
      </c>
      <c r="D473" s="17"/>
      <c r="E473" s="19" t="str">
        <f t="shared" si="57"/>
        <v/>
      </c>
      <c r="F473" s="18" t="str">
        <f t="shared" si="58"/>
        <v/>
      </c>
      <c r="G473" s="6"/>
      <c r="H473" s="20" t="str">
        <f t="shared" si="59"/>
        <v/>
      </c>
      <c r="I473" s="21"/>
      <c r="J473" s="22" t="str">
        <f t="shared" si="60"/>
        <v/>
      </c>
      <c r="K473" s="20" t="str">
        <f t="shared" si="61"/>
        <v/>
      </c>
      <c r="L473" s="20" t="str">
        <f t="shared" si="62"/>
        <v/>
      </c>
      <c r="M473" s="6"/>
      <c r="N473" s="19" t="str">
        <f t="shared" si="63"/>
        <v/>
      </c>
      <c r="O473" s="23" t="str">
        <f>IF(B473="","",TRIM(IF(COUNTIF('Registru comenzi'!$B$5:$B$304,B473)=0,"Comandă inexistentă în registru. ","")&amp;IF(AND(D473&lt;&gt;"",E473=""),"Cod necunoscut. ","")&amp;IF(N(G473)&lt;=0,"Lipsește cantitatea. ","")&amp;IF(N(M473)&gt;N(G473),"Livrat mai mult decât s-a comandat. ","")&amp;IF(N(I473)&gt;0.3,"Discount neobișnuit de mare. ","")))</f>
        <v/>
      </c>
    </row>
    <row r="474" spans="1:15" x14ac:dyDescent="0.2">
      <c r="A474" s="1" t="str">
        <f t="shared" si="56"/>
        <v/>
      </c>
      <c r="B474" s="17"/>
      <c r="C474" s="18" t="str">
        <f>IF(B474="","",COUNTIF(INDEX($B:$B,5):B474,B474))</f>
        <v/>
      </c>
      <c r="D474" s="17"/>
      <c r="E474" s="19" t="str">
        <f t="shared" si="57"/>
        <v/>
      </c>
      <c r="F474" s="18" t="str">
        <f t="shared" si="58"/>
        <v/>
      </c>
      <c r="G474" s="6"/>
      <c r="H474" s="20" t="str">
        <f t="shared" si="59"/>
        <v/>
      </c>
      <c r="I474" s="21"/>
      <c r="J474" s="22" t="str">
        <f t="shared" si="60"/>
        <v/>
      </c>
      <c r="K474" s="20" t="str">
        <f t="shared" si="61"/>
        <v/>
      </c>
      <c r="L474" s="20" t="str">
        <f t="shared" si="62"/>
        <v/>
      </c>
      <c r="M474" s="6"/>
      <c r="N474" s="19" t="str">
        <f t="shared" si="63"/>
        <v/>
      </c>
      <c r="O474" s="23" t="str">
        <f>IF(B474="","",TRIM(IF(COUNTIF('Registru comenzi'!$B$5:$B$304,B474)=0,"Comandă inexistentă în registru. ","")&amp;IF(AND(D474&lt;&gt;"",E474=""),"Cod necunoscut. ","")&amp;IF(N(G474)&lt;=0,"Lipsește cantitatea. ","")&amp;IF(N(M474)&gt;N(G474),"Livrat mai mult decât s-a comandat. ","")&amp;IF(N(I474)&gt;0.3,"Discount neobișnuit de mare. ","")))</f>
        <v/>
      </c>
    </row>
    <row r="475" spans="1:15" x14ac:dyDescent="0.2">
      <c r="A475" s="1" t="str">
        <f t="shared" si="56"/>
        <v/>
      </c>
      <c r="B475" s="17"/>
      <c r="C475" s="18" t="str">
        <f>IF(B475="","",COUNTIF(INDEX($B:$B,5):B475,B475))</f>
        <v/>
      </c>
      <c r="D475" s="17"/>
      <c r="E475" s="19" t="str">
        <f t="shared" si="57"/>
        <v/>
      </c>
      <c r="F475" s="18" t="str">
        <f t="shared" si="58"/>
        <v/>
      </c>
      <c r="G475" s="6"/>
      <c r="H475" s="20" t="str">
        <f t="shared" si="59"/>
        <v/>
      </c>
      <c r="I475" s="21"/>
      <c r="J475" s="22" t="str">
        <f t="shared" si="60"/>
        <v/>
      </c>
      <c r="K475" s="20" t="str">
        <f t="shared" si="61"/>
        <v/>
      </c>
      <c r="L475" s="20" t="str">
        <f t="shared" si="62"/>
        <v/>
      </c>
      <c r="M475" s="6"/>
      <c r="N475" s="19" t="str">
        <f t="shared" si="63"/>
        <v/>
      </c>
      <c r="O475" s="23" t="str">
        <f>IF(B475="","",TRIM(IF(COUNTIF('Registru comenzi'!$B$5:$B$304,B475)=0,"Comandă inexistentă în registru. ","")&amp;IF(AND(D475&lt;&gt;"",E475=""),"Cod necunoscut. ","")&amp;IF(N(G475)&lt;=0,"Lipsește cantitatea. ","")&amp;IF(N(M475)&gt;N(G475),"Livrat mai mult decât s-a comandat. ","")&amp;IF(N(I475)&gt;0.3,"Discount neobișnuit de mare. ","")))</f>
        <v/>
      </c>
    </row>
    <row r="476" spans="1:15" x14ac:dyDescent="0.2">
      <c r="A476" s="1" t="str">
        <f t="shared" si="56"/>
        <v/>
      </c>
      <c r="B476" s="17"/>
      <c r="C476" s="18" t="str">
        <f>IF(B476="","",COUNTIF(INDEX($B:$B,5):B476,B476))</f>
        <v/>
      </c>
      <c r="D476" s="17"/>
      <c r="E476" s="19" t="str">
        <f t="shared" si="57"/>
        <v/>
      </c>
      <c r="F476" s="18" t="str">
        <f t="shared" si="58"/>
        <v/>
      </c>
      <c r="G476" s="6"/>
      <c r="H476" s="20" t="str">
        <f t="shared" si="59"/>
        <v/>
      </c>
      <c r="I476" s="21"/>
      <c r="J476" s="22" t="str">
        <f t="shared" si="60"/>
        <v/>
      </c>
      <c r="K476" s="20" t="str">
        <f t="shared" si="61"/>
        <v/>
      </c>
      <c r="L476" s="20" t="str">
        <f t="shared" si="62"/>
        <v/>
      </c>
      <c r="M476" s="6"/>
      <c r="N476" s="19" t="str">
        <f t="shared" si="63"/>
        <v/>
      </c>
      <c r="O476" s="23" t="str">
        <f>IF(B476="","",TRIM(IF(COUNTIF('Registru comenzi'!$B$5:$B$304,B476)=0,"Comandă inexistentă în registru. ","")&amp;IF(AND(D476&lt;&gt;"",E476=""),"Cod necunoscut. ","")&amp;IF(N(G476)&lt;=0,"Lipsește cantitatea. ","")&amp;IF(N(M476)&gt;N(G476),"Livrat mai mult decât s-a comandat. ","")&amp;IF(N(I476)&gt;0.3,"Discount neobișnuit de mare. ","")))</f>
        <v/>
      </c>
    </row>
    <row r="477" spans="1:15" x14ac:dyDescent="0.2">
      <c r="A477" s="1" t="str">
        <f t="shared" si="56"/>
        <v/>
      </c>
      <c r="B477" s="17"/>
      <c r="C477" s="18" t="str">
        <f>IF(B477="","",COUNTIF(INDEX($B:$B,5):B477,B477))</f>
        <v/>
      </c>
      <c r="D477" s="17"/>
      <c r="E477" s="19" t="str">
        <f t="shared" si="57"/>
        <v/>
      </c>
      <c r="F477" s="18" t="str">
        <f t="shared" si="58"/>
        <v/>
      </c>
      <c r="G477" s="6"/>
      <c r="H477" s="20" t="str">
        <f t="shared" si="59"/>
        <v/>
      </c>
      <c r="I477" s="21"/>
      <c r="J477" s="22" t="str">
        <f t="shared" si="60"/>
        <v/>
      </c>
      <c r="K477" s="20" t="str">
        <f t="shared" si="61"/>
        <v/>
      </c>
      <c r="L477" s="20" t="str">
        <f t="shared" si="62"/>
        <v/>
      </c>
      <c r="M477" s="6"/>
      <c r="N477" s="19" t="str">
        <f t="shared" si="63"/>
        <v/>
      </c>
      <c r="O477" s="23" t="str">
        <f>IF(B477="","",TRIM(IF(COUNTIF('Registru comenzi'!$B$5:$B$304,B477)=0,"Comandă inexistentă în registru. ","")&amp;IF(AND(D477&lt;&gt;"",E477=""),"Cod necunoscut. ","")&amp;IF(N(G477)&lt;=0,"Lipsește cantitatea. ","")&amp;IF(N(M477)&gt;N(G477),"Livrat mai mult decât s-a comandat. ","")&amp;IF(N(I477)&gt;0.3,"Discount neobișnuit de mare. ","")))</f>
        <v/>
      </c>
    </row>
    <row r="478" spans="1:15" x14ac:dyDescent="0.2">
      <c r="A478" s="1" t="str">
        <f t="shared" si="56"/>
        <v/>
      </c>
      <c r="B478" s="17"/>
      <c r="C478" s="18" t="str">
        <f>IF(B478="","",COUNTIF(INDEX($B:$B,5):B478,B478))</f>
        <v/>
      </c>
      <c r="D478" s="17"/>
      <c r="E478" s="19" t="str">
        <f t="shared" si="57"/>
        <v/>
      </c>
      <c r="F478" s="18" t="str">
        <f t="shared" si="58"/>
        <v/>
      </c>
      <c r="G478" s="6"/>
      <c r="H478" s="20" t="str">
        <f t="shared" si="59"/>
        <v/>
      </c>
      <c r="I478" s="21"/>
      <c r="J478" s="22" t="str">
        <f t="shared" si="60"/>
        <v/>
      </c>
      <c r="K478" s="20" t="str">
        <f t="shared" si="61"/>
        <v/>
      </c>
      <c r="L478" s="20" t="str">
        <f t="shared" si="62"/>
        <v/>
      </c>
      <c r="M478" s="6"/>
      <c r="N478" s="19" t="str">
        <f t="shared" si="63"/>
        <v/>
      </c>
      <c r="O478" s="23" t="str">
        <f>IF(B478="","",TRIM(IF(COUNTIF('Registru comenzi'!$B$5:$B$304,B478)=0,"Comandă inexistentă în registru. ","")&amp;IF(AND(D478&lt;&gt;"",E478=""),"Cod necunoscut. ","")&amp;IF(N(G478)&lt;=0,"Lipsește cantitatea. ","")&amp;IF(N(M478)&gt;N(G478),"Livrat mai mult decât s-a comandat. ","")&amp;IF(N(I478)&gt;0.3,"Discount neobișnuit de mare. ","")))</f>
        <v/>
      </c>
    </row>
    <row r="479" spans="1:15" x14ac:dyDescent="0.2">
      <c r="A479" s="1" t="str">
        <f t="shared" si="56"/>
        <v/>
      </c>
      <c r="B479" s="17"/>
      <c r="C479" s="18" t="str">
        <f>IF(B479="","",COUNTIF(INDEX($B:$B,5):B479,B479))</f>
        <v/>
      </c>
      <c r="D479" s="17"/>
      <c r="E479" s="19" t="str">
        <f t="shared" si="57"/>
        <v/>
      </c>
      <c r="F479" s="18" t="str">
        <f t="shared" si="58"/>
        <v/>
      </c>
      <c r="G479" s="6"/>
      <c r="H479" s="20" t="str">
        <f t="shared" si="59"/>
        <v/>
      </c>
      <c r="I479" s="21"/>
      <c r="J479" s="22" t="str">
        <f t="shared" si="60"/>
        <v/>
      </c>
      <c r="K479" s="20" t="str">
        <f t="shared" si="61"/>
        <v/>
      </c>
      <c r="L479" s="20" t="str">
        <f t="shared" si="62"/>
        <v/>
      </c>
      <c r="M479" s="6"/>
      <c r="N479" s="19" t="str">
        <f t="shared" si="63"/>
        <v/>
      </c>
      <c r="O479" s="23" t="str">
        <f>IF(B479="","",TRIM(IF(COUNTIF('Registru comenzi'!$B$5:$B$304,B479)=0,"Comandă inexistentă în registru. ","")&amp;IF(AND(D479&lt;&gt;"",E479=""),"Cod necunoscut. ","")&amp;IF(N(G479)&lt;=0,"Lipsește cantitatea. ","")&amp;IF(N(M479)&gt;N(G479),"Livrat mai mult decât s-a comandat. ","")&amp;IF(N(I479)&gt;0.3,"Discount neobișnuit de mare. ","")))</f>
        <v/>
      </c>
    </row>
    <row r="480" spans="1:15" x14ac:dyDescent="0.2">
      <c r="A480" s="1" t="str">
        <f t="shared" si="56"/>
        <v/>
      </c>
      <c r="B480" s="17"/>
      <c r="C480" s="18" t="str">
        <f>IF(B480="","",COUNTIF(INDEX($B:$B,5):B480,B480))</f>
        <v/>
      </c>
      <c r="D480" s="17"/>
      <c r="E480" s="19" t="str">
        <f t="shared" si="57"/>
        <v/>
      </c>
      <c r="F480" s="18" t="str">
        <f t="shared" si="58"/>
        <v/>
      </c>
      <c r="G480" s="6"/>
      <c r="H480" s="20" t="str">
        <f t="shared" si="59"/>
        <v/>
      </c>
      <c r="I480" s="21"/>
      <c r="J480" s="22" t="str">
        <f t="shared" si="60"/>
        <v/>
      </c>
      <c r="K480" s="20" t="str">
        <f t="shared" si="61"/>
        <v/>
      </c>
      <c r="L480" s="20" t="str">
        <f t="shared" si="62"/>
        <v/>
      </c>
      <c r="M480" s="6"/>
      <c r="N480" s="19" t="str">
        <f t="shared" si="63"/>
        <v/>
      </c>
      <c r="O480" s="23" t="str">
        <f>IF(B480="","",TRIM(IF(COUNTIF('Registru comenzi'!$B$5:$B$304,B480)=0,"Comandă inexistentă în registru. ","")&amp;IF(AND(D480&lt;&gt;"",E480=""),"Cod necunoscut. ","")&amp;IF(N(G480)&lt;=0,"Lipsește cantitatea. ","")&amp;IF(N(M480)&gt;N(G480),"Livrat mai mult decât s-a comandat. ","")&amp;IF(N(I480)&gt;0.3,"Discount neobișnuit de mare. ","")))</f>
        <v/>
      </c>
    </row>
    <row r="481" spans="1:15" x14ac:dyDescent="0.2">
      <c r="A481" s="1" t="str">
        <f t="shared" si="56"/>
        <v/>
      </c>
      <c r="B481" s="17"/>
      <c r="C481" s="18" t="str">
        <f>IF(B481="","",COUNTIF(INDEX($B:$B,5):B481,B481))</f>
        <v/>
      </c>
      <c r="D481" s="17"/>
      <c r="E481" s="19" t="str">
        <f t="shared" si="57"/>
        <v/>
      </c>
      <c r="F481" s="18" t="str">
        <f t="shared" si="58"/>
        <v/>
      </c>
      <c r="G481" s="6"/>
      <c r="H481" s="20" t="str">
        <f t="shared" si="59"/>
        <v/>
      </c>
      <c r="I481" s="21"/>
      <c r="J481" s="22" t="str">
        <f t="shared" si="60"/>
        <v/>
      </c>
      <c r="K481" s="20" t="str">
        <f t="shared" si="61"/>
        <v/>
      </c>
      <c r="L481" s="20" t="str">
        <f t="shared" si="62"/>
        <v/>
      </c>
      <c r="M481" s="6"/>
      <c r="N481" s="19" t="str">
        <f t="shared" si="63"/>
        <v/>
      </c>
      <c r="O481" s="23" t="str">
        <f>IF(B481="","",TRIM(IF(COUNTIF('Registru comenzi'!$B$5:$B$304,B481)=0,"Comandă inexistentă în registru. ","")&amp;IF(AND(D481&lt;&gt;"",E481=""),"Cod necunoscut. ","")&amp;IF(N(G481)&lt;=0,"Lipsește cantitatea. ","")&amp;IF(N(M481)&gt;N(G481),"Livrat mai mult decât s-a comandat. ","")&amp;IF(N(I481)&gt;0.3,"Discount neobișnuit de mare. ","")))</f>
        <v/>
      </c>
    </row>
    <row r="482" spans="1:15" x14ac:dyDescent="0.2">
      <c r="A482" s="1" t="str">
        <f t="shared" si="56"/>
        <v/>
      </c>
      <c r="B482" s="17"/>
      <c r="C482" s="18" t="str">
        <f>IF(B482="","",COUNTIF(INDEX($B:$B,5):B482,B482))</f>
        <v/>
      </c>
      <c r="D482" s="17"/>
      <c r="E482" s="19" t="str">
        <f t="shared" si="57"/>
        <v/>
      </c>
      <c r="F482" s="18" t="str">
        <f t="shared" si="58"/>
        <v/>
      </c>
      <c r="G482" s="6"/>
      <c r="H482" s="20" t="str">
        <f t="shared" si="59"/>
        <v/>
      </c>
      <c r="I482" s="21"/>
      <c r="J482" s="22" t="str">
        <f t="shared" si="60"/>
        <v/>
      </c>
      <c r="K482" s="20" t="str">
        <f t="shared" si="61"/>
        <v/>
      </c>
      <c r="L482" s="20" t="str">
        <f t="shared" si="62"/>
        <v/>
      </c>
      <c r="M482" s="6"/>
      <c r="N482" s="19" t="str">
        <f t="shared" si="63"/>
        <v/>
      </c>
      <c r="O482" s="23" t="str">
        <f>IF(B482="","",TRIM(IF(COUNTIF('Registru comenzi'!$B$5:$B$304,B482)=0,"Comandă inexistentă în registru. ","")&amp;IF(AND(D482&lt;&gt;"",E482=""),"Cod necunoscut. ","")&amp;IF(N(G482)&lt;=0,"Lipsește cantitatea. ","")&amp;IF(N(M482)&gt;N(G482),"Livrat mai mult decât s-a comandat. ","")&amp;IF(N(I482)&gt;0.3,"Discount neobișnuit de mare. ","")))</f>
        <v/>
      </c>
    </row>
    <row r="483" spans="1:15" x14ac:dyDescent="0.2">
      <c r="A483" s="1" t="str">
        <f t="shared" si="56"/>
        <v/>
      </c>
      <c r="B483" s="17"/>
      <c r="C483" s="18" t="str">
        <f>IF(B483="","",COUNTIF(INDEX($B:$B,5):B483,B483))</f>
        <v/>
      </c>
      <c r="D483" s="17"/>
      <c r="E483" s="19" t="str">
        <f t="shared" si="57"/>
        <v/>
      </c>
      <c r="F483" s="18" t="str">
        <f t="shared" si="58"/>
        <v/>
      </c>
      <c r="G483" s="6"/>
      <c r="H483" s="20" t="str">
        <f t="shared" si="59"/>
        <v/>
      </c>
      <c r="I483" s="21"/>
      <c r="J483" s="22" t="str">
        <f t="shared" si="60"/>
        <v/>
      </c>
      <c r="K483" s="20" t="str">
        <f t="shared" si="61"/>
        <v/>
      </c>
      <c r="L483" s="20" t="str">
        <f t="shared" si="62"/>
        <v/>
      </c>
      <c r="M483" s="6"/>
      <c r="N483" s="19" t="str">
        <f t="shared" si="63"/>
        <v/>
      </c>
      <c r="O483" s="23" t="str">
        <f>IF(B483="","",TRIM(IF(COUNTIF('Registru comenzi'!$B$5:$B$304,B483)=0,"Comandă inexistentă în registru. ","")&amp;IF(AND(D483&lt;&gt;"",E483=""),"Cod necunoscut. ","")&amp;IF(N(G483)&lt;=0,"Lipsește cantitatea. ","")&amp;IF(N(M483)&gt;N(G483),"Livrat mai mult decât s-a comandat. ","")&amp;IF(N(I483)&gt;0.3,"Discount neobișnuit de mare. ","")))</f>
        <v/>
      </c>
    </row>
    <row r="484" spans="1:15" x14ac:dyDescent="0.2">
      <c r="A484" s="1" t="str">
        <f t="shared" si="56"/>
        <v/>
      </c>
      <c r="B484" s="17"/>
      <c r="C484" s="18" t="str">
        <f>IF(B484="","",COUNTIF(INDEX($B:$B,5):B484,B484))</f>
        <v/>
      </c>
      <c r="D484" s="17"/>
      <c r="E484" s="19" t="str">
        <f t="shared" si="57"/>
        <v/>
      </c>
      <c r="F484" s="18" t="str">
        <f t="shared" si="58"/>
        <v/>
      </c>
      <c r="G484" s="6"/>
      <c r="H484" s="20" t="str">
        <f t="shared" si="59"/>
        <v/>
      </c>
      <c r="I484" s="21"/>
      <c r="J484" s="22" t="str">
        <f t="shared" si="60"/>
        <v/>
      </c>
      <c r="K484" s="20" t="str">
        <f t="shared" si="61"/>
        <v/>
      </c>
      <c r="L484" s="20" t="str">
        <f t="shared" si="62"/>
        <v/>
      </c>
      <c r="M484" s="6"/>
      <c r="N484" s="19" t="str">
        <f t="shared" si="63"/>
        <v/>
      </c>
      <c r="O484" s="23" t="str">
        <f>IF(B484="","",TRIM(IF(COUNTIF('Registru comenzi'!$B$5:$B$304,B484)=0,"Comandă inexistentă în registru. ","")&amp;IF(AND(D484&lt;&gt;"",E484=""),"Cod necunoscut. ","")&amp;IF(N(G484)&lt;=0,"Lipsește cantitatea. ","")&amp;IF(N(M484)&gt;N(G484),"Livrat mai mult decât s-a comandat. ","")&amp;IF(N(I484)&gt;0.3,"Discount neobișnuit de mare. ","")))</f>
        <v/>
      </c>
    </row>
    <row r="485" spans="1:15" x14ac:dyDescent="0.2">
      <c r="A485" s="1" t="str">
        <f t="shared" si="56"/>
        <v/>
      </c>
      <c r="B485" s="17"/>
      <c r="C485" s="18" t="str">
        <f>IF(B485="","",COUNTIF(INDEX($B:$B,5):B485,B485))</f>
        <v/>
      </c>
      <c r="D485" s="17"/>
      <c r="E485" s="19" t="str">
        <f t="shared" si="57"/>
        <v/>
      </c>
      <c r="F485" s="18" t="str">
        <f t="shared" si="58"/>
        <v/>
      </c>
      <c r="G485" s="6"/>
      <c r="H485" s="20" t="str">
        <f t="shared" si="59"/>
        <v/>
      </c>
      <c r="I485" s="21"/>
      <c r="J485" s="22" t="str">
        <f t="shared" si="60"/>
        <v/>
      </c>
      <c r="K485" s="20" t="str">
        <f t="shared" si="61"/>
        <v/>
      </c>
      <c r="L485" s="20" t="str">
        <f t="shared" si="62"/>
        <v/>
      </c>
      <c r="M485" s="6"/>
      <c r="N485" s="19" t="str">
        <f t="shared" si="63"/>
        <v/>
      </c>
      <c r="O485" s="23" t="str">
        <f>IF(B485="","",TRIM(IF(COUNTIF('Registru comenzi'!$B$5:$B$304,B485)=0,"Comandă inexistentă în registru. ","")&amp;IF(AND(D485&lt;&gt;"",E485=""),"Cod necunoscut. ","")&amp;IF(N(G485)&lt;=0,"Lipsește cantitatea. ","")&amp;IF(N(M485)&gt;N(G485),"Livrat mai mult decât s-a comandat. ","")&amp;IF(N(I485)&gt;0.3,"Discount neobișnuit de mare. ","")))</f>
        <v/>
      </c>
    </row>
    <row r="486" spans="1:15" x14ac:dyDescent="0.2">
      <c r="A486" s="1" t="str">
        <f t="shared" si="56"/>
        <v/>
      </c>
      <c r="B486" s="17"/>
      <c r="C486" s="18" t="str">
        <f>IF(B486="","",COUNTIF(INDEX($B:$B,5):B486,B486))</f>
        <v/>
      </c>
      <c r="D486" s="17"/>
      <c r="E486" s="19" t="str">
        <f t="shared" si="57"/>
        <v/>
      </c>
      <c r="F486" s="18" t="str">
        <f t="shared" si="58"/>
        <v/>
      </c>
      <c r="G486" s="6"/>
      <c r="H486" s="20" t="str">
        <f t="shared" si="59"/>
        <v/>
      </c>
      <c r="I486" s="21"/>
      <c r="J486" s="22" t="str">
        <f t="shared" si="60"/>
        <v/>
      </c>
      <c r="K486" s="20" t="str">
        <f t="shared" si="61"/>
        <v/>
      </c>
      <c r="L486" s="20" t="str">
        <f t="shared" si="62"/>
        <v/>
      </c>
      <c r="M486" s="6"/>
      <c r="N486" s="19" t="str">
        <f t="shared" si="63"/>
        <v/>
      </c>
      <c r="O486" s="23" t="str">
        <f>IF(B486="","",TRIM(IF(COUNTIF('Registru comenzi'!$B$5:$B$304,B486)=0,"Comandă inexistentă în registru. ","")&amp;IF(AND(D486&lt;&gt;"",E486=""),"Cod necunoscut. ","")&amp;IF(N(G486)&lt;=0,"Lipsește cantitatea. ","")&amp;IF(N(M486)&gt;N(G486),"Livrat mai mult decât s-a comandat. ","")&amp;IF(N(I486)&gt;0.3,"Discount neobișnuit de mare. ","")))</f>
        <v/>
      </c>
    </row>
    <row r="487" spans="1:15" x14ac:dyDescent="0.2">
      <c r="A487" s="1" t="str">
        <f t="shared" si="56"/>
        <v/>
      </c>
      <c r="B487" s="17"/>
      <c r="C487" s="18" t="str">
        <f>IF(B487="","",COUNTIF(INDEX($B:$B,5):B487,B487))</f>
        <v/>
      </c>
      <c r="D487" s="17"/>
      <c r="E487" s="19" t="str">
        <f t="shared" si="57"/>
        <v/>
      </c>
      <c r="F487" s="18" t="str">
        <f t="shared" si="58"/>
        <v/>
      </c>
      <c r="G487" s="6"/>
      <c r="H487" s="20" t="str">
        <f t="shared" si="59"/>
        <v/>
      </c>
      <c r="I487" s="21"/>
      <c r="J487" s="22" t="str">
        <f t="shared" si="60"/>
        <v/>
      </c>
      <c r="K487" s="20" t="str">
        <f t="shared" si="61"/>
        <v/>
      </c>
      <c r="L487" s="20" t="str">
        <f t="shared" si="62"/>
        <v/>
      </c>
      <c r="M487" s="6"/>
      <c r="N487" s="19" t="str">
        <f t="shared" si="63"/>
        <v/>
      </c>
      <c r="O487" s="23" t="str">
        <f>IF(B487="","",TRIM(IF(COUNTIF('Registru comenzi'!$B$5:$B$304,B487)=0,"Comandă inexistentă în registru. ","")&amp;IF(AND(D487&lt;&gt;"",E487=""),"Cod necunoscut. ","")&amp;IF(N(G487)&lt;=0,"Lipsește cantitatea. ","")&amp;IF(N(M487)&gt;N(G487),"Livrat mai mult decât s-a comandat. ","")&amp;IF(N(I487)&gt;0.3,"Discount neobișnuit de mare. ","")))</f>
        <v/>
      </c>
    </row>
    <row r="488" spans="1:15" x14ac:dyDescent="0.2">
      <c r="A488" s="1" t="str">
        <f t="shared" si="56"/>
        <v/>
      </c>
      <c r="B488" s="17"/>
      <c r="C488" s="18" t="str">
        <f>IF(B488="","",COUNTIF(INDEX($B:$B,5):B488,B488))</f>
        <v/>
      </c>
      <c r="D488" s="17"/>
      <c r="E488" s="19" t="str">
        <f t="shared" si="57"/>
        <v/>
      </c>
      <c r="F488" s="18" t="str">
        <f t="shared" si="58"/>
        <v/>
      </c>
      <c r="G488" s="6"/>
      <c r="H488" s="20" t="str">
        <f t="shared" si="59"/>
        <v/>
      </c>
      <c r="I488" s="21"/>
      <c r="J488" s="22" t="str">
        <f t="shared" si="60"/>
        <v/>
      </c>
      <c r="K488" s="20" t="str">
        <f t="shared" si="61"/>
        <v/>
      </c>
      <c r="L488" s="20" t="str">
        <f t="shared" si="62"/>
        <v/>
      </c>
      <c r="M488" s="6"/>
      <c r="N488" s="19" t="str">
        <f t="shared" si="63"/>
        <v/>
      </c>
      <c r="O488" s="23" t="str">
        <f>IF(B488="","",TRIM(IF(COUNTIF('Registru comenzi'!$B$5:$B$304,B488)=0,"Comandă inexistentă în registru. ","")&amp;IF(AND(D488&lt;&gt;"",E488=""),"Cod necunoscut. ","")&amp;IF(N(G488)&lt;=0,"Lipsește cantitatea. ","")&amp;IF(N(M488)&gt;N(G488),"Livrat mai mult decât s-a comandat. ","")&amp;IF(N(I488)&gt;0.3,"Discount neobișnuit de mare. ","")))</f>
        <v/>
      </c>
    </row>
    <row r="489" spans="1:15" x14ac:dyDescent="0.2">
      <c r="A489" s="1" t="str">
        <f t="shared" si="56"/>
        <v/>
      </c>
      <c r="B489" s="17"/>
      <c r="C489" s="18" t="str">
        <f>IF(B489="","",COUNTIF(INDEX($B:$B,5):B489,B489))</f>
        <v/>
      </c>
      <c r="D489" s="17"/>
      <c r="E489" s="19" t="str">
        <f t="shared" si="57"/>
        <v/>
      </c>
      <c r="F489" s="18" t="str">
        <f t="shared" si="58"/>
        <v/>
      </c>
      <c r="G489" s="6"/>
      <c r="H489" s="20" t="str">
        <f t="shared" si="59"/>
        <v/>
      </c>
      <c r="I489" s="21"/>
      <c r="J489" s="22" t="str">
        <f t="shared" si="60"/>
        <v/>
      </c>
      <c r="K489" s="20" t="str">
        <f t="shared" si="61"/>
        <v/>
      </c>
      <c r="L489" s="20" t="str">
        <f t="shared" si="62"/>
        <v/>
      </c>
      <c r="M489" s="6"/>
      <c r="N489" s="19" t="str">
        <f t="shared" si="63"/>
        <v/>
      </c>
      <c r="O489" s="23" t="str">
        <f>IF(B489="","",TRIM(IF(COUNTIF('Registru comenzi'!$B$5:$B$304,B489)=0,"Comandă inexistentă în registru. ","")&amp;IF(AND(D489&lt;&gt;"",E489=""),"Cod necunoscut. ","")&amp;IF(N(G489)&lt;=0,"Lipsește cantitatea. ","")&amp;IF(N(M489)&gt;N(G489),"Livrat mai mult decât s-a comandat. ","")&amp;IF(N(I489)&gt;0.3,"Discount neobișnuit de mare. ","")))</f>
        <v/>
      </c>
    </row>
    <row r="490" spans="1:15" x14ac:dyDescent="0.2">
      <c r="A490" s="1" t="str">
        <f t="shared" si="56"/>
        <v/>
      </c>
      <c r="B490" s="17"/>
      <c r="C490" s="18" t="str">
        <f>IF(B490="","",COUNTIF(INDEX($B:$B,5):B490,B490))</f>
        <v/>
      </c>
      <c r="D490" s="17"/>
      <c r="E490" s="19" t="str">
        <f t="shared" si="57"/>
        <v/>
      </c>
      <c r="F490" s="18" t="str">
        <f t="shared" si="58"/>
        <v/>
      </c>
      <c r="G490" s="6"/>
      <c r="H490" s="20" t="str">
        <f t="shared" si="59"/>
        <v/>
      </c>
      <c r="I490" s="21"/>
      <c r="J490" s="22" t="str">
        <f t="shared" si="60"/>
        <v/>
      </c>
      <c r="K490" s="20" t="str">
        <f t="shared" si="61"/>
        <v/>
      </c>
      <c r="L490" s="20" t="str">
        <f t="shared" si="62"/>
        <v/>
      </c>
      <c r="M490" s="6"/>
      <c r="N490" s="19" t="str">
        <f t="shared" si="63"/>
        <v/>
      </c>
      <c r="O490" s="23" t="str">
        <f>IF(B490="","",TRIM(IF(COUNTIF('Registru comenzi'!$B$5:$B$304,B490)=0,"Comandă inexistentă în registru. ","")&amp;IF(AND(D490&lt;&gt;"",E490=""),"Cod necunoscut. ","")&amp;IF(N(G490)&lt;=0,"Lipsește cantitatea. ","")&amp;IF(N(M490)&gt;N(G490),"Livrat mai mult decât s-a comandat. ","")&amp;IF(N(I490)&gt;0.3,"Discount neobișnuit de mare. ","")))</f>
        <v/>
      </c>
    </row>
    <row r="491" spans="1:15" x14ac:dyDescent="0.2">
      <c r="A491" s="1" t="str">
        <f t="shared" si="56"/>
        <v/>
      </c>
      <c r="B491" s="17"/>
      <c r="C491" s="18" t="str">
        <f>IF(B491="","",COUNTIF(INDEX($B:$B,5):B491,B491))</f>
        <v/>
      </c>
      <c r="D491" s="17"/>
      <c r="E491" s="19" t="str">
        <f t="shared" si="57"/>
        <v/>
      </c>
      <c r="F491" s="18" t="str">
        <f t="shared" si="58"/>
        <v/>
      </c>
      <c r="G491" s="6"/>
      <c r="H491" s="20" t="str">
        <f t="shared" si="59"/>
        <v/>
      </c>
      <c r="I491" s="21"/>
      <c r="J491" s="22" t="str">
        <f t="shared" si="60"/>
        <v/>
      </c>
      <c r="K491" s="20" t="str">
        <f t="shared" si="61"/>
        <v/>
      </c>
      <c r="L491" s="20" t="str">
        <f t="shared" si="62"/>
        <v/>
      </c>
      <c r="M491" s="6"/>
      <c r="N491" s="19" t="str">
        <f t="shared" si="63"/>
        <v/>
      </c>
      <c r="O491" s="23" t="str">
        <f>IF(B491="","",TRIM(IF(COUNTIF('Registru comenzi'!$B$5:$B$304,B491)=0,"Comandă inexistentă în registru. ","")&amp;IF(AND(D491&lt;&gt;"",E491=""),"Cod necunoscut. ","")&amp;IF(N(G491)&lt;=0,"Lipsește cantitatea. ","")&amp;IF(N(M491)&gt;N(G491),"Livrat mai mult decât s-a comandat. ","")&amp;IF(N(I491)&gt;0.3,"Discount neobișnuit de mare. ","")))</f>
        <v/>
      </c>
    </row>
    <row r="492" spans="1:15" x14ac:dyDescent="0.2">
      <c r="A492" s="1" t="str">
        <f t="shared" si="56"/>
        <v/>
      </c>
      <c r="B492" s="17"/>
      <c r="C492" s="18" t="str">
        <f>IF(B492="","",COUNTIF(INDEX($B:$B,5):B492,B492))</f>
        <v/>
      </c>
      <c r="D492" s="17"/>
      <c r="E492" s="19" t="str">
        <f t="shared" si="57"/>
        <v/>
      </c>
      <c r="F492" s="18" t="str">
        <f t="shared" si="58"/>
        <v/>
      </c>
      <c r="G492" s="6"/>
      <c r="H492" s="20" t="str">
        <f t="shared" si="59"/>
        <v/>
      </c>
      <c r="I492" s="21"/>
      <c r="J492" s="22" t="str">
        <f t="shared" si="60"/>
        <v/>
      </c>
      <c r="K492" s="20" t="str">
        <f t="shared" si="61"/>
        <v/>
      </c>
      <c r="L492" s="20" t="str">
        <f t="shared" si="62"/>
        <v/>
      </c>
      <c r="M492" s="6"/>
      <c r="N492" s="19" t="str">
        <f t="shared" si="63"/>
        <v/>
      </c>
      <c r="O492" s="23" t="str">
        <f>IF(B492="","",TRIM(IF(COUNTIF('Registru comenzi'!$B$5:$B$304,B492)=0,"Comandă inexistentă în registru. ","")&amp;IF(AND(D492&lt;&gt;"",E492=""),"Cod necunoscut. ","")&amp;IF(N(G492)&lt;=0,"Lipsește cantitatea. ","")&amp;IF(N(M492)&gt;N(G492),"Livrat mai mult decât s-a comandat. ","")&amp;IF(N(I492)&gt;0.3,"Discount neobișnuit de mare. ","")))</f>
        <v/>
      </c>
    </row>
    <row r="493" spans="1:15" x14ac:dyDescent="0.2">
      <c r="A493" s="1" t="str">
        <f t="shared" si="56"/>
        <v/>
      </c>
      <c r="B493" s="17"/>
      <c r="C493" s="18" t="str">
        <f>IF(B493="","",COUNTIF(INDEX($B:$B,5):B493,B493))</f>
        <v/>
      </c>
      <c r="D493" s="17"/>
      <c r="E493" s="19" t="str">
        <f t="shared" si="57"/>
        <v/>
      </c>
      <c r="F493" s="18" t="str">
        <f t="shared" si="58"/>
        <v/>
      </c>
      <c r="G493" s="6"/>
      <c r="H493" s="20" t="str">
        <f t="shared" si="59"/>
        <v/>
      </c>
      <c r="I493" s="21"/>
      <c r="J493" s="22" t="str">
        <f t="shared" si="60"/>
        <v/>
      </c>
      <c r="K493" s="20" t="str">
        <f t="shared" si="61"/>
        <v/>
      </c>
      <c r="L493" s="20" t="str">
        <f t="shared" si="62"/>
        <v/>
      </c>
      <c r="M493" s="6"/>
      <c r="N493" s="19" t="str">
        <f t="shared" si="63"/>
        <v/>
      </c>
      <c r="O493" s="23" t="str">
        <f>IF(B493="","",TRIM(IF(COUNTIF('Registru comenzi'!$B$5:$B$304,B493)=0,"Comandă inexistentă în registru. ","")&amp;IF(AND(D493&lt;&gt;"",E493=""),"Cod necunoscut. ","")&amp;IF(N(G493)&lt;=0,"Lipsește cantitatea. ","")&amp;IF(N(M493)&gt;N(G493),"Livrat mai mult decât s-a comandat. ","")&amp;IF(N(I493)&gt;0.3,"Discount neobișnuit de mare. ","")))</f>
        <v/>
      </c>
    </row>
    <row r="494" spans="1:15" x14ac:dyDescent="0.2">
      <c r="A494" s="1" t="str">
        <f t="shared" si="56"/>
        <v/>
      </c>
      <c r="B494" s="17"/>
      <c r="C494" s="18" t="str">
        <f>IF(B494="","",COUNTIF(INDEX($B:$B,5):B494,B494))</f>
        <v/>
      </c>
      <c r="D494" s="17"/>
      <c r="E494" s="19" t="str">
        <f t="shared" si="57"/>
        <v/>
      </c>
      <c r="F494" s="18" t="str">
        <f t="shared" si="58"/>
        <v/>
      </c>
      <c r="G494" s="6"/>
      <c r="H494" s="20" t="str">
        <f t="shared" si="59"/>
        <v/>
      </c>
      <c r="I494" s="21"/>
      <c r="J494" s="22" t="str">
        <f t="shared" si="60"/>
        <v/>
      </c>
      <c r="K494" s="20" t="str">
        <f t="shared" si="61"/>
        <v/>
      </c>
      <c r="L494" s="20" t="str">
        <f t="shared" si="62"/>
        <v/>
      </c>
      <c r="M494" s="6"/>
      <c r="N494" s="19" t="str">
        <f t="shared" si="63"/>
        <v/>
      </c>
      <c r="O494" s="23" t="str">
        <f>IF(B494="","",TRIM(IF(COUNTIF('Registru comenzi'!$B$5:$B$304,B494)=0,"Comandă inexistentă în registru. ","")&amp;IF(AND(D494&lt;&gt;"",E494=""),"Cod necunoscut. ","")&amp;IF(N(G494)&lt;=0,"Lipsește cantitatea. ","")&amp;IF(N(M494)&gt;N(G494),"Livrat mai mult decât s-a comandat. ","")&amp;IF(N(I494)&gt;0.3,"Discount neobișnuit de mare. ","")))</f>
        <v/>
      </c>
    </row>
    <row r="495" spans="1:15" x14ac:dyDescent="0.2">
      <c r="A495" s="1" t="str">
        <f t="shared" si="56"/>
        <v/>
      </c>
      <c r="B495" s="17"/>
      <c r="C495" s="18" t="str">
        <f>IF(B495="","",COUNTIF(INDEX($B:$B,5):B495,B495))</f>
        <v/>
      </c>
      <c r="D495" s="17"/>
      <c r="E495" s="19" t="str">
        <f t="shared" si="57"/>
        <v/>
      </c>
      <c r="F495" s="18" t="str">
        <f t="shared" si="58"/>
        <v/>
      </c>
      <c r="G495" s="6"/>
      <c r="H495" s="20" t="str">
        <f t="shared" si="59"/>
        <v/>
      </c>
      <c r="I495" s="21"/>
      <c r="J495" s="22" t="str">
        <f t="shared" si="60"/>
        <v/>
      </c>
      <c r="K495" s="20" t="str">
        <f t="shared" si="61"/>
        <v/>
      </c>
      <c r="L495" s="20" t="str">
        <f t="shared" si="62"/>
        <v/>
      </c>
      <c r="M495" s="6"/>
      <c r="N495" s="19" t="str">
        <f t="shared" si="63"/>
        <v/>
      </c>
      <c r="O495" s="23" t="str">
        <f>IF(B495="","",TRIM(IF(COUNTIF('Registru comenzi'!$B$5:$B$304,B495)=0,"Comandă inexistentă în registru. ","")&amp;IF(AND(D495&lt;&gt;"",E495=""),"Cod necunoscut. ","")&amp;IF(N(G495)&lt;=0,"Lipsește cantitatea. ","")&amp;IF(N(M495)&gt;N(G495),"Livrat mai mult decât s-a comandat. ","")&amp;IF(N(I495)&gt;0.3,"Discount neobișnuit de mare. ","")))</f>
        <v/>
      </c>
    </row>
    <row r="496" spans="1:15" x14ac:dyDescent="0.2">
      <c r="A496" s="1" t="str">
        <f t="shared" si="56"/>
        <v/>
      </c>
      <c r="B496" s="17"/>
      <c r="C496" s="18" t="str">
        <f>IF(B496="","",COUNTIF(INDEX($B:$B,5):B496,B496))</f>
        <v/>
      </c>
      <c r="D496" s="17"/>
      <c r="E496" s="19" t="str">
        <f t="shared" si="57"/>
        <v/>
      </c>
      <c r="F496" s="18" t="str">
        <f t="shared" si="58"/>
        <v/>
      </c>
      <c r="G496" s="6"/>
      <c r="H496" s="20" t="str">
        <f t="shared" si="59"/>
        <v/>
      </c>
      <c r="I496" s="21"/>
      <c r="J496" s="22" t="str">
        <f t="shared" si="60"/>
        <v/>
      </c>
      <c r="K496" s="20" t="str">
        <f t="shared" si="61"/>
        <v/>
      </c>
      <c r="L496" s="20" t="str">
        <f t="shared" si="62"/>
        <v/>
      </c>
      <c r="M496" s="6"/>
      <c r="N496" s="19" t="str">
        <f t="shared" si="63"/>
        <v/>
      </c>
      <c r="O496" s="23" t="str">
        <f>IF(B496="","",TRIM(IF(COUNTIF('Registru comenzi'!$B$5:$B$304,B496)=0,"Comandă inexistentă în registru. ","")&amp;IF(AND(D496&lt;&gt;"",E496=""),"Cod necunoscut. ","")&amp;IF(N(G496)&lt;=0,"Lipsește cantitatea. ","")&amp;IF(N(M496)&gt;N(G496),"Livrat mai mult decât s-a comandat. ","")&amp;IF(N(I496)&gt;0.3,"Discount neobișnuit de mare. ","")))</f>
        <v/>
      </c>
    </row>
    <row r="497" spans="1:15" x14ac:dyDescent="0.2">
      <c r="A497" s="1" t="str">
        <f t="shared" si="56"/>
        <v/>
      </c>
      <c r="B497" s="17"/>
      <c r="C497" s="18" t="str">
        <f>IF(B497="","",COUNTIF(INDEX($B:$B,5):B497,B497))</f>
        <v/>
      </c>
      <c r="D497" s="17"/>
      <c r="E497" s="19" t="str">
        <f t="shared" si="57"/>
        <v/>
      </c>
      <c r="F497" s="18" t="str">
        <f t="shared" si="58"/>
        <v/>
      </c>
      <c r="G497" s="6"/>
      <c r="H497" s="20" t="str">
        <f t="shared" si="59"/>
        <v/>
      </c>
      <c r="I497" s="21"/>
      <c r="J497" s="22" t="str">
        <f t="shared" si="60"/>
        <v/>
      </c>
      <c r="K497" s="20" t="str">
        <f t="shared" si="61"/>
        <v/>
      </c>
      <c r="L497" s="20" t="str">
        <f t="shared" si="62"/>
        <v/>
      </c>
      <c r="M497" s="6"/>
      <c r="N497" s="19" t="str">
        <f t="shared" si="63"/>
        <v/>
      </c>
      <c r="O497" s="23" t="str">
        <f>IF(B497="","",TRIM(IF(COUNTIF('Registru comenzi'!$B$5:$B$304,B497)=0,"Comandă inexistentă în registru. ","")&amp;IF(AND(D497&lt;&gt;"",E497=""),"Cod necunoscut. ","")&amp;IF(N(G497)&lt;=0,"Lipsește cantitatea. ","")&amp;IF(N(M497)&gt;N(G497),"Livrat mai mult decât s-a comandat. ","")&amp;IF(N(I497)&gt;0.3,"Discount neobișnuit de mare. ","")))</f>
        <v/>
      </c>
    </row>
    <row r="498" spans="1:15" x14ac:dyDescent="0.2">
      <c r="A498" s="1" t="str">
        <f t="shared" si="56"/>
        <v/>
      </c>
      <c r="B498" s="17"/>
      <c r="C498" s="18" t="str">
        <f>IF(B498="","",COUNTIF(INDEX($B:$B,5):B498,B498))</f>
        <v/>
      </c>
      <c r="D498" s="17"/>
      <c r="E498" s="19" t="str">
        <f t="shared" si="57"/>
        <v/>
      </c>
      <c r="F498" s="18" t="str">
        <f t="shared" si="58"/>
        <v/>
      </c>
      <c r="G498" s="6"/>
      <c r="H498" s="20" t="str">
        <f t="shared" si="59"/>
        <v/>
      </c>
      <c r="I498" s="21"/>
      <c r="J498" s="22" t="str">
        <f t="shared" si="60"/>
        <v/>
      </c>
      <c r="K498" s="20" t="str">
        <f t="shared" si="61"/>
        <v/>
      </c>
      <c r="L498" s="20" t="str">
        <f t="shared" si="62"/>
        <v/>
      </c>
      <c r="M498" s="6"/>
      <c r="N498" s="19" t="str">
        <f t="shared" si="63"/>
        <v/>
      </c>
      <c r="O498" s="23" t="str">
        <f>IF(B498="","",TRIM(IF(COUNTIF('Registru comenzi'!$B$5:$B$304,B498)=0,"Comandă inexistentă în registru. ","")&amp;IF(AND(D498&lt;&gt;"",E498=""),"Cod necunoscut. ","")&amp;IF(N(G498)&lt;=0,"Lipsește cantitatea. ","")&amp;IF(N(M498)&gt;N(G498),"Livrat mai mult decât s-a comandat. ","")&amp;IF(N(I498)&gt;0.3,"Discount neobișnuit de mare. ","")))</f>
        <v/>
      </c>
    </row>
    <row r="499" spans="1:15" x14ac:dyDescent="0.2">
      <c r="A499" s="1" t="str">
        <f t="shared" si="56"/>
        <v/>
      </c>
      <c r="B499" s="17"/>
      <c r="C499" s="18" t="str">
        <f>IF(B499="","",COUNTIF(INDEX($B:$B,5):B499,B499))</f>
        <v/>
      </c>
      <c r="D499" s="17"/>
      <c r="E499" s="19" t="str">
        <f t="shared" si="57"/>
        <v/>
      </c>
      <c r="F499" s="18" t="str">
        <f t="shared" si="58"/>
        <v/>
      </c>
      <c r="G499" s="6"/>
      <c r="H499" s="20" t="str">
        <f t="shared" si="59"/>
        <v/>
      </c>
      <c r="I499" s="21"/>
      <c r="J499" s="22" t="str">
        <f t="shared" si="60"/>
        <v/>
      </c>
      <c r="K499" s="20" t="str">
        <f t="shared" si="61"/>
        <v/>
      </c>
      <c r="L499" s="20" t="str">
        <f t="shared" si="62"/>
        <v/>
      </c>
      <c r="M499" s="6"/>
      <c r="N499" s="19" t="str">
        <f t="shared" si="63"/>
        <v/>
      </c>
      <c r="O499" s="23" t="str">
        <f>IF(B499="","",TRIM(IF(COUNTIF('Registru comenzi'!$B$5:$B$304,B499)=0,"Comandă inexistentă în registru. ","")&amp;IF(AND(D499&lt;&gt;"",E499=""),"Cod necunoscut. ","")&amp;IF(N(G499)&lt;=0,"Lipsește cantitatea. ","")&amp;IF(N(M499)&gt;N(G499),"Livrat mai mult decât s-a comandat. ","")&amp;IF(N(I499)&gt;0.3,"Discount neobișnuit de mare. ","")))</f>
        <v/>
      </c>
    </row>
    <row r="500" spans="1:15" x14ac:dyDescent="0.2">
      <c r="A500" s="1" t="str">
        <f t="shared" si="56"/>
        <v/>
      </c>
      <c r="B500" s="17"/>
      <c r="C500" s="18" t="str">
        <f>IF(B500="","",COUNTIF(INDEX($B:$B,5):B500,B500))</f>
        <v/>
      </c>
      <c r="D500" s="17"/>
      <c r="E500" s="19" t="str">
        <f t="shared" si="57"/>
        <v/>
      </c>
      <c r="F500" s="18" t="str">
        <f t="shared" si="58"/>
        <v/>
      </c>
      <c r="G500" s="6"/>
      <c r="H500" s="20" t="str">
        <f t="shared" si="59"/>
        <v/>
      </c>
      <c r="I500" s="21"/>
      <c r="J500" s="22" t="str">
        <f t="shared" si="60"/>
        <v/>
      </c>
      <c r="K500" s="20" t="str">
        <f t="shared" si="61"/>
        <v/>
      </c>
      <c r="L500" s="20" t="str">
        <f t="shared" si="62"/>
        <v/>
      </c>
      <c r="M500" s="6"/>
      <c r="N500" s="19" t="str">
        <f t="shared" si="63"/>
        <v/>
      </c>
      <c r="O500" s="23" t="str">
        <f>IF(B500="","",TRIM(IF(COUNTIF('Registru comenzi'!$B$5:$B$304,B500)=0,"Comandă inexistentă în registru. ","")&amp;IF(AND(D500&lt;&gt;"",E500=""),"Cod necunoscut. ","")&amp;IF(N(G500)&lt;=0,"Lipsește cantitatea. ","")&amp;IF(N(M500)&gt;N(G500),"Livrat mai mult decât s-a comandat. ","")&amp;IF(N(I500)&gt;0.3,"Discount neobișnuit de mare. ","")))</f>
        <v/>
      </c>
    </row>
    <row r="501" spans="1:15" x14ac:dyDescent="0.2">
      <c r="A501" s="1" t="str">
        <f t="shared" si="56"/>
        <v/>
      </c>
      <c r="B501" s="17"/>
      <c r="C501" s="18" t="str">
        <f>IF(B501="","",COUNTIF(INDEX($B:$B,5):B501,B501))</f>
        <v/>
      </c>
      <c r="D501" s="17"/>
      <c r="E501" s="19" t="str">
        <f t="shared" si="57"/>
        <v/>
      </c>
      <c r="F501" s="18" t="str">
        <f t="shared" si="58"/>
        <v/>
      </c>
      <c r="G501" s="6"/>
      <c r="H501" s="20" t="str">
        <f t="shared" si="59"/>
        <v/>
      </c>
      <c r="I501" s="21"/>
      <c r="J501" s="22" t="str">
        <f t="shared" si="60"/>
        <v/>
      </c>
      <c r="K501" s="20" t="str">
        <f t="shared" si="61"/>
        <v/>
      </c>
      <c r="L501" s="20" t="str">
        <f t="shared" si="62"/>
        <v/>
      </c>
      <c r="M501" s="6"/>
      <c r="N501" s="19" t="str">
        <f t="shared" si="63"/>
        <v/>
      </c>
      <c r="O501" s="23" t="str">
        <f>IF(B501="","",TRIM(IF(COUNTIF('Registru comenzi'!$B$5:$B$304,B501)=0,"Comandă inexistentă în registru. ","")&amp;IF(AND(D501&lt;&gt;"",E501=""),"Cod necunoscut. ","")&amp;IF(N(G501)&lt;=0,"Lipsește cantitatea. ","")&amp;IF(N(M501)&gt;N(G501),"Livrat mai mult decât s-a comandat. ","")&amp;IF(N(I501)&gt;0.3,"Discount neobișnuit de mare. ","")))</f>
        <v/>
      </c>
    </row>
    <row r="502" spans="1:15" x14ac:dyDescent="0.2">
      <c r="A502" s="1" t="str">
        <f t="shared" si="56"/>
        <v/>
      </c>
      <c r="B502" s="17"/>
      <c r="C502" s="18" t="str">
        <f>IF(B502="","",COUNTIF(INDEX($B:$B,5):B502,B502))</f>
        <v/>
      </c>
      <c r="D502" s="17"/>
      <c r="E502" s="19" t="str">
        <f t="shared" si="57"/>
        <v/>
      </c>
      <c r="F502" s="18" t="str">
        <f t="shared" si="58"/>
        <v/>
      </c>
      <c r="G502" s="6"/>
      <c r="H502" s="20" t="str">
        <f t="shared" si="59"/>
        <v/>
      </c>
      <c r="I502" s="21"/>
      <c r="J502" s="22" t="str">
        <f t="shared" si="60"/>
        <v/>
      </c>
      <c r="K502" s="20" t="str">
        <f t="shared" si="61"/>
        <v/>
      </c>
      <c r="L502" s="20" t="str">
        <f t="shared" si="62"/>
        <v/>
      </c>
      <c r="M502" s="6"/>
      <c r="N502" s="19" t="str">
        <f t="shared" si="63"/>
        <v/>
      </c>
      <c r="O502" s="23" t="str">
        <f>IF(B502="","",TRIM(IF(COUNTIF('Registru comenzi'!$B$5:$B$304,B502)=0,"Comandă inexistentă în registru. ","")&amp;IF(AND(D502&lt;&gt;"",E502=""),"Cod necunoscut. ","")&amp;IF(N(G502)&lt;=0,"Lipsește cantitatea. ","")&amp;IF(N(M502)&gt;N(G502),"Livrat mai mult decât s-a comandat. ","")&amp;IF(N(I502)&gt;0.3,"Discount neobișnuit de mare. ","")))</f>
        <v/>
      </c>
    </row>
    <row r="503" spans="1:15" x14ac:dyDescent="0.2">
      <c r="A503" s="1" t="str">
        <f t="shared" si="56"/>
        <v/>
      </c>
      <c r="B503" s="17"/>
      <c r="C503" s="18" t="str">
        <f>IF(B503="","",COUNTIF(INDEX($B:$B,5):B503,B503))</f>
        <v/>
      </c>
      <c r="D503" s="17"/>
      <c r="E503" s="19" t="str">
        <f t="shared" si="57"/>
        <v/>
      </c>
      <c r="F503" s="18" t="str">
        <f t="shared" si="58"/>
        <v/>
      </c>
      <c r="G503" s="6"/>
      <c r="H503" s="20" t="str">
        <f t="shared" si="59"/>
        <v/>
      </c>
      <c r="I503" s="21"/>
      <c r="J503" s="22" t="str">
        <f t="shared" si="60"/>
        <v/>
      </c>
      <c r="K503" s="20" t="str">
        <f t="shared" si="61"/>
        <v/>
      </c>
      <c r="L503" s="20" t="str">
        <f t="shared" si="62"/>
        <v/>
      </c>
      <c r="M503" s="6"/>
      <c r="N503" s="19" t="str">
        <f t="shared" si="63"/>
        <v/>
      </c>
      <c r="O503" s="23" t="str">
        <f>IF(B503="","",TRIM(IF(COUNTIF('Registru comenzi'!$B$5:$B$304,B503)=0,"Comandă inexistentă în registru. ","")&amp;IF(AND(D503&lt;&gt;"",E503=""),"Cod necunoscut. ","")&amp;IF(N(G503)&lt;=0,"Lipsește cantitatea. ","")&amp;IF(N(M503)&gt;N(G503),"Livrat mai mult decât s-a comandat. ","")&amp;IF(N(I503)&gt;0.3,"Discount neobișnuit de mare. ","")))</f>
        <v/>
      </c>
    </row>
    <row r="504" spans="1:15" x14ac:dyDescent="0.2">
      <c r="A504" s="1" t="str">
        <f t="shared" si="56"/>
        <v/>
      </c>
      <c r="B504" s="17"/>
      <c r="C504" s="18" t="str">
        <f>IF(B504="","",COUNTIF(INDEX($B:$B,5):B504,B504))</f>
        <v/>
      </c>
      <c r="D504" s="17"/>
      <c r="E504" s="19" t="str">
        <f t="shared" si="57"/>
        <v/>
      </c>
      <c r="F504" s="18" t="str">
        <f t="shared" si="58"/>
        <v/>
      </c>
      <c r="G504" s="6"/>
      <c r="H504" s="20" t="str">
        <f t="shared" si="59"/>
        <v/>
      </c>
      <c r="I504" s="21"/>
      <c r="J504" s="22" t="str">
        <f t="shared" si="60"/>
        <v/>
      </c>
      <c r="K504" s="20" t="str">
        <f t="shared" si="61"/>
        <v/>
      </c>
      <c r="L504" s="20" t="str">
        <f t="shared" si="62"/>
        <v/>
      </c>
      <c r="M504" s="6"/>
      <c r="N504" s="19" t="str">
        <f t="shared" si="63"/>
        <v/>
      </c>
      <c r="O504" s="23" t="str">
        <f>IF(B504="","",TRIM(IF(COUNTIF('Registru comenzi'!$B$5:$B$304,B504)=0,"Comandă inexistentă în registru. ","")&amp;IF(AND(D504&lt;&gt;"",E504=""),"Cod necunoscut. ","")&amp;IF(N(G504)&lt;=0,"Lipsește cantitatea. ","")&amp;IF(N(M504)&gt;N(G504),"Livrat mai mult decât s-a comandat. ","")&amp;IF(N(I504)&gt;0.3,"Discount neobișnuit de mare. ","")))</f>
        <v/>
      </c>
    </row>
    <row r="505" spans="1:15" x14ac:dyDescent="0.2">
      <c r="A505" s="1" t="str">
        <f t="shared" si="56"/>
        <v/>
      </c>
      <c r="B505" s="17"/>
      <c r="C505" s="18" t="str">
        <f>IF(B505="","",COUNTIF(INDEX($B:$B,5):B505,B505))</f>
        <v/>
      </c>
      <c r="D505" s="17"/>
      <c r="E505" s="19" t="str">
        <f t="shared" si="57"/>
        <v/>
      </c>
      <c r="F505" s="18" t="str">
        <f t="shared" si="58"/>
        <v/>
      </c>
      <c r="G505" s="6"/>
      <c r="H505" s="20" t="str">
        <f t="shared" si="59"/>
        <v/>
      </c>
      <c r="I505" s="21"/>
      <c r="J505" s="22" t="str">
        <f t="shared" si="60"/>
        <v/>
      </c>
      <c r="K505" s="20" t="str">
        <f t="shared" si="61"/>
        <v/>
      </c>
      <c r="L505" s="20" t="str">
        <f t="shared" si="62"/>
        <v/>
      </c>
      <c r="M505" s="6"/>
      <c r="N505" s="19" t="str">
        <f t="shared" si="63"/>
        <v/>
      </c>
      <c r="O505" s="23" t="str">
        <f>IF(B505="","",TRIM(IF(COUNTIF('Registru comenzi'!$B$5:$B$304,B505)=0,"Comandă inexistentă în registru. ","")&amp;IF(AND(D505&lt;&gt;"",E505=""),"Cod necunoscut. ","")&amp;IF(N(G505)&lt;=0,"Lipsește cantitatea. ","")&amp;IF(N(M505)&gt;N(G505),"Livrat mai mult decât s-a comandat. ","")&amp;IF(N(I505)&gt;0.3,"Discount neobișnuit de mare. ","")))</f>
        <v/>
      </c>
    </row>
    <row r="506" spans="1:15" x14ac:dyDescent="0.2">
      <c r="A506" s="1" t="str">
        <f t="shared" si="56"/>
        <v/>
      </c>
      <c r="B506" s="17"/>
      <c r="C506" s="18" t="str">
        <f>IF(B506="","",COUNTIF(INDEX($B:$B,5):B506,B506))</f>
        <v/>
      </c>
      <c r="D506" s="17"/>
      <c r="E506" s="19" t="str">
        <f t="shared" si="57"/>
        <v/>
      </c>
      <c r="F506" s="18" t="str">
        <f t="shared" si="58"/>
        <v/>
      </c>
      <c r="G506" s="6"/>
      <c r="H506" s="20" t="str">
        <f t="shared" si="59"/>
        <v/>
      </c>
      <c r="I506" s="21"/>
      <c r="J506" s="22" t="str">
        <f t="shared" si="60"/>
        <v/>
      </c>
      <c r="K506" s="20" t="str">
        <f t="shared" si="61"/>
        <v/>
      </c>
      <c r="L506" s="20" t="str">
        <f t="shared" si="62"/>
        <v/>
      </c>
      <c r="M506" s="6"/>
      <c r="N506" s="19" t="str">
        <f t="shared" si="63"/>
        <v/>
      </c>
      <c r="O506" s="23" t="str">
        <f>IF(B506="","",TRIM(IF(COUNTIF('Registru comenzi'!$B$5:$B$304,B506)=0,"Comandă inexistentă în registru. ","")&amp;IF(AND(D506&lt;&gt;"",E506=""),"Cod necunoscut. ","")&amp;IF(N(G506)&lt;=0,"Lipsește cantitatea. ","")&amp;IF(N(M506)&gt;N(G506),"Livrat mai mult decât s-a comandat. ","")&amp;IF(N(I506)&gt;0.3,"Discount neobișnuit de mare. ","")))</f>
        <v/>
      </c>
    </row>
    <row r="507" spans="1:15" x14ac:dyDescent="0.2">
      <c r="A507" s="1" t="str">
        <f t="shared" si="56"/>
        <v/>
      </c>
      <c r="B507" s="17"/>
      <c r="C507" s="18" t="str">
        <f>IF(B507="","",COUNTIF(INDEX($B:$B,5):B507,B507))</f>
        <v/>
      </c>
      <c r="D507" s="17"/>
      <c r="E507" s="19" t="str">
        <f t="shared" si="57"/>
        <v/>
      </c>
      <c r="F507" s="18" t="str">
        <f t="shared" si="58"/>
        <v/>
      </c>
      <c r="G507" s="6"/>
      <c r="H507" s="20" t="str">
        <f t="shared" si="59"/>
        <v/>
      </c>
      <c r="I507" s="21"/>
      <c r="J507" s="22" t="str">
        <f t="shared" si="60"/>
        <v/>
      </c>
      <c r="K507" s="20" t="str">
        <f t="shared" si="61"/>
        <v/>
      </c>
      <c r="L507" s="20" t="str">
        <f t="shared" si="62"/>
        <v/>
      </c>
      <c r="M507" s="6"/>
      <c r="N507" s="19" t="str">
        <f t="shared" si="63"/>
        <v/>
      </c>
      <c r="O507" s="23" t="str">
        <f>IF(B507="","",TRIM(IF(COUNTIF('Registru comenzi'!$B$5:$B$304,B507)=0,"Comandă inexistentă în registru. ","")&amp;IF(AND(D507&lt;&gt;"",E507=""),"Cod necunoscut. ","")&amp;IF(N(G507)&lt;=0,"Lipsește cantitatea. ","")&amp;IF(N(M507)&gt;N(G507),"Livrat mai mult decât s-a comandat. ","")&amp;IF(N(I507)&gt;0.3,"Discount neobișnuit de mare. ","")))</f>
        <v/>
      </c>
    </row>
    <row r="508" spans="1:15" x14ac:dyDescent="0.2">
      <c r="A508" s="1" t="str">
        <f t="shared" si="56"/>
        <v/>
      </c>
      <c r="B508" s="17"/>
      <c r="C508" s="18" t="str">
        <f>IF(B508="","",COUNTIF(INDEX($B:$B,5):B508,B508))</f>
        <v/>
      </c>
      <c r="D508" s="17"/>
      <c r="E508" s="19" t="str">
        <f t="shared" si="57"/>
        <v/>
      </c>
      <c r="F508" s="18" t="str">
        <f t="shared" si="58"/>
        <v/>
      </c>
      <c r="G508" s="6"/>
      <c r="H508" s="20" t="str">
        <f t="shared" si="59"/>
        <v/>
      </c>
      <c r="I508" s="21"/>
      <c r="J508" s="22" t="str">
        <f t="shared" si="60"/>
        <v/>
      </c>
      <c r="K508" s="20" t="str">
        <f t="shared" si="61"/>
        <v/>
      </c>
      <c r="L508" s="20" t="str">
        <f t="shared" si="62"/>
        <v/>
      </c>
      <c r="M508" s="6"/>
      <c r="N508" s="19" t="str">
        <f t="shared" si="63"/>
        <v/>
      </c>
      <c r="O508" s="23" t="str">
        <f>IF(B508="","",TRIM(IF(COUNTIF('Registru comenzi'!$B$5:$B$304,B508)=0,"Comandă inexistentă în registru. ","")&amp;IF(AND(D508&lt;&gt;"",E508=""),"Cod necunoscut. ","")&amp;IF(N(G508)&lt;=0,"Lipsește cantitatea. ","")&amp;IF(N(M508)&gt;N(G508),"Livrat mai mult decât s-a comandat. ","")&amp;IF(N(I508)&gt;0.3,"Discount neobișnuit de mare. ","")))</f>
        <v/>
      </c>
    </row>
    <row r="509" spans="1:15" x14ac:dyDescent="0.2">
      <c r="A509" s="1" t="str">
        <f t="shared" si="56"/>
        <v/>
      </c>
      <c r="B509" s="17"/>
      <c r="C509" s="18" t="str">
        <f>IF(B509="","",COUNTIF(INDEX($B:$B,5):B509,B509))</f>
        <v/>
      </c>
      <c r="D509" s="17"/>
      <c r="E509" s="19" t="str">
        <f t="shared" si="57"/>
        <v/>
      </c>
      <c r="F509" s="18" t="str">
        <f t="shared" si="58"/>
        <v/>
      </c>
      <c r="G509" s="6"/>
      <c r="H509" s="20" t="str">
        <f t="shared" si="59"/>
        <v/>
      </c>
      <c r="I509" s="21"/>
      <c r="J509" s="22" t="str">
        <f t="shared" si="60"/>
        <v/>
      </c>
      <c r="K509" s="20" t="str">
        <f t="shared" si="61"/>
        <v/>
      </c>
      <c r="L509" s="20" t="str">
        <f t="shared" si="62"/>
        <v/>
      </c>
      <c r="M509" s="6"/>
      <c r="N509" s="19" t="str">
        <f t="shared" si="63"/>
        <v/>
      </c>
      <c r="O509" s="23" t="str">
        <f>IF(B509="","",TRIM(IF(COUNTIF('Registru comenzi'!$B$5:$B$304,B509)=0,"Comandă inexistentă în registru. ","")&amp;IF(AND(D509&lt;&gt;"",E509=""),"Cod necunoscut. ","")&amp;IF(N(G509)&lt;=0,"Lipsește cantitatea. ","")&amp;IF(N(M509)&gt;N(G509),"Livrat mai mult decât s-a comandat. ","")&amp;IF(N(I509)&gt;0.3,"Discount neobișnuit de mare. ","")))</f>
        <v/>
      </c>
    </row>
    <row r="510" spans="1:15" x14ac:dyDescent="0.2">
      <c r="A510" s="1" t="str">
        <f t="shared" si="56"/>
        <v/>
      </c>
      <c r="B510" s="17"/>
      <c r="C510" s="18" t="str">
        <f>IF(B510="","",COUNTIF(INDEX($B:$B,5):B510,B510))</f>
        <v/>
      </c>
      <c r="D510" s="17"/>
      <c r="E510" s="19" t="str">
        <f t="shared" si="57"/>
        <v/>
      </c>
      <c r="F510" s="18" t="str">
        <f t="shared" si="58"/>
        <v/>
      </c>
      <c r="G510" s="6"/>
      <c r="H510" s="20" t="str">
        <f t="shared" si="59"/>
        <v/>
      </c>
      <c r="I510" s="21"/>
      <c r="J510" s="22" t="str">
        <f t="shared" si="60"/>
        <v/>
      </c>
      <c r="K510" s="20" t="str">
        <f t="shared" si="61"/>
        <v/>
      </c>
      <c r="L510" s="20" t="str">
        <f t="shared" si="62"/>
        <v/>
      </c>
      <c r="M510" s="6"/>
      <c r="N510" s="19" t="str">
        <f t="shared" si="63"/>
        <v/>
      </c>
      <c r="O510" s="23" t="str">
        <f>IF(B510="","",TRIM(IF(COUNTIF('Registru comenzi'!$B$5:$B$304,B510)=0,"Comandă inexistentă în registru. ","")&amp;IF(AND(D510&lt;&gt;"",E510=""),"Cod necunoscut. ","")&amp;IF(N(G510)&lt;=0,"Lipsește cantitatea. ","")&amp;IF(N(M510)&gt;N(G510),"Livrat mai mult decât s-a comandat. ","")&amp;IF(N(I510)&gt;0.3,"Discount neobișnuit de mare. ","")))</f>
        <v/>
      </c>
    </row>
    <row r="511" spans="1:15" x14ac:dyDescent="0.2">
      <c r="A511" s="1" t="str">
        <f t="shared" si="56"/>
        <v/>
      </c>
      <c r="B511" s="17"/>
      <c r="C511" s="18" t="str">
        <f>IF(B511="","",COUNTIF(INDEX($B:$B,5):B511,B511))</f>
        <v/>
      </c>
      <c r="D511" s="17"/>
      <c r="E511" s="19" t="str">
        <f t="shared" si="57"/>
        <v/>
      </c>
      <c r="F511" s="18" t="str">
        <f t="shared" si="58"/>
        <v/>
      </c>
      <c r="G511" s="6"/>
      <c r="H511" s="20" t="str">
        <f t="shared" si="59"/>
        <v/>
      </c>
      <c r="I511" s="21"/>
      <c r="J511" s="22" t="str">
        <f t="shared" si="60"/>
        <v/>
      </c>
      <c r="K511" s="20" t="str">
        <f t="shared" si="61"/>
        <v/>
      </c>
      <c r="L511" s="20" t="str">
        <f t="shared" si="62"/>
        <v/>
      </c>
      <c r="M511" s="6"/>
      <c r="N511" s="19" t="str">
        <f t="shared" si="63"/>
        <v/>
      </c>
      <c r="O511" s="23" t="str">
        <f>IF(B511="","",TRIM(IF(COUNTIF('Registru comenzi'!$B$5:$B$304,B511)=0,"Comandă inexistentă în registru. ","")&amp;IF(AND(D511&lt;&gt;"",E511=""),"Cod necunoscut. ","")&amp;IF(N(G511)&lt;=0,"Lipsește cantitatea. ","")&amp;IF(N(M511)&gt;N(G511),"Livrat mai mult decât s-a comandat. ","")&amp;IF(N(I511)&gt;0.3,"Discount neobișnuit de mare. ","")))</f>
        <v/>
      </c>
    </row>
    <row r="512" spans="1:15" x14ac:dyDescent="0.2">
      <c r="A512" s="1" t="str">
        <f t="shared" si="56"/>
        <v/>
      </c>
      <c r="B512" s="17"/>
      <c r="C512" s="18" t="str">
        <f>IF(B512="","",COUNTIF(INDEX($B:$B,5):B512,B512))</f>
        <v/>
      </c>
      <c r="D512" s="17"/>
      <c r="E512" s="19" t="str">
        <f t="shared" si="57"/>
        <v/>
      </c>
      <c r="F512" s="18" t="str">
        <f t="shared" si="58"/>
        <v/>
      </c>
      <c r="G512" s="6"/>
      <c r="H512" s="20" t="str">
        <f t="shared" si="59"/>
        <v/>
      </c>
      <c r="I512" s="21"/>
      <c r="J512" s="22" t="str">
        <f t="shared" si="60"/>
        <v/>
      </c>
      <c r="K512" s="20" t="str">
        <f t="shared" si="61"/>
        <v/>
      </c>
      <c r="L512" s="20" t="str">
        <f t="shared" si="62"/>
        <v/>
      </c>
      <c r="M512" s="6"/>
      <c r="N512" s="19" t="str">
        <f t="shared" si="63"/>
        <v/>
      </c>
      <c r="O512" s="23" t="str">
        <f>IF(B512="","",TRIM(IF(COUNTIF('Registru comenzi'!$B$5:$B$304,B512)=0,"Comandă inexistentă în registru. ","")&amp;IF(AND(D512&lt;&gt;"",E512=""),"Cod necunoscut. ","")&amp;IF(N(G512)&lt;=0,"Lipsește cantitatea. ","")&amp;IF(N(M512)&gt;N(G512),"Livrat mai mult decât s-a comandat. ","")&amp;IF(N(I512)&gt;0.3,"Discount neobișnuit de mare. ","")))</f>
        <v/>
      </c>
    </row>
    <row r="513" spans="1:15" x14ac:dyDescent="0.2">
      <c r="A513" s="1" t="str">
        <f t="shared" si="56"/>
        <v/>
      </c>
      <c r="B513" s="17"/>
      <c r="C513" s="18" t="str">
        <f>IF(B513="","",COUNTIF(INDEX($B:$B,5):B513,B513))</f>
        <v/>
      </c>
      <c r="D513" s="17"/>
      <c r="E513" s="19" t="str">
        <f t="shared" si="57"/>
        <v/>
      </c>
      <c r="F513" s="18" t="str">
        <f t="shared" si="58"/>
        <v/>
      </c>
      <c r="G513" s="6"/>
      <c r="H513" s="20" t="str">
        <f t="shared" si="59"/>
        <v/>
      </c>
      <c r="I513" s="21"/>
      <c r="J513" s="22" t="str">
        <f t="shared" si="60"/>
        <v/>
      </c>
      <c r="K513" s="20" t="str">
        <f t="shared" si="61"/>
        <v/>
      </c>
      <c r="L513" s="20" t="str">
        <f t="shared" si="62"/>
        <v/>
      </c>
      <c r="M513" s="6"/>
      <c r="N513" s="19" t="str">
        <f t="shared" si="63"/>
        <v/>
      </c>
      <c r="O513" s="23" t="str">
        <f>IF(B513="","",TRIM(IF(COUNTIF('Registru comenzi'!$B$5:$B$304,B513)=0,"Comandă inexistentă în registru. ","")&amp;IF(AND(D513&lt;&gt;"",E513=""),"Cod necunoscut. ","")&amp;IF(N(G513)&lt;=0,"Lipsește cantitatea. ","")&amp;IF(N(M513)&gt;N(G513),"Livrat mai mult decât s-a comandat. ","")&amp;IF(N(I513)&gt;0.3,"Discount neobișnuit de mare. ","")))</f>
        <v/>
      </c>
    </row>
    <row r="514" spans="1:15" x14ac:dyDescent="0.2">
      <c r="A514" s="1" t="str">
        <f t="shared" si="56"/>
        <v/>
      </c>
      <c r="B514" s="17"/>
      <c r="C514" s="18" t="str">
        <f>IF(B514="","",COUNTIF(INDEX($B:$B,5):B514,B514))</f>
        <v/>
      </c>
      <c r="D514" s="17"/>
      <c r="E514" s="19" t="str">
        <f t="shared" si="57"/>
        <v/>
      </c>
      <c r="F514" s="18" t="str">
        <f t="shared" si="58"/>
        <v/>
      </c>
      <c r="G514" s="6"/>
      <c r="H514" s="20" t="str">
        <f t="shared" si="59"/>
        <v/>
      </c>
      <c r="I514" s="21"/>
      <c r="J514" s="22" t="str">
        <f t="shared" si="60"/>
        <v/>
      </c>
      <c r="K514" s="20" t="str">
        <f t="shared" si="61"/>
        <v/>
      </c>
      <c r="L514" s="20" t="str">
        <f t="shared" si="62"/>
        <v/>
      </c>
      <c r="M514" s="6"/>
      <c r="N514" s="19" t="str">
        <f t="shared" si="63"/>
        <v/>
      </c>
      <c r="O514" s="23" t="str">
        <f>IF(B514="","",TRIM(IF(COUNTIF('Registru comenzi'!$B$5:$B$304,B514)=0,"Comandă inexistentă în registru. ","")&amp;IF(AND(D514&lt;&gt;"",E514=""),"Cod necunoscut. ","")&amp;IF(N(G514)&lt;=0,"Lipsește cantitatea. ","")&amp;IF(N(M514)&gt;N(G514),"Livrat mai mult decât s-a comandat. ","")&amp;IF(N(I514)&gt;0.3,"Discount neobișnuit de mare. ","")))</f>
        <v/>
      </c>
    </row>
    <row r="515" spans="1:15" x14ac:dyDescent="0.2">
      <c r="A515" s="1" t="str">
        <f t="shared" si="56"/>
        <v/>
      </c>
      <c r="B515" s="17"/>
      <c r="C515" s="18" t="str">
        <f>IF(B515="","",COUNTIF(INDEX($B:$B,5):B515,B515))</f>
        <v/>
      </c>
      <c r="D515" s="17"/>
      <c r="E515" s="19" t="str">
        <f t="shared" si="57"/>
        <v/>
      </c>
      <c r="F515" s="18" t="str">
        <f t="shared" si="58"/>
        <v/>
      </c>
      <c r="G515" s="6"/>
      <c r="H515" s="20" t="str">
        <f t="shared" si="59"/>
        <v/>
      </c>
      <c r="I515" s="21"/>
      <c r="J515" s="22" t="str">
        <f t="shared" si="60"/>
        <v/>
      </c>
      <c r="K515" s="20" t="str">
        <f t="shared" si="61"/>
        <v/>
      </c>
      <c r="L515" s="20" t="str">
        <f t="shared" si="62"/>
        <v/>
      </c>
      <c r="M515" s="6"/>
      <c r="N515" s="19" t="str">
        <f t="shared" si="63"/>
        <v/>
      </c>
      <c r="O515" s="23" t="str">
        <f>IF(B515="","",TRIM(IF(COUNTIF('Registru comenzi'!$B$5:$B$304,B515)=0,"Comandă inexistentă în registru. ","")&amp;IF(AND(D515&lt;&gt;"",E515=""),"Cod necunoscut. ","")&amp;IF(N(G515)&lt;=0,"Lipsește cantitatea. ","")&amp;IF(N(M515)&gt;N(G515),"Livrat mai mult decât s-a comandat. ","")&amp;IF(N(I515)&gt;0.3,"Discount neobișnuit de mare. ","")))</f>
        <v/>
      </c>
    </row>
    <row r="516" spans="1:15" x14ac:dyDescent="0.2">
      <c r="A516" s="1" t="str">
        <f t="shared" si="56"/>
        <v/>
      </c>
      <c r="B516" s="17"/>
      <c r="C516" s="18" t="str">
        <f>IF(B516="","",COUNTIF(INDEX($B:$B,5):B516,B516))</f>
        <v/>
      </c>
      <c r="D516" s="17"/>
      <c r="E516" s="19" t="str">
        <f t="shared" si="57"/>
        <v/>
      </c>
      <c r="F516" s="18" t="str">
        <f t="shared" si="58"/>
        <v/>
      </c>
      <c r="G516" s="6"/>
      <c r="H516" s="20" t="str">
        <f t="shared" si="59"/>
        <v/>
      </c>
      <c r="I516" s="21"/>
      <c r="J516" s="22" t="str">
        <f t="shared" si="60"/>
        <v/>
      </c>
      <c r="K516" s="20" t="str">
        <f t="shared" si="61"/>
        <v/>
      </c>
      <c r="L516" s="20" t="str">
        <f t="shared" si="62"/>
        <v/>
      </c>
      <c r="M516" s="6"/>
      <c r="N516" s="19" t="str">
        <f t="shared" si="63"/>
        <v/>
      </c>
      <c r="O516" s="23" t="str">
        <f>IF(B516="","",TRIM(IF(COUNTIF('Registru comenzi'!$B$5:$B$304,B516)=0,"Comandă inexistentă în registru. ","")&amp;IF(AND(D516&lt;&gt;"",E516=""),"Cod necunoscut. ","")&amp;IF(N(G516)&lt;=0,"Lipsește cantitatea. ","")&amp;IF(N(M516)&gt;N(G516),"Livrat mai mult decât s-a comandat. ","")&amp;IF(N(I516)&gt;0.3,"Discount neobișnuit de mare. ","")))</f>
        <v/>
      </c>
    </row>
    <row r="517" spans="1:15" x14ac:dyDescent="0.2">
      <c r="A517" s="1" t="str">
        <f t="shared" ref="A517:A580" si="64">IF(B517="","",B517&amp;"|"&amp;C517)</f>
        <v/>
      </c>
      <c r="B517" s="17"/>
      <c r="C517" s="18" t="str">
        <f>IF(B517="","",COUNTIF(INDEX($B:$B,5):B517,B517))</f>
        <v/>
      </c>
      <c r="D517" s="17"/>
      <c r="E517" s="19" t="str">
        <f t="shared" ref="E517:E580" si="65">IF(D517="","",IFERROR(VLOOKUP(D517,Catalog,2,FALSE),""))</f>
        <v/>
      </c>
      <c r="F517" s="18" t="str">
        <f t="shared" ref="F517:F580" si="66">IF(D517="","",IFERROR(VLOOKUP(D517,Catalog,3,FALSE),""))</f>
        <v/>
      </c>
      <c r="G517" s="6"/>
      <c r="H517" s="20" t="str">
        <f t="shared" ref="H517:H580" si="67">IF(D517="","",IFERROR(VLOOKUP(D517,Catalog,4,FALSE),""))</f>
        <v/>
      </c>
      <c r="I517" s="21"/>
      <c r="J517" s="22" t="str">
        <f t="shared" ref="J517:J580" si="68">IF(D517="","",IFERROR(VLOOKUP(D517,Catalog,5,FALSE),""))</f>
        <v/>
      </c>
      <c r="K517" s="20" t="str">
        <f t="shared" ref="K517:K580" si="69">IF(OR(G517="",H517=""),"",ROUND(G517*H517*(1-N(I517)),2))</f>
        <v/>
      </c>
      <c r="L517" s="20" t="str">
        <f t="shared" ref="L517:L580" si="70">IF(OR(K517="",J517=""),"",ROUND(K517*J517,2))</f>
        <v/>
      </c>
      <c r="M517" s="6"/>
      <c r="N517" s="19" t="str">
        <f t="shared" ref="N517:N580" si="71">IF(G517="","",G517-N(M517))</f>
        <v/>
      </c>
      <c r="O517" s="23" t="str">
        <f>IF(B517="","",TRIM(IF(COUNTIF('Registru comenzi'!$B$5:$B$304,B517)=0,"Comandă inexistentă în registru. ","")&amp;IF(AND(D517&lt;&gt;"",E517=""),"Cod necunoscut. ","")&amp;IF(N(G517)&lt;=0,"Lipsește cantitatea. ","")&amp;IF(N(M517)&gt;N(G517),"Livrat mai mult decât s-a comandat. ","")&amp;IF(N(I517)&gt;0.3,"Discount neobișnuit de mare. ","")))</f>
        <v/>
      </c>
    </row>
    <row r="518" spans="1:15" x14ac:dyDescent="0.2">
      <c r="A518" s="1" t="str">
        <f t="shared" si="64"/>
        <v/>
      </c>
      <c r="B518" s="17"/>
      <c r="C518" s="18" t="str">
        <f>IF(B518="","",COUNTIF(INDEX($B:$B,5):B518,B518))</f>
        <v/>
      </c>
      <c r="D518" s="17"/>
      <c r="E518" s="19" t="str">
        <f t="shared" si="65"/>
        <v/>
      </c>
      <c r="F518" s="18" t="str">
        <f t="shared" si="66"/>
        <v/>
      </c>
      <c r="G518" s="6"/>
      <c r="H518" s="20" t="str">
        <f t="shared" si="67"/>
        <v/>
      </c>
      <c r="I518" s="21"/>
      <c r="J518" s="22" t="str">
        <f t="shared" si="68"/>
        <v/>
      </c>
      <c r="K518" s="20" t="str">
        <f t="shared" si="69"/>
        <v/>
      </c>
      <c r="L518" s="20" t="str">
        <f t="shared" si="70"/>
        <v/>
      </c>
      <c r="M518" s="6"/>
      <c r="N518" s="19" t="str">
        <f t="shared" si="71"/>
        <v/>
      </c>
      <c r="O518" s="23" t="str">
        <f>IF(B518="","",TRIM(IF(COUNTIF('Registru comenzi'!$B$5:$B$304,B518)=0,"Comandă inexistentă în registru. ","")&amp;IF(AND(D518&lt;&gt;"",E518=""),"Cod necunoscut. ","")&amp;IF(N(G518)&lt;=0,"Lipsește cantitatea. ","")&amp;IF(N(M518)&gt;N(G518),"Livrat mai mult decât s-a comandat. ","")&amp;IF(N(I518)&gt;0.3,"Discount neobișnuit de mare. ","")))</f>
        <v/>
      </c>
    </row>
    <row r="519" spans="1:15" x14ac:dyDescent="0.2">
      <c r="A519" s="1" t="str">
        <f t="shared" si="64"/>
        <v/>
      </c>
      <c r="B519" s="17"/>
      <c r="C519" s="18" t="str">
        <f>IF(B519="","",COUNTIF(INDEX($B:$B,5):B519,B519))</f>
        <v/>
      </c>
      <c r="D519" s="17"/>
      <c r="E519" s="19" t="str">
        <f t="shared" si="65"/>
        <v/>
      </c>
      <c r="F519" s="18" t="str">
        <f t="shared" si="66"/>
        <v/>
      </c>
      <c r="G519" s="6"/>
      <c r="H519" s="20" t="str">
        <f t="shared" si="67"/>
        <v/>
      </c>
      <c r="I519" s="21"/>
      <c r="J519" s="22" t="str">
        <f t="shared" si="68"/>
        <v/>
      </c>
      <c r="K519" s="20" t="str">
        <f t="shared" si="69"/>
        <v/>
      </c>
      <c r="L519" s="20" t="str">
        <f t="shared" si="70"/>
        <v/>
      </c>
      <c r="M519" s="6"/>
      <c r="N519" s="19" t="str">
        <f t="shared" si="71"/>
        <v/>
      </c>
      <c r="O519" s="23" t="str">
        <f>IF(B519="","",TRIM(IF(COUNTIF('Registru comenzi'!$B$5:$B$304,B519)=0,"Comandă inexistentă în registru. ","")&amp;IF(AND(D519&lt;&gt;"",E519=""),"Cod necunoscut. ","")&amp;IF(N(G519)&lt;=0,"Lipsește cantitatea. ","")&amp;IF(N(M519)&gt;N(G519),"Livrat mai mult decât s-a comandat. ","")&amp;IF(N(I519)&gt;0.3,"Discount neobișnuit de mare. ","")))</f>
        <v/>
      </c>
    </row>
    <row r="520" spans="1:15" x14ac:dyDescent="0.2">
      <c r="A520" s="1" t="str">
        <f t="shared" si="64"/>
        <v/>
      </c>
      <c r="B520" s="17"/>
      <c r="C520" s="18" t="str">
        <f>IF(B520="","",COUNTIF(INDEX($B:$B,5):B520,B520))</f>
        <v/>
      </c>
      <c r="D520" s="17"/>
      <c r="E520" s="19" t="str">
        <f t="shared" si="65"/>
        <v/>
      </c>
      <c r="F520" s="18" t="str">
        <f t="shared" si="66"/>
        <v/>
      </c>
      <c r="G520" s="6"/>
      <c r="H520" s="20" t="str">
        <f t="shared" si="67"/>
        <v/>
      </c>
      <c r="I520" s="21"/>
      <c r="J520" s="22" t="str">
        <f t="shared" si="68"/>
        <v/>
      </c>
      <c r="K520" s="20" t="str">
        <f t="shared" si="69"/>
        <v/>
      </c>
      <c r="L520" s="20" t="str">
        <f t="shared" si="70"/>
        <v/>
      </c>
      <c r="M520" s="6"/>
      <c r="N520" s="19" t="str">
        <f t="shared" si="71"/>
        <v/>
      </c>
      <c r="O520" s="23" t="str">
        <f>IF(B520="","",TRIM(IF(COUNTIF('Registru comenzi'!$B$5:$B$304,B520)=0,"Comandă inexistentă în registru. ","")&amp;IF(AND(D520&lt;&gt;"",E520=""),"Cod necunoscut. ","")&amp;IF(N(G520)&lt;=0,"Lipsește cantitatea. ","")&amp;IF(N(M520)&gt;N(G520),"Livrat mai mult decât s-a comandat. ","")&amp;IF(N(I520)&gt;0.3,"Discount neobișnuit de mare. ","")))</f>
        <v/>
      </c>
    </row>
    <row r="521" spans="1:15" x14ac:dyDescent="0.2">
      <c r="A521" s="1" t="str">
        <f t="shared" si="64"/>
        <v/>
      </c>
      <c r="B521" s="17"/>
      <c r="C521" s="18" t="str">
        <f>IF(B521="","",COUNTIF(INDEX($B:$B,5):B521,B521))</f>
        <v/>
      </c>
      <c r="D521" s="17"/>
      <c r="E521" s="19" t="str">
        <f t="shared" si="65"/>
        <v/>
      </c>
      <c r="F521" s="18" t="str">
        <f t="shared" si="66"/>
        <v/>
      </c>
      <c r="G521" s="6"/>
      <c r="H521" s="20" t="str">
        <f t="shared" si="67"/>
        <v/>
      </c>
      <c r="I521" s="21"/>
      <c r="J521" s="22" t="str">
        <f t="shared" si="68"/>
        <v/>
      </c>
      <c r="K521" s="20" t="str">
        <f t="shared" si="69"/>
        <v/>
      </c>
      <c r="L521" s="20" t="str">
        <f t="shared" si="70"/>
        <v/>
      </c>
      <c r="M521" s="6"/>
      <c r="N521" s="19" t="str">
        <f t="shared" si="71"/>
        <v/>
      </c>
      <c r="O521" s="23" t="str">
        <f>IF(B521="","",TRIM(IF(COUNTIF('Registru comenzi'!$B$5:$B$304,B521)=0,"Comandă inexistentă în registru. ","")&amp;IF(AND(D521&lt;&gt;"",E521=""),"Cod necunoscut. ","")&amp;IF(N(G521)&lt;=0,"Lipsește cantitatea. ","")&amp;IF(N(M521)&gt;N(G521),"Livrat mai mult decât s-a comandat. ","")&amp;IF(N(I521)&gt;0.3,"Discount neobișnuit de mare. ","")))</f>
        <v/>
      </c>
    </row>
    <row r="522" spans="1:15" x14ac:dyDescent="0.2">
      <c r="A522" s="1" t="str">
        <f t="shared" si="64"/>
        <v/>
      </c>
      <c r="B522" s="17"/>
      <c r="C522" s="18" t="str">
        <f>IF(B522="","",COUNTIF(INDEX($B:$B,5):B522,B522))</f>
        <v/>
      </c>
      <c r="D522" s="17"/>
      <c r="E522" s="19" t="str">
        <f t="shared" si="65"/>
        <v/>
      </c>
      <c r="F522" s="18" t="str">
        <f t="shared" si="66"/>
        <v/>
      </c>
      <c r="G522" s="6"/>
      <c r="H522" s="20" t="str">
        <f t="shared" si="67"/>
        <v/>
      </c>
      <c r="I522" s="21"/>
      <c r="J522" s="22" t="str">
        <f t="shared" si="68"/>
        <v/>
      </c>
      <c r="K522" s="20" t="str">
        <f t="shared" si="69"/>
        <v/>
      </c>
      <c r="L522" s="20" t="str">
        <f t="shared" si="70"/>
        <v/>
      </c>
      <c r="M522" s="6"/>
      <c r="N522" s="19" t="str">
        <f t="shared" si="71"/>
        <v/>
      </c>
      <c r="O522" s="23" t="str">
        <f>IF(B522="","",TRIM(IF(COUNTIF('Registru comenzi'!$B$5:$B$304,B522)=0,"Comandă inexistentă în registru. ","")&amp;IF(AND(D522&lt;&gt;"",E522=""),"Cod necunoscut. ","")&amp;IF(N(G522)&lt;=0,"Lipsește cantitatea. ","")&amp;IF(N(M522)&gt;N(G522),"Livrat mai mult decât s-a comandat. ","")&amp;IF(N(I522)&gt;0.3,"Discount neobișnuit de mare. ","")))</f>
        <v/>
      </c>
    </row>
    <row r="523" spans="1:15" x14ac:dyDescent="0.2">
      <c r="A523" s="1" t="str">
        <f t="shared" si="64"/>
        <v/>
      </c>
      <c r="B523" s="17"/>
      <c r="C523" s="18" t="str">
        <f>IF(B523="","",COUNTIF(INDEX($B:$B,5):B523,B523))</f>
        <v/>
      </c>
      <c r="D523" s="17"/>
      <c r="E523" s="19" t="str">
        <f t="shared" si="65"/>
        <v/>
      </c>
      <c r="F523" s="18" t="str">
        <f t="shared" si="66"/>
        <v/>
      </c>
      <c r="G523" s="6"/>
      <c r="H523" s="20" t="str">
        <f t="shared" si="67"/>
        <v/>
      </c>
      <c r="I523" s="21"/>
      <c r="J523" s="22" t="str">
        <f t="shared" si="68"/>
        <v/>
      </c>
      <c r="K523" s="20" t="str">
        <f t="shared" si="69"/>
        <v/>
      </c>
      <c r="L523" s="20" t="str">
        <f t="shared" si="70"/>
        <v/>
      </c>
      <c r="M523" s="6"/>
      <c r="N523" s="19" t="str">
        <f t="shared" si="71"/>
        <v/>
      </c>
      <c r="O523" s="23" t="str">
        <f>IF(B523="","",TRIM(IF(COUNTIF('Registru comenzi'!$B$5:$B$304,B523)=0,"Comandă inexistentă în registru. ","")&amp;IF(AND(D523&lt;&gt;"",E523=""),"Cod necunoscut. ","")&amp;IF(N(G523)&lt;=0,"Lipsește cantitatea. ","")&amp;IF(N(M523)&gt;N(G523),"Livrat mai mult decât s-a comandat. ","")&amp;IF(N(I523)&gt;0.3,"Discount neobișnuit de mare. ","")))</f>
        <v/>
      </c>
    </row>
    <row r="524" spans="1:15" x14ac:dyDescent="0.2">
      <c r="A524" s="1" t="str">
        <f t="shared" si="64"/>
        <v/>
      </c>
      <c r="B524" s="17"/>
      <c r="C524" s="18" t="str">
        <f>IF(B524="","",COUNTIF(INDEX($B:$B,5):B524,B524))</f>
        <v/>
      </c>
      <c r="D524" s="17"/>
      <c r="E524" s="19" t="str">
        <f t="shared" si="65"/>
        <v/>
      </c>
      <c r="F524" s="18" t="str">
        <f t="shared" si="66"/>
        <v/>
      </c>
      <c r="G524" s="6"/>
      <c r="H524" s="20" t="str">
        <f t="shared" si="67"/>
        <v/>
      </c>
      <c r="I524" s="21"/>
      <c r="J524" s="22" t="str">
        <f t="shared" si="68"/>
        <v/>
      </c>
      <c r="K524" s="20" t="str">
        <f t="shared" si="69"/>
        <v/>
      </c>
      <c r="L524" s="20" t="str">
        <f t="shared" si="70"/>
        <v/>
      </c>
      <c r="M524" s="6"/>
      <c r="N524" s="19" t="str">
        <f t="shared" si="71"/>
        <v/>
      </c>
      <c r="O524" s="23" t="str">
        <f>IF(B524="","",TRIM(IF(COUNTIF('Registru comenzi'!$B$5:$B$304,B524)=0,"Comandă inexistentă în registru. ","")&amp;IF(AND(D524&lt;&gt;"",E524=""),"Cod necunoscut. ","")&amp;IF(N(G524)&lt;=0,"Lipsește cantitatea. ","")&amp;IF(N(M524)&gt;N(G524),"Livrat mai mult decât s-a comandat. ","")&amp;IF(N(I524)&gt;0.3,"Discount neobișnuit de mare. ","")))</f>
        <v/>
      </c>
    </row>
    <row r="525" spans="1:15" x14ac:dyDescent="0.2">
      <c r="A525" s="1" t="str">
        <f t="shared" si="64"/>
        <v/>
      </c>
      <c r="B525" s="17"/>
      <c r="C525" s="18" t="str">
        <f>IF(B525="","",COUNTIF(INDEX($B:$B,5):B525,B525))</f>
        <v/>
      </c>
      <c r="D525" s="17"/>
      <c r="E525" s="19" t="str">
        <f t="shared" si="65"/>
        <v/>
      </c>
      <c r="F525" s="18" t="str">
        <f t="shared" si="66"/>
        <v/>
      </c>
      <c r="G525" s="6"/>
      <c r="H525" s="20" t="str">
        <f t="shared" si="67"/>
        <v/>
      </c>
      <c r="I525" s="21"/>
      <c r="J525" s="22" t="str">
        <f t="shared" si="68"/>
        <v/>
      </c>
      <c r="K525" s="20" t="str">
        <f t="shared" si="69"/>
        <v/>
      </c>
      <c r="L525" s="20" t="str">
        <f t="shared" si="70"/>
        <v/>
      </c>
      <c r="M525" s="6"/>
      <c r="N525" s="19" t="str">
        <f t="shared" si="71"/>
        <v/>
      </c>
      <c r="O525" s="23" t="str">
        <f>IF(B525="","",TRIM(IF(COUNTIF('Registru comenzi'!$B$5:$B$304,B525)=0,"Comandă inexistentă în registru. ","")&amp;IF(AND(D525&lt;&gt;"",E525=""),"Cod necunoscut. ","")&amp;IF(N(G525)&lt;=0,"Lipsește cantitatea. ","")&amp;IF(N(M525)&gt;N(G525),"Livrat mai mult decât s-a comandat. ","")&amp;IF(N(I525)&gt;0.3,"Discount neobișnuit de mare. ","")))</f>
        <v/>
      </c>
    </row>
    <row r="526" spans="1:15" x14ac:dyDescent="0.2">
      <c r="A526" s="1" t="str">
        <f t="shared" si="64"/>
        <v/>
      </c>
      <c r="B526" s="17"/>
      <c r="C526" s="18" t="str">
        <f>IF(B526="","",COUNTIF(INDEX($B:$B,5):B526,B526))</f>
        <v/>
      </c>
      <c r="D526" s="17"/>
      <c r="E526" s="19" t="str">
        <f t="shared" si="65"/>
        <v/>
      </c>
      <c r="F526" s="18" t="str">
        <f t="shared" si="66"/>
        <v/>
      </c>
      <c r="G526" s="6"/>
      <c r="H526" s="20" t="str">
        <f t="shared" si="67"/>
        <v/>
      </c>
      <c r="I526" s="21"/>
      <c r="J526" s="22" t="str">
        <f t="shared" si="68"/>
        <v/>
      </c>
      <c r="K526" s="20" t="str">
        <f t="shared" si="69"/>
        <v/>
      </c>
      <c r="L526" s="20" t="str">
        <f t="shared" si="70"/>
        <v/>
      </c>
      <c r="M526" s="6"/>
      <c r="N526" s="19" t="str">
        <f t="shared" si="71"/>
        <v/>
      </c>
      <c r="O526" s="23" t="str">
        <f>IF(B526="","",TRIM(IF(COUNTIF('Registru comenzi'!$B$5:$B$304,B526)=0,"Comandă inexistentă în registru. ","")&amp;IF(AND(D526&lt;&gt;"",E526=""),"Cod necunoscut. ","")&amp;IF(N(G526)&lt;=0,"Lipsește cantitatea. ","")&amp;IF(N(M526)&gt;N(G526),"Livrat mai mult decât s-a comandat. ","")&amp;IF(N(I526)&gt;0.3,"Discount neobișnuit de mare. ","")))</f>
        <v/>
      </c>
    </row>
    <row r="527" spans="1:15" x14ac:dyDescent="0.2">
      <c r="A527" s="1" t="str">
        <f t="shared" si="64"/>
        <v/>
      </c>
      <c r="B527" s="17"/>
      <c r="C527" s="18" t="str">
        <f>IF(B527="","",COUNTIF(INDEX($B:$B,5):B527,B527))</f>
        <v/>
      </c>
      <c r="D527" s="17"/>
      <c r="E527" s="19" t="str">
        <f t="shared" si="65"/>
        <v/>
      </c>
      <c r="F527" s="18" t="str">
        <f t="shared" si="66"/>
        <v/>
      </c>
      <c r="G527" s="6"/>
      <c r="H527" s="20" t="str">
        <f t="shared" si="67"/>
        <v/>
      </c>
      <c r="I527" s="21"/>
      <c r="J527" s="22" t="str">
        <f t="shared" si="68"/>
        <v/>
      </c>
      <c r="K527" s="20" t="str">
        <f t="shared" si="69"/>
        <v/>
      </c>
      <c r="L527" s="20" t="str">
        <f t="shared" si="70"/>
        <v/>
      </c>
      <c r="M527" s="6"/>
      <c r="N527" s="19" t="str">
        <f t="shared" si="71"/>
        <v/>
      </c>
      <c r="O527" s="23" t="str">
        <f>IF(B527="","",TRIM(IF(COUNTIF('Registru comenzi'!$B$5:$B$304,B527)=0,"Comandă inexistentă în registru. ","")&amp;IF(AND(D527&lt;&gt;"",E527=""),"Cod necunoscut. ","")&amp;IF(N(G527)&lt;=0,"Lipsește cantitatea. ","")&amp;IF(N(M527)&gt;N(G527),"Livrat mai mult decât s-a comandat. ","")&amp;IF(N(I527)&gt;0.3,"Discount neobișnuit de mare. ","")))</f>
        <v/>
      </c>
    </row>
    <row r="528" spans="1:15" x14ac:dyDescent="0.2">
      <c r="A528" s="1" t="str">
        <f t="shared" si="64"/>
        <v/>
      </c>
      <c r="B528" s="17"/>
      <c r="C528" s="18" t="str">
        <f>IF(B528="","",COUNTIF(INDEX($B:$B,5):B528,B528))</f>
        <v/>
      </c>
      <c r="D528" s="17"/>
      <c r="E528" s="19" t="str">
        <f t="shared" si="65"/>
        <v/>
      </c>
      <c r="F528" s="18" t="str">
        <f t="shared" si="66"/>
        <v/>
      </c>
      <c r="G528" s="6"/>
      <c r="H528" s="20" t="str">
        <f t="shared" si="67"/>
        <v/>
      </c>
      <c r="I528" s="21"/>
      <c r="J528" s="22" t="str">
        <f t="shared" si="68"/>
        <v/>
      </c>
      <c r="K528" s="20" t="str">
        <f t="shared" si="69"/>
        <v/>
      </c>
      <c r="L528" s="20" t="str">
        <f t="shared" si="70"/>
        <v/>
      </c>
      <c r="M528" s="6"/>
      <c r="N528" s="19" t="str">
        <f t="shared" si="71"/>
        <v/>
      </c>
      <c r="O528" s="23" t="str">
        <f>IF(B528="","",TRIM(IF(COUNTIF('Registru comenzi'!$B$5:$B$304,B528)=0,"Comandă inexistentă în registru. ","")&amp;IF(AND(D528&lt;&gt;"",E528=""),"Cod necunoscut. ","")&amp;IF(N(G528)&lt;=0,"Lipsește cantitatea. ","")&amp;IF(N(M528)&gt;N(G528),"Livrat mai mult decât s-a comandat. ","")&amp;IF(N(I528)&gt;0.3,"Discount neobișnuit de mare. ","")))</f>
        <v/>
      </c>
    </row>
    <row r="529" spans="1:15" x14ac:dyDescent="0.2">
      <c r="A529" s="1" t="str">
        <f t="shared" si="64"/>
        <v/>
      </c>
      <c r="B529" s="17"/>
      <c r="C529" s="18" t="str">
        <f>IF(B529="","",COUNTIF(INDEX($B:$B,5):B529,B529))</f>
        <v/>
      </c>
      <c r="D529" s="17"/>
      <c r="E529" s="19" t="str">
        <f t="shared" si="65"/>
        <v/>
      </c>
      <c r="F529" s="18" t="str">
        <f t="shared" si="66"/>
        <v/>
      </c>
      <c r="G529" s="6"/>
      <c r="H529" s="20" t="str">
        <f t="shared" si="67"/>
        <v/>
      </c>
      <c r="I529" s="21"/>
      <c r="J529" s="22" t="str">
        <f t="shared" si="68"/>
        <v/>
      </c>
      <c r="K529" s="20" t="str">
        <f t="shared" si="69"/>
        <v/>
      </c>
      <c r="L529" s="20" t="str">
        <f t="shared" si="70"/>
        <v/>
      </c>
      <c r="M529" s="6"/>
      <c r="N529" s="19" t="str">
        <f t="shared" si="71"/>
        <v/>
      </c>
      <c r="O529" s="23" t="str">
        <f>IF(B529="","",TRIM(IF(COUNTIF('Registru comenzi'!$B$5:$B$304,B529)=0,"Comandă inexistentă în registru. ","")&amp;IF(AND(D529&lt;&gt;"",E529=""),"Cod necunoscut. ","")&amp;IF(N(G529)&lt;=0,"Lipsește cantitatea. ","")&amp;IF(N(M529)&gt;N(G529),"Livrat mai mult decât s-a comandat. ","")&amp;IF(N(I529)&gt;0.3,"Discount neobișnuit de mare. ","")))</f>
        <v/>
      </c>
    </row>
    <row r="530" spans="1:15" x14ac:dyDescent="0.2">
      <c r="A530" s="1" t="str">
        <f t="shared" si="64"/>
        <v/>
      </c>
      <c r="B530" s="17"/>
      <c r="C530" s="18" t="str">
        <f>IF(B530="","",COUNTIF(INDEX($B:$B,5):B530,B530))</f>
        <v/>
      </c>
      <c r="D530" s="17"/>
      <c r="E530" s="19" t="str">
        <f t="shared" si="65"/>
        <v/>
      </c>
      <c r="F530" s="18" t="str">
        <f t="shared" si="66"/>
        <v/>
      </c>
      <c r="G530" s="6"/>
      <c r="H530" s="20" t="str">
        <f t="shared" si="67"/>
        <v/>
      </c>
      <c r="I530" s="21"/>
      <c r="J530" s="22" t="str">
        <f t="shared" si="68"/>
        <v/>
      </c>
      <c r="K530" s="20" t="str">
        <f t="shared" si="69"/>
        <v/>
      </c>
      <c r="L530" s="20" t="str">
        <f t="shared" si="70"/>
        <v/>
      </c>
      <c r="M530" s="6"/>
      <c r="N530" s="19" t="str">
        <f t="shared" si="71"/>
        <v/>
      </c>
      <c r="O530" s="23" t="str">
        <f>IF(B530="","",TRIM(IF(COUNTIF('Registru comenzi'!$B$5:$B$304,B530)=0,"Comandă inexistentă în registru. ","")&amp;IF(AND(D530&lt;&gt;"",E530=""),"Cod necunoscut. ","")&amp;IF(N(G530)&lt;=0,"Lipsește cantitatea. ","")&amp;IF(N(M530)&gt;N(G530),"Livrat mai mult decât s-a comandat. ","")&amp;IF(N(I530)&gt;0.3,"Discount neobișnuit de mare. ","")))</f>
        <v/>
      </c>
    </row>
    <row r="531" spans="1:15" x14ac:dyDescent="0.2">
      <c r="A531" s="1" t="str">
        <f t="shared" si="64"/>
        <v/>
      </c>
      <c r="B531" s="17"/>
      <c r="C531" s="18" t="str">
        <f>IF(B531="","",COUNTIF(INDEX($B:$B,5):B531,B531))</f>
        <v/>
      </c>
      <c r="D531" s="17"/>
      <c r="E531" s="19" t="str">
        <f t="shared" si="65"/>
        <v/>
      </c>
      <c r="F531" s="18" t="str">
        <f t="shared" si="66"/>
        <v/>
      </c>
      <c r="G531" s="6"/>
      <c r="H531" s="20" t="str">
        <f t="shared" si="67"/>
        <v/>
      </c>
      <c r="I531" s="21"/>
      <c r="J531" s="22" t="str">
        <f t="shared" si="68"/>
        <v/>
      </c>
      <c r="K531" s="20" t="str">
        <f t="shared" si="69"/>
        <v/>
      </c>
      <c r="L531" s="20" t="str">
        <f t="shared" si="70"/>
        <v/>
      </c>
      <c r="M531" s="6"/>
      <c r="N531" s="19" t="str">
        <f t="shared" si="71"/>
        <v/>
      </c>
      <c r="O531" s="23" t="str">
        <f>IF(B531="","",TRIM(IF(COUNTIF('Registru comenzi'!$B$5:$B$304,B531)=0,"Comandă inexistentă în registru. ","")&amp;IF(AND(D531&lt;&gt;"",E531=""),"Cod necunoscut. ","")&amp;IF(N(G531)&lt;=0,"Lipsește cantitatea. ","")&amp;IF(N(M531)&gt;N(G531),"Livrat mai mult decât s-a comandat. ","")&amp;IF(N(I531)&gt;0.3,"Discount neobișnuit de mare. ","")))</f>
        <v/>
      </c>
    </row>
    <row r="532" spans="1:15" x14ac:dyDescent="0.2">
      <c r="A532" s="1" t="str">
        <f t="shared" si="64"/>
        <v/>
      </c>
      <c r="B532" s="17"/>
      <c r="C532" s="18" t="str">
        <f>IF(B532="","",COUNTIF(INDEX($B:$B,5):B532,B532))</f>
        <v/>
      </c>
      <c r="D532" s="17"/>
      <c r="E532" s="19" t="str">
        <f t="shared" si="65"/>
        <v/>
      </c>
      <c r="F532" s="18" t="str">
        <f t="shared" si="66"/>
        <v/>
      </c>
      <c r="G532" s="6"/>
      <c r="H532" s="20" t="str">
        <f t="shared" si="67"/>
        <v/>
      </c>
      <c r="I532" s="21"/>
      <c r="J532" s="22" t="str">
        <f t="shared" si="68"/>
        <v/>
      </c>
      <c r="K532" s="20" t="str">
        <f t="shared" si="69"/>
        <v/>
      </c>
      <c r="L532" s="20" t="str">
        <f t="shared" si="70"/>
        <v/>
      </c>
      <c r="M532" s="6"/>
      <c r="N532" s="19" t="str">
        <f t="shared" si="71"/>
        <v/>
      </c>
      <c r="O532" s="23" t="str">
        <f>IF(B532="","",TRIM(IF(COUNTIF('Registru comenzi'!$B$5:$B$304,B532)=0,"Comandă inexistentă în registru. ","")&amp;IF(AND(D532&lt;&gt;"",E532=""),"Cod necunoscut. ","")&amp;IF(N(G532)&lt;=0,"Lipsește cantitatea. ","")&amp;IF(N(M532)&gt;N(G532),"Livrat mai mult decât s-a comandat. ","")&amp;IF(N(I532)&gt;0.3,"Discount neobișnuit de mare. ","")))</f>
        <v/>
      </c>
    </row>
    <row r="533" spans="1:15" x14ac:dyDescent="0.2">
      <c r="A533" s="1" t="str">
        <f t="shared" si="64"/>
        <v/>
      </c>
      <c r="B533" s="17"/>
      <c r="C533" s="18" t="str">
        <f>IF(B533="","",COUNTIF(INDEX($B:$B,5):B533,B533))</f>
        <v/>
      </c>
      <c r="D533" s="17"/>
      <c r="E533" s="19" t="str">
        <f t="shared" si="65"/>
        <v/>
      </c>
      <c r="F533" s="18" t="str">
        <f t="shared" si="66"/>
        <v/>
      </c>
      <c r="G533" s="6"/>
      <c r="H533" s="20" t="str">
        <f t="shared" si="67"/>
        <v/>
      </c>
      <c r="I533" s="21"/>
      <c r="J533" s="22" t="str">
        <f t="shared" si="68"/>
        <v/>
      </c>
      <c r="K533" s="20" t="str">
        <f t="shared" si="69"/>
        <v/>
      </c>
      <c r="L533" s="20" t="str">
        <f t="shared" si="70"/>
        <v/>
      </c>
      <c r="M533" s="6"/>
      <c r="N533" s="19" t="str">
        <f t="shared" si="71"/>
        <v/>
      </c>
      <c r="O533" s="23" t="str">
        <f>IF(B533="","",TRIM(IF(COUNTIF('Registru comenzi'!$B$5:$B$304,B533)=0,"Comandă inexistentă în registru. ","")&amp;IF(AND(D533&lt;&gt;"",E533=""),"Cod necunoscut. ","")&amp;IF(N(G533)&lt;=0,"Lipsește cantitatea. ","")&amp;IF(N(M533)&gt;N(G533),"Livrat mai mult decât s-a comandat. ","")&amp;IF(N(I533)&gt;0.3,"Discount neobișnuit de mare. ","")))</f>
        <v/>
      </c>
    </row>
    <row r="534" spans="1:15" x14ac:dyDescent="0.2">
      <c r="A534" s="1" t="str">
        <f t="shared" si="64"/>
        <v/>
      </c>
      <c r="B534" s="17"/>
      <c r="C534" s="18" t="str">
        <f>IF(B534="","",COUNTIF(INDEX($B:$B,5):B534,B534))</f>
        <v/>
      </c>
      <c r="D534" s="17"/>
      <c r="E534" s="19" t="str">
        <f t="shared" si="65"/>
        <v/>
      </c>
      <c r="F534" s="18" t="str">
        <f t="shared" si="66"/>
        <v/>
      </c>
      <c r="G534" s="6"/>
      <c r="H534" s="20" t="str">
        <f t="shared" si="67"/>
        <v/>
      </c>
      <c r="I534" s="21"/>
      <c r="J534" s="22" t="str">
        <f t="shared" si="68"/>
        <v/>
      </c>
      <c r="K534" s="20" t="str">
        <f t="shared" si="69"/>
        <v/>
      </c>
      <c r="L534" s="20" t="str">
        <f t="shared" si="70"/>
        <v/>
      </c>
      <c r="M534" s="6"/>
      <c r="N534" s="19" t="str">
        <f t="shared" si="71"/>
        <v/>
      </c>
      <c r="O534" s="23" t="str">
        <f>IF(B534="","",TRIM(IF(COUNTIF('Registru comenzi'!$B$5:$B$304,B534)=0,"Comandă inexistentă în registru. ","")&amp;IF(AND(D534&lt;&gt;"",E534=""),"Cod necunoscut. ","")&amp;IF(N(G534)&lt;=0,"Lipsește cantitatea. ","")&amp;IF(N(M534)&gt;N(G534),"Livrat mai mult decât s-a comandat. ","")&amp;IF(N(I534)&gt;0.3,"Discount neobișnuit de mare. ","")))</f>
        <v/>
      </c>
    </row>
    <row r="535" spans="1:15" x14ac:dyDescent="0.2">
      <c r="A535" s="1" t="str">
        <f t="shared" si="64"/>
        <v/>
      </c>
      <c r="B535" s="17"/>
      <c r="C535" s="18" t="str">
        <f>IF(B535="","",COUNTIF(INDEX($B:$B,5):B535,B535))</f>
        <v/>
      </c>
      <c r="D535" s="17"/>
      <c r="E535" s="19" t="str">
        <f t="shared" si="65"/>
        <v/>
      </c>
      <c r="F535" s="18" t="str">
        <f t="shared" si="66"/>
        <v/>
      </c>
      <c r="G535" s="6"/>
      <c r="H535" s="20" t="str">
        <f t="shared" si="67"/>
        <v/>
      </c>
      <c r="I535" s="21"/>
      <c r="J535" s="22" t="str">
        <f t="shared" si="68"/>
        <v/>
      </c>
      <c r="K535" s="20" t="str">
        <f t="shared" si="69"/>
        <v/>
      </c>
      <c r="L535" s="20" t="str">
        <f t="shared" si="70"/>
        <v/>
      </c>
      <c r="M535" s="6"/>
      <c r="N535" s="19" t="str">
        <f t="shared" si="71"/>
        <v/>
      </c>
      <c r="O535" s="23" t="str">
        <f>IF(B535="","",TRIM(IF(COUNTIF('Registru comenzi'!$B$5:$B$304,B535)=0,"Comandă inexistentă în registru. ","")&amp;IF(AND(D535&lt;&gt;"",E535=""),"Cod necunoscut. ","")&amp;IF(N(G535)&lt;=0,"Lipsește cantitatea. ","")&amp;IF(N(M535)&gt;N(G535),"Livrat mai mult decât s-a comandat. ","")&amp;IF(N(I535)&gt;0.3,"Discount neobișnuit de mare. ","")))</f>
        <v/>
      </c>
    </row>
    <row r="536" spans="1:15" x14ac:dyDescent="0.2">
      <c r="A536" s="1" t="str">
        <f t="shared" si="64"/>
        <v/>
      </c>
      <c r="B536" s="17"/>
      <c r="C536" s="18" t="str">
        <f>IF(B536="","",COUNTIF(INDEX($B:$B,5):B536,B536))</f>
        <v/>
      </c>
      <c r="D536" s="17"/>
      <c r="E536" s="19" t="str">
        <f t="shared" si="65"/>
        <v/>
      </c>
      <c r="F536" s="18" t="str">
        <f t="shared" si="66"/>
        <v/>
      </c>
      <c r="G536" s="6"/>
      <c r="H536" s="20" t="str">
        <f t="shared" si="67"/>
        <v/>
      </c>
      <c r="I536" s="21"/>
      <c r="J536" s="22" t="str">
        <f t="shared" si="68"/>
        <v/>
      </c>
      <c r="K536" s="20" t="str">
        <f t="shared" si="69"/>
        <v/>
      </c>
      <c r="L536" s="20" t="str">
        <f t="shared" si="70"/>
        <v/>
      </c>
      <c r="M536" s="6"/>
      <c r="N536" s="19" t="str">
        <f t="shared" si="71"/>
        <v/>
      </c>
      <c r="O536" s="23" t="str">
        <f>IF(B536="","",TRIM(IF(COUNTIF('Registru comenzi'!$B$5:$B$304,B536)=0,"Comandă inexistentă în registru. ","")&amp;IF(AND(D536&lt;&gt;"",E536=""),"Cod necunoscut. ","")&amp;IF(N(G536)&lt;=0,"Lipsește cantitatea. ","")&amp;IF(N(M536)&gt;N(G536),"Livrat mai mult decât s-a comandat. ","")&amp;IF(N(I536)&gt;0.3,"Discount neobișnuit de mare. ","")))</f>
        <v/>
      </c>
    </row>
    <row r="537" spans="1:15" x14ac:dyDescent="0.2">
      <c r="A537" s="1" t="str">
        <f t="shared" si="64"/>
        <v/>
      </c>
      <c r="B537" s="17"/>
      <c r="C537" s="18" t="str">
        <f>IF(B537="","",COUNTIF(INDEX($B:$B,5):B537,B537))</f>
        <v/>
      </c>
      <c r="D537" s="17"/>
      <c r="E537" s="19" t="str">
        <f t="shared" si="65"/>
        <v/>
      </c>
      <c r="F537" s="18" t="str">
        <f t="shared" si="66"/>
        <v/>
      </c>
      <c r="G537" s="6"/>
      <c r="H537" s="20" t="str">
        <f t="shared" si="67"/>
        <v/>
      </c>
      <c r="I537" s="21"/>
      <c r="J537" s="22" t="str">
        <f t="shared" si="68"/>
        <v/>
      </c>
      <c r="K537" s="20" t="str">
        <f t="shared" si="69"/>
        <v/>
      </c>
      <c r="L537" s="20" t="str">
        <f t="shared" si="70"/>
        <v/>
      </c>
      <c r="M537" s="6"/>
      <c r="N537" s="19" t="str">
        <f t="shared" si="71"/>
        <v/>
      </c>
      <c r="O537" s="23" t="str">
        <f>IF(B537="","",TRIM(IF(COUNTIF('Registru comenzi'!$B$5:$B$304,B537)=0,"Comandă inexistentă în registru. ","")&amp;IF(AND(D537&lt;&gt;"",E537=""),"Cod necunoscut. ","")&amp;IF(N(G537)&lt;=0,"Lipsește cantitatea. ","")&amp;IF(N(M537)&gt;N(G537),"Livrat mai mult decât s-a comandat. ","")&amp;IF(N(I537)&gt;0.3,"Discount neobișnuit de mare. ","")))</f>
        <v/>
      </c>
    </row>
    <row r="538" spans="1:15" x14ac:dyDescent="0.2">
      <c r="A538" s="1" t="str">
        <f t="shared" si="64"/>
        <v/>
      </c>
      <c r="B538" s="17"/>
      <c r="C538" s="18" t="str">
        <f>IF(B538="","",COUNTIF(INDEX($B:$B,5):B538,B538))</f>
        <v/>
      </c>
      <c r="D538" s="17"/>
      <c r="E538" s="19" t="str">
        <f t="shared" si="65"/>
        <v/>
      </c>
      <c r="F538" s="18" t="str">
        <f t="shared" si="66"/>
        <v/>
      </c>
      <c r="G538" s="6"/>
      <c r="H538" s="20" t="str">
        <f t="shared" si="67"/>
        <v/>
      </c>
      <c r="I538" s="21"/>
      <c r="J538" s="22" t="str">
        <f t="shared" si="68"/>
        <v/>
      </c>
      <c r="K538" s="20" t="str">
        <f t="shared" si="69"/>
        <v/>
      </c>
      <c r="L538" s="20" t="str">
        <f t="shared" si="70"/>
        <v/>
      </c>
      <c r="M538" s="6"/>
      <c r="N538" s="19" t="str">
        <f t="shared" si="71"/>
        <v/>
      </c>
      <c r="O538" s="23" t="str">
        <f>IF(B538="","",TRIM(IF(COUNTIF('Registru comenzi'!$B$5:$B$304,B538)=0,"Comandă inexistentă în registru. ","")&amp;IF(AND(D538&lt;&gt;"",E538=""),"Cod necunoscut. ","")&amp;IF(N(G538)&lt;=0,"Lipsește cantitatea. ","")&amp;IF(N(M538)&gt;N(G538),"Livrat mai mult decât s-a comandat. ","")&amp;IF(N(I538)&gt;0.3,"Discount neobișnuit de mare. ","")))</f>
        <v/>
      </c>
    </row>
    <row r="539" spans="1:15" x14ac:dyDescent="0.2">
      <c r="A539" s="1" t="str">
        <f t="shared" si="64"/>
        <v/>
      </c>
      <c r="B539" s="17"/>
      <c r="C539" s="18" t="str">
        <f>IF(B539="","",COUNTIF(INDEX($B:$B,5):B539,B539))</f>
        <v/>
      </c>
      <c r="D539" s="17"/>
      <c r="E539" s="19" t="str">
        <f t="shared" si="65"/>
        <v/>
      </c>
      <c r="F539" s="18" t="str">
        <f t="shared" si="66"/>
        <v/>
      </c>
      <c r="G539" s="6"/>
      <c r="H539" s="20" t="str">
        <f t="shared" si="67"/>
        <v/>
      </c>
      <c r="I539" s="21"/>
      <c r="J539" s="22" t="str">
        <f t="shared" si="68"/>
        <v/>
      </c>
      <c r="K539" s="20" t="str">
        <f t="shared" si="69"/>
        <v/>
      </c>
      <c r="L539" s="20" t="str">
        <f t="shared" si="70"/>
        <v/>
      </c>
      <c r="M539" s="6"/>
      <c r="N539" s="19" t="str">
        <f t="shared" si="71"/>
        <v/>
      </c>
      <c r="O539" s="23" t="str">
        <f>IF(B539="","",TRIM(IF(COUNTIF('Registru comenzi'!$B$5:$B$304,B539)=0,"Comandă inexistentă în registru. ","")&amp;IF(AND(D539&lt;&gt;"",E539=""),"Cod necunoscut. ","")&amp;IF(N(G539)&lt;=0,"Lipsește cantitatea. ","")&amp;IF(N(M539)&gt;N(G539),"Livrat mai mult decât s-a comandat. ","")&amp;IF(N(I539)&gt;0.3,"Discount neobișnuit de mare. ","")))</f>
        <v/>
      </c>
    </row>
    <row r="540" spans="1:15" x14ac:dyDescent="0.2">
      <c r="A540" s="1" t="str">
        <f t="shared" si="64"/>
        <v/>
      </c>
      <c r="B540" s="17"/>
      <c r="C540" s="18" t="str">
        <f>IF(B540="","",COUNTIF(INDEX($B:$B,5):B540,B540))</f>
        <v/>
      </c>
      <c r="D540" s="17"/>
      <c r="E540" s="19" t="str">
        <f t="shared" si="65"/>
        <v/>
      </c>
      <c r="F540" s="18" t="str">
        <f t="shared" si="66"/>
        <v/>
      </c>
      <c r="G540" s="6"/>
      <c r="H540" s="20" t="str">
        <f t="shared" si="67"/>
        <v/>
      </c>
      <c r="I540" s="21"/>
      <c r="J540" s="22" t="str">
        <f t="shared" si="68"/>
        <v/>
      </c>
      <c r="K540" s="20" t="str">
        <f t="shared" si="69"/>
        <v/>
      </c>
      <c r="L540" s="20" t="str">
        <f t="shared" si="70"/>
        <v/>
      </c>
      <c r="M540" s="6"/>
      <c r="N540" s="19" t="str">
        <f t="shared" si="71"/>
        <v/>
      </c>
      <c r="O540" s="23" t="str">
        <f>IF(B540="","",TRIM(IF(COUNTIF('Registru comenzi'!$B$5:$B$304,B540)=0,"Comandă inexistentă în registru. ","")&amp;IF(AND(D540&lt;&gt;"",E540=""),"Cod necunoscut. ","")&amp;IF(N(G540)&lt;=0,"Lipsește cantitatea. ","")&amp;IF(N(M540)&gt;N(G540),"Livrat mai mult decât s-a comandat. ","")&amp;IF(N(I540)&gt;0.3,"Discount neobișnuit de mare. ","")))</f>
        <v/>
      </c>
    </row>
    <row r="541" spans="1:15" x14ac:dyDescent="0.2">
      <c r="A541" s="1" t="str">
        <f t="shared" si="64"/>
        <v/>
      </c>
      <c r="B541" s="17"/>
      <c r="C541" s="18" t="str">
        <f>IF(B541="","",COUNTIF(INDEX($B:$B,5):B541,B541))</f>
        <v/>
      </c>
      <c r="D541" s="17"/>
      <c r="E541" s="19" t="str">
        <f t="shared" si="65"/>
        <v/>
      </c>
      <c r="F541" s="18" t="str">
        <f t="shared" si="66"/>
        <v/>
      </c>
      <c r="G541" s="6"/>
      <c r="H541" s="20" t="str">
        <f t="shared" si="67"/>
        <v/>
      </c>
      <c r="I541" s="21"/>
      <c r="J541" s="22" t="str">
        <f t="shared" si="68"/>
        <v/>
      </c>
      <c r="K541" s="20" t="str">
        <f t="shared" si="69"/>
        <v/>
      </c>
      <c r="L541" s="20" t="str">
        <f t="shared" si="70"/>
        <v/>
      </c>
      <c r="M541" s="6"/>
      <c r="N541" s="19" t="str">
        <f t="shared" si="71"/>
        <v/>
      </c>
      <c r="O541" s="23" t="str">
        <f>IF(B541="","",TRIM(IF(COUNTIF('Registru comenzi'!$B$5:$B$304,B541)=0,"Comandă inexistentă în registru. ","")&amp;IF(AND(D541&lt;&gt;"",E541=""),"Cod necunoscut. ","")&amp;IF(N(G541)&lt;=0,"Lipsește cantitatea. ","")&amp;IF(N(M541)&gt;N(G541),"Livrat mai mult decât s-a comandat. ","")&amp;IF(N(I541)&gt;0.3,"Discount neobișnuit de mare. ","")))</f>
        <v/>
      </c>
    </row>
    <row r="542" spans="1:15" x14ac:dyDescent="0.2">
      <c r="A542" s="1" t="str">
        <f t="shared" si="64"/>
        <v/>
      </c>
      <c r="B542" s="17"/>
      <c r="C542" s="18" t="str">
        <f>IF(B542="","",COUNTIF(INDEX($B:$B,5):B542,B542))</f>
        <v/>
      </c>
      <c r="D542" s="17"/>
      <c r="E542" s="19" t="str">
        <f t="shared" si="65"/>
        <v/>
      </c>
      <c r="F542" s="18" t="str">
        <f t="shared" si="66"/>
        <v/>
      </c>
      <c r="G542" s="6"/>
      <c r="H542" s="20" t="str">
        <f t="shared" si="67"/>
        <v/>
      </c>
      <c r="I542" s="21"/>
      <c r="J542" s="22" t="str">
        <f t="shared" si="68"/>
        <v/>
      </c>
      <c r="K542" s="20" t="str">
        <f t="shared" si="69"/>
        <v/>
      </c>
      <c r="L542" s="20" t="str">
        <f t="shared" si="70"/>
        <v/>
      </c>
      <c r="M542" s="6"/>
      <c r="N542" s="19" t="str">
        <f t="shared" si="71"/>
        <v/>
      </c>
      <c r="O542" s="23" t="str">
        <f>IF(B542="","",TRIM(IF(COUNTIF('Registru comenzi'!$B$5:$B$304,B542)=0,"Comandă inexistentă în registru. ","")&amp;IF(AND(D542&lt;&gt;"",E542=""),"Cod necunoscut. ","")&amp;IF(N(G542)&lt;=0,"Lipsește cantitatea. ","")&amp;IF(N(M542)&gt;N(G542),"Livrat mai mult decât s-a comandat. ","")&amp;IF(N(I542)&gt;0.3,"Discount neobișnuit de mare. ","")))</f>
        <v/>
      </c>
    </row>
    <row r="543" spans="1:15" x14ac:dyDescent="0.2">
      <c r="A543" s="1" t="str">
        <f t="shared" si="64"/>
        <v/>
      </c>
      <c r="B543" s="17"/>
      <c r="C543" s="18" t="str">
        <f>IF(B543="","",COUNTIF(INDEX($B:$B,5):B543,B543))</f>
        <v/>
      </c>
      <c r="D543" s="17"/>
      <c r="E543" s="19" t="str">
        <f t="shared" si="65"/>
        <v/>
      </c>
      <c r="F543" s="18" t="str">
        <f t="shared" si="66"/>
        <v/>
      </c>
      <c r="G543" s="6"/>
      <c r="H543" s="20" t="str">
        <f t="shared" si="67"/>
        <v/>
      </c>
      <c r="I543" s="21"/>
      <c r="J543" s="22" t="str">
        <f t="shared" si="68"/>
        <v/>
      </c>
      <c r="K543" s="20" t="str">
        <f t="shared" si="69"/>
        <v/>
      </c>
      <c r="L543" s="20" t="str">
        <f t="shared" si="70"/>
        <v/>
      </c>
      <c r="M543" s="6"/>
      <c r="N543" s="19" t="str">
        <f t="shared" si="71"/>
        <v/>
      </c>
      <c r="O543" s="23" t="str">
        <f>IF(B543="","",TRIM(IF(COUNTIF('Registru comenzi'!$B$5:$B$304,B543)=0,"Comandă inexistentă în registru. ","")&amp;IF(AND(D543&lt;&gt;"",E543=""),"Cod necunoscut. ","")&amp;IF(N(G543)&lt;=0,"Lipsește cantitatea. ","")&amp;IF(N(M543)&gt;N(G543),"Livrat mai mult decât s-a comandat. ","")&amp;IF(N(I543)&gt;0.3,"Discount neobișnuit de mare. ","")))</f>
        <v/>
      </c>
    </row>
    <row r="544" spans="1:15" x14ac:dyDescent="0.2">
      <c r="A544" s="1" t="str">
        <f t="shared" si="64"/>
        <v/>
      </c>
      <c r="B544" s="17"/>
      <c r="C544" s="18" t="str">
        <f>IF(B544="","",COUNTIF(INDEX($B:$B,5):B544,B544))</f>
        <v/>
      </c>
      <c r="D544" s="17"/>
      <c r="E544" s="19" t="str">
        <f t="shared" si="65"/>
        <v/>
      </c>
      <c r="F544" s="18" t="str">
        <f t="shared" si="66"/>
        <v/>
      </c>
      <c r="G544" s="6"/>
      <c r="H544" s="20" t="str">
        <f t="shared" si="67"/>
        <v/>
      </c>
      <c r="I544" s="21"/>
      <c r="J544" s="22" t="str">
        <f t="shared" si="68"/>
        <v/>
      </c>
      <c r="K544" s="20" t="str">
        <f t="shared" si="69"/>
        <v/>
      </c>
      <c r="L544" s="20" t="str">
        <f t="shared" si="70"/>
        <v/>
      </c>
      <c r="M544" s="6"/>
      <c r="N544" s="19" t="str">
        <f t="shared" si="71"/>
        <v/>
      </c>
      <c r="O544" s="23" t="str">
        <f>IF(B544="","",TRIM(IF(COUNTIF('Registru comenzi'!$B$5:$B$304,B544)=0,"Comandă inexistentă în registru. ","")&amp;IF(AND(D544&lt;&gt;"",E544=""),"Cod necunoscut. ","")&amp;IF(N(G544)&lt;=0,"Lipsește cantitatea. ","")&amp;IF(N(M544)&gt;N(G544),"Livrat mai mult decât s-a comandat. ","")&amp;IF(N(I544)&gt;0.3,"Discount neobișnuit de mare. ","")))</f>
        <v/>
      </c>
    </row>
    <row r="545" spans="1:15" x14ac:dyDescent="0.2">
      <c r="A545" s="1" t="str">
        <f t="shared" si="64"/>
        <v/>
      </c>
      <c r="B545" s="17"/>
      <c r="C545" s="18" t="str">
        <f>IF(B545="","",COUNTIF(INDEX($B:$B,5):B545,B545))</f>
        <v/>
      </c>
      <c r="D545" s="17"/>
      <c r="E545" s="19" t="str">
        <f t="shared" si="65"/>
        <v/>
      </c>
      <c r="F545" s="18" t="str">
        <f t="shared" si="66"/>
        <v/>
      </c>
      <c r="G545" s="6"/>
      <c r="H545" s="20" t="str">
        <f t="shared" si="67"/>
        <v/>
      </c>
      <c r="I545" s="21"/>
      <c r="J545" s="22" t="str">
        <f t="shared" si="68"/>
        <v/>
      </c>
      <c r="K545" s="20" t="str">
        <f t="shared" si="69"/>
        <v/>
      </c>
      <c r="L545" s="20" t="str">
        <f t="shared" si="70"/>
        <v/>
      </c>
      <c r="M545" s="6"/>
      <c r="N545" s="19" t="str">
        <f t="shared" si="71"/>
        <v/>
      </c>
      <c r="O545" s="23" t="str">
        <f>IF(B545="","",TRIM(IF(COUNTIF('Registru comenzi'!$B$5:$B$304,B545)=0,"Comandă inexistentă în registru. ","")&amp;IF(AND(D545&lt;&gt;"",E545=""),"Cod necunoscut. ","")&amp;IF(N(G545)&lt;=0,"Lipsește cantitatea. ","")&amp;IF(N(M545)&gt;N(G545),"Livrat mai mult decât s-a comandat. ","")&amp;IF(N(I545)&gt;0.3,"Discount neobișnuit de mare. ","")))</f>
        <v/>
      </c>
    </row>
    <row r="546" spans="1:15" x14ac:dyDescent="0.2">
      <c r="A546" s="1" t="str">
        <f t="shared" si="64"/>
        <v/>
      </c>
      <c r="B546" s="17"/>
      <c r="C546" s="18" t="str">
        <f>IF(B546="","",COUNTIF(INDEX($B:$B,5):B546,B546))</f>
        <v/>
      </c>
      <c r="D546" s="17"/>
      <c r="E546" s="19" t="str">
        <f t="shared" si="65"/>
        <v/>
      </c>
      <c r="F546" s="18" t="str">
        <f t="shared" si="66"/>
        <v/>
      </c>
      <c r="G546" s="6"/>
      <c r="H546" s="20" t="str">
        <f t="shared" si="67"/>
        <v/>
      </c>
      <c r="I546" s="21"/>
      <c r="J546" s="22" t="str">
        <f t="shared" si="68"/>
        <v/>
      </c>
      <c r="K546" s="20" t="str">
        <f t="shared" si="69"/>
        <v/>
      </c>
      <c r="L546" s="20" t="str">
        <f t="shared" si="70"/>
        <v/>
      </c>
      <c r="M546" s="6"/>
      <c r="N546" s="19" t="str">
        <f t="shared" si="71"/>
        <v/>
      </c>
      <c r="O546" s="23" t="str">
        <f>IF(B546="","",TRIM(IF(COUNTIF('Registru comenzi'!$B$5:$B$304,B546)=0,"Comandă inexistentă în registru. ","")&amp;IF(AND(D546&lt;&gt;"",E546=""),"Cod necunoscut. ","")&amp;IF(N(G546)&lt;=0,"Lipsește cantitatea. ","")&amp;IF(N(M546)&gt;N(G546),"Livrat mai mult decât s-a comandat. ","")&amp;IF(N(I546)&gt;0.3,"Discount neobișnuit de mare. ","")))</f>
        <v/>
      </c>
    </row>
    <row r="547" spans="1:15" x14ac:dyDescent="0.2">
      <c r="A547" s="1" t="str">
        <f t="shared" si="64"/>
        <v/>
      </c>
      <c r="B547" s="17"/>
      <c r="C547" s="18" t="str">
        <f>IF(B547="","",COUNTIF(INDEX($B:$B,5):B547,B547))</f>
        <v/>
      </c>
      <c r="D547" s="17"/>
      <c r="E547" s="19" t="str">
        <f t="shared" si="65"/>
        <v/>
      </c>
      <c r="F547" s="18" t="str">
        <f t="shared" si="66"/>
        <v/>
      </c>
      <c r="G547" s="6"/>
      <c r="H547" s="20" t="str">
        <f t="shared" si="67"/>
        <v/>
      </c>
      <c r="I547" s="21"/>
      <c r="J547" s="22" t="str">
        <f t="shared" si="68"/>
        <v/>
      </c>
      <c r="K547" s="20" t="str">
        <f t="shared" si="69"/>
        <v/>
      </c>
      <c r="L547" s="20" t="str">
        <f t="shared" si="70"/>
        <v/>
      </c>
      <c r="M547" s="6"/>
      <c r="N547" s="19" t="str">
        <f t="shared" si="71"/>
        <v/>
      </c>
      <c r="O547" s="23" t="str">
        <f>IF(B547="","",TRIM(IF(COUNTIF('Registru comenzi'!$B$5:$B$304,B547)=0,"Comandă inexistentă în registru. ","")&amp;IF(AND(D547&lt;&gt;"",E547=""),"Cod necunoscut. ","")&amp;IF(N(G547)&lt;=0,"Lipsește cantitatea. ","")&amp;IF(N(M547)&gt;N(G547),"Livrat mai mult decât s-a comandat. ","")&amp;IF(N(I547)&gt;0.3,"Discount neobișnuit de mare. ","")))</f>
        <v/>
      </c>
    </row>
    <row r="548" spans="1:15" x14ac:dyDescent="0.2">
      <c r="A548" s="1" t="str">
        <f t="shared" si="64"/>
        <v/>
      </c>
      <c r="B548" s="17"/>
      <c r="C548" s="18" t="str">
        <f>IF(B548="","",COUNTIF(INDEX($B:$B,5):B548,B548))</f>
        <v/>
      </c>
      <c r="D548" s="17"/>
      <c r="E548" s="19" t="str">
        <f t="shared" si="65"/>
        <v/>
      </c>
      <c r="F548" s="18" t="str">
        <f t="shared" si="66"/>
        <v/>
      </c>
      <c r="G548" s="6"/>
      <c r="H548" s="20" t="str">
        <f t="shared" si="67"/>
        <v/>
      </c>
      <c r="I548" s="21"/>
      <c r="J548" s="22" t="str">
        <f t="shared" si="68"/>
        <v/>
      </c>
      <c r="K548" s="20" t="str">
        <f t="shared" si="69"/>
        <v/>
      </c>
      <c r="L548" s="20" t="str">
        <f t="shared" si="70"/>
        <v/>
      </c>
      <c r="M548" s="6"/>
      <c r="N548" s="19" t="str">
        <f t="shared" si="71"/>
        <v/>
      </c>
      <c r="O548" s="23" t="str">
        <f>IF(B548="","",TRIM(IF(COUNTIF('Registru comenzi'!$B$5:$B$304,B548)=0,"Comandă inexistentă în registru. ","")&amp;IF(AND(D548&lt;&gt;"",E548=""),"Cod necunoscut. ","")&amp;IF(N(G548)&lt;=0,"Lipsește cantitatea. ","")&amp;IF(N(M548)&gt;N(G548),"Livrat mai mult decât s-a comandat. ","")&amp;IF(N(I548)&gt;0.3,"Discount neobișnuit de mare. ","")))</f>
        <v/>
      </c>
    </row>
    <row r="549" spans="1:15" x14ac:dyDescent="0.2">
      <c r="A549" s="1" t="str">
        <f t="shared" si="64"/>
        <v/>
      </c>
      <c r="B549" s="17"/>
      <c r="C549" s="18" t="str">
        <f>IF(B549="","",COUNTIF(INDEX($B:$B,5):B549,B549))</f>
        <v/>
      </c>
      <c r="D549" s="17"/>
      <c r="E549" s="19" t="str">
        <f t="shared" si="65"/>
        <v/>
      </c>
      <c r="F549" s="18" t="str">
        <f t="shared" si="66"/>
        <v/>
      </c>
      <c r="G549" s="6"/>
      <c r="H549" s="20" t="str">
        <f t="shared" si="67"/>
        <v/>
      </c>
      <c r="I549" s="21"/>
      <c r="J549" s="22" t="str">
        <f t="shared" si="68"/>
        <v/>
      </c>
      <c r="K549" s="20" t="str">
        <f t="shared" si="69"/>
        <v/>
      </c>
      <c r="L549" s="20" t="str">
        <f t="shared" si="70"/>
        <v/>
      </c>
      <c r="M549" s="6"/>
      <c r="N549" s="19" t="str">
        <f t="shared" si="71"/>
        <v/>
      </c>
      <c r="O549" s="23" t="str">
        <f>IF(B549="","",TRIM(IF(COUNTIF('Registru comenzi'!$B$5:$B$304,B549)=0,"Comandă inexistentă în registru. ","")&amp;IF(AND(D549&lt;&gt;"",E549=""),"Cod necunoscut. ","")&amp;IF(N(G549)&lt;=0,"Lipsește cantitatea. ","")&amp;IF(N(M549)&gt;N(G549),"Livrat mai mult decât s-a comandat. ","")&amp;IF(N(I549)&gt;0.3,"Discount neobișnuit de mare. ","")))</f>
        <v/>
      </c>
    </row>
    <row r="550" spans="1:15" x14ac:dyDescent="0.2">
      <c r="A550" s="1" t="str">
        <f t="shared" si="64"/>
        <v/>
      </c>
      <c r="B550" s="17"/>
      <c r="C550" s="18" t="str">
        <f>IF(B550="","",COUNTIF(INDEX($B:$B,5):B550,B550))</f>
        <v/>
      </c>
      <c r="D550" s="17"/>
      <c r="E550" s="19" t="str">
        <f t="shared" si="65"/>
        <v/>
      </c>
      <c r="F550" s="18" t="str">
        <f t="shared" si="66"/>
        <v/>
      </c>
      <c r="G550" s="6"/>
      <c r="H550" s="20" t="str">
        <f t="shared" si="67"/>
        <v/>
      </c>
      <c r="I550" s="21"/>
      <c r="J550" s="22" t="str">
        <f t="shared" si="68"/>
        <v/>
      </c>
      <c r="K550" s="20" t="str">
        <f t="shared" si="69"/>
        <v/>
      </c>
      <c r="L550" s="20" t="str">
        <f t="shared" si="70"/>
        <v/>
      </c>
      <c r="M550" s="6"/>
      <c r="N550" s="19" t="str">
        <f t="shared" si="71"/>
        <v/>
      </c>
      <c r="O550" s="23" t="str">
        <f>IF(B550="","",TRIM(IF(COUNTIF('Registru comenzi'!$B$5:$B$304,B550)=0,"Comandă inexistentă în registru. ","")&amp;IF(AND(D550&lt;&gt;"",E550=""),"Cod necunoscut. ","")&amp;IF(N(G550)&lt;=0,"Lipsește cantitatea. ","")&amp;IF(N(M550)&gt;N(G550),"Livrat mai mult decât s-a comandat. ","")&amp;IF(N(I550)&gt;0.3,"Discount neobișnuit de mare. ","")))</f>
        <v/>
      </c>
    </row>
    <row r="551" spans="1:15" x14ac:dyDescent="0.2">
      <c r="A551" s="1" t="str">
        <f t="shared" si="64"/>
        <v/>
      </c>
      <c r="B551" s="17"/>
      <c r="C551" s="18" t="str">
        <f>IF(B551="","",COUNTIF(INDEX($B:$B,5):B551,B551))</f>
        <v/>
      </c>
      <c r="D551" s="17"/>
      <c r="E551" s="19" t="str">
        <f t="shared" si="65"/>
        <v/>
      </c>
      <c r="F551" s="18" t="str">
        <f t="shared" si="66"/>
        <v/>
      </c>
      <c r="G551" s="6"/>
      <c r="H551" s="20" t="str">
        <f t="shared" si="67"/>
        <v/>
      </c>
      <c r="I551" s="21"/>
      <c r="J551" s="22" t="str">
        <f t="shared" si="68"/>
        <v/>
      </c>
      <c r="K551" s="20" t="str">
        <f t="shared" si="69"/>
        <v/>
      </c>
      <c r="L551" s="20" t="str">
        <f t="shared" si="70"/>
        <v/>
      </c>
      <c r="M551" s="6"/>
      <c r="N551" s="19" t="str">
        <f t="shared" si="71"/>
        <v/>
      </c>
      <c r="O551" s="23" t="str">
        <f>IF(B551="","",TRIM(IF(COUNTIF('Registru comenzi'!$B$5:$B$304,B551)=0,"Comandă inexistentă în registru. ","")&amp;IF(AND(D551&lt;&gt;"",E551=""),"Cod necunoscut. ","")&amp;IF(N(G551)&lt;=0,"Lipsește cantitatea. ","")&amp;IF(N(M551)&gt;N(G551),"Livrat mai mult decât s-a comandat. ","")&amp;IF(N(I551)&gt;0.3,"Discount neobișnuit de mare. ","")))</f>
        <v/>
      </c>
    </row>
    <row r="552" spans="1:15" x14ac:dyDescent="0.2">
      <c r="A552" s="1" t="str">
        <f t="shared" si="64"/>
        <v/>
      </c>
      <c r="B552" s="17"/>
      <c r="C552" s="18" t="str">
        <f>IF(B552="","",COUNTIF(INDEX($B:$B,5):B552,B552))</f>
        <v/>
      </c>
      <c r="D552" s="17"/>
      <c r="E552" s="19" t="str">
        <f t="shared" si="65"/>
        <v/>
      </c>
      <c r="F552" s="18" t="str">
        <f t="shared" si="66"/>
        <v/>
      </c>
      <c r="G552" s="6"/>
      <c r="H552" s="20" t="str">
        <f t="shared" si="67"/>
        <v/>
      </c>
      <c r="I552" s="21"/>
      <c r="J552" s="22" t="str">
        <f t="shared" si="68"/>
        <v/>
      </c>
      <c r="K552" s="20" t="str">
        <f t="shared" si="69"/>
        <v/>
      </c>
      <c r="L552" s="20" t="str">
        <f t="shared" si="70"/>
        <v/>
      </c>
      <c r="M552" s="6"/>
      <c r="N552" s="19" t="str">
        <f t="shared" si="71"/>
        <v/>
      </c>
      <c r="O552" s="23" t="str">
        <f>IF(B552="","",TRIM(IF(COUNTIF('Registru comenzi'!$B$5:$B$304,B552)=0,"Comandă inexistentă în registru. ","")&amp;IF(AND(D552&lt;&gt;"",E552=""),"Cod necunoscut. ","")&amp;IF(N(G552)&lt;=0,"Lipsește cantitatea. ","")&amp;IF(N(M552)&gt;N(G552),"Livrat mai mult decât s-a comandat. ","")&amp;IF(N(I552)&gt;0.3,"Discount neobișnuit de mare. ","")))</f>
        <v/>
      </c>
    </row>
    <row r="553" spans="1:15" x14ac:dyDescent="0.2">
      <c r="A553" s="1" t="str">
        <f t="shared" si="64"/>
        <v/>
      </c>
      <c r="B553" s="17"/>
      <c r="C553" s="18" t="str">
        <f>IF(B553="","",COUNTIF(INDEX($B:$B,5):B553,B553))</f>
        <v/>
      </c>
      <c r="D553" s="17"/>
      <c r="E553" s="19" t="str">
        <f t="shared" si="65"/>
        <v/>
      </c>
      <c r="F553" s="18" t="str">
        <f t="shared" si="66"/>
        <v/>
      </c>
      <c r="G553" s="6"/>
      <c r="H553" s="20" t="str">
        <f t="shared" si="67"/>
        <v/>
      </c>
      <c r="I553" s="21"/>
      <c r="J553" s="22" t="str">
        <f t="shared" si="68"/>
        <v/>
      </c>
      <c r="K553" s="20" t="str">
        <f t="shared" si="69"/>
        <v/>
      </c>
      <c r="L553" s="20" t="str">
        <f t="shared" si="70"/>
        <v/>
      </c>
      <c r="M553" s="6"/>
      <c r="N553" s="19" t="str">
        <f t="shared" si="71"/>
        <v/>
      </c>
      <c r="O553" s="23" t="str">
        <f>IF(B553="","",TRIM(IF(COUNTIF('Registru comenzi'!$B$5:$B$304,B553)=0,"Comandă inexistentă în registru. ","")&amp;IF(AND(D553&lt;&gt;"",E553=""),"Cod necunoscut. ","")&amp;IF(N(G553)&lt;=0,"Lipsește cantitatea. ","")&amp;IF(N(M553)&gt;N(G553),"Livrat mai mult decât s-a comandat. ","")&amp;IF(N(I553)&gt;0.3,"Discount neobișnuit de mare. ","")))</f>
        <v/>
      </c>
    </row>
    <row r="554" spans="1:15" x14ac:dyDescent="0.2">
      <c r="A554" s="1" t="str">
        <f t="shared" si="64"/>
        <v/>
      </c>
      <c r="B554" s="17"/>
      <c r="C554" s="18" t="str">
        <f>IF(B554="","",COUNTIF(INDEX($B:$B,5):B554,B554))</f>
        <v/>
      </c>
      <c r="D554" s="17"/>
      <c r="E554" s="19" t="str">
        <f t="shared" si="65"/>
        <v/>
      </c>
      <c r="F554" s="18" t="str">
        <f t="shared" si="66"/>
        <v/>
      </c>
      <c r="G554" s="6"/>
      <c r="H554" s="20" t="str">
        <f t="shared" si="67"/>
        <v/>
      </c>
      <c r="I554" s="21"/>
      <c r="J554" s="22" t="str">
        <f t="shared" si="68"/>
        <v/>
      </c>
      <c r="K554" s="20" t="str">
        <f t="shared" si="69"/>
        <v/>
      </c>
      <c r="L554" s="20" t="str">
        <f t="shared" si="70"/>
        <v/>
      </c>
      <c r="M554" s="6"/>
      <c r="N554" s="19" t="str">
        <f t="shared" si="71"/>
        <v/>
      </c>
      <c r="O554" s="23" t="str">
        <f>IF(B554="","",TRIM(IF(COUNTIF('Registru comenzi'!$B$5:$B$304,B554)=0,"Comandă inexistentă în registru. ","")&amp;IF(AND(D554&lt;&gt;"",E554=""),"Cod necunoscut. ","")&amp;IF(N(G554)&lt;=0,"Lipsește cantitatea. ","")&amp;IF(N(M554)&gt;N(G554),"Livrat mai mult decât s-a comandat. ","")&amp;IF(N(I554)&gt;0.3,"Discount neobișnuit de mare. ","")))</f>
        <v/>
      </c>
    </row>
    <row r="555" spans="1:15" x14ac:dyDescent="0.2">
      <c r="A555" s="1" t="str">
        <f t="shared" si="64"/>
        <v/>
      </c>
      <c r="B555" s="17"/>
      <c r="C555" s="18" t="str">
        <f>IF(B555="","",COUNTIF(INDEX($B:$B,5):B555,B555))</f>
        <v/>
      </c>
      <c r="D555" s="17"/>
      <c r="E555" s="19" t="str">
        <f t="shared" si="65"/>
        <v/>
      </c>
      <c r="F555" s="18" t="str">
        <f t="shared" si="66"/>
        <v/>
      </c>
      <c r="G555" s="6"/>
      <c r="H555" s="20" t="str">
        <f t="shared" si="67"/>
        <v/>
      </c>
      <c r="I555" s="21"/>
      <c r="J555" s="22" t="str">
        <f t="shared" si="68"/>
        <v/>
      </c>
      <c r="K555" s="20" t="str">
        <f t="shared" si="69"/>
        <v/>
      </c>
      <c r="L555" s="20" t="str">
        <f t="shared" si="70"/>
        <v/>
      </c>
      <c r="M555" s="6"/>
      <c r="N555" s="19" t="str">
        <f t="shared" si="71"/>
        <v/>
      </c>
      <c r="O555" s="23" t="str">
        <f>IF(B555="","",TRIM(IF(COUNTIF('Registru comenzi'!$B$5:$B$304,B555)=0,"Comandă inexistentă în registru. ","")&amp;IF(AND(D555&lt;&gt;"",E555=""),"Cod necunoscut. ","")&amp;IF(N(G555)&lt;=0,"Lipsește cantitatea. ","")&amp;IF(N(M555)&gt;N(G555),"Livrat mai mult decât s-a comandat. ","")&amp;IF(N(I555)&gt;0.3,"Discount neobișnuit de mare. ","")))</f>
        <v/>
      </c>
    </row>
    <row r="556" spans="1:15" x14ac:dyDescent="0.2">
      <c r="A556" s="1" t="str">
        <f t="shared" si="64"/>
        <v/>
      </c>
      <c r="B556" s="17"/>
      <c r="C556" s="18" t="str">
        <f>IF(B556="","",COUNTIF(INDEX($B:$B,5):B556,B556))</f>
        <v/>
      </c>
      <c r="D556" s="17"/>
      <c r="E556" s="19" t="str">
        <f t="shared" si="65"/>
        <v/>
      </c>
      <c r="F556" s="18" t="str">
        <f t="shared" si="66"/>
        <v/>
      </c>
      <c r="G556" s="6"/>
      <c r="H556" s="20" t="str">
        <f t="shared" si="67"/>
        <v/>
      </c>
      <c r="I556" s="21"/>
      <c r="J556" s="22" t="str">
        <f t="shared" si="68"/>
        <v/>
      </c>
      <c r="K556" s="20" t="str">
        <f t="shared" si="69"/>
        <v/>
      </c>
      <c r="L556" s="20" t="str">
        <f t="shared" si="70"/>
        <v/>
      </c>
      <c r="M556" s="6"/>
      <c r="N556" s="19" t="str">
        <f t="shared" si="71"/>
        <v/>
      </c>
      <c r="O556" s="23" t="str">
        <f>IF(B556="","",TRIM(IF(COUNTIF('Registru comenzi'!$B$5:$B$304,B556)=0,"Comandă inexistentă în registru. ","")&amp;IF(AND(D556&lt;&gt;"",E556=""),"Cod necunoscut. ","")&amp;IF(N(G556)&lt;=0,"Lipsește cantitatea. ","")&amp;IF(N(M556)&gt;N(G556),"Livrat mai mult decât s-a comandat. ","")&amp;IF(N(I556)&gt;0.3,"Discount neobișnuit de mare. ","")))</f>
        <v/>
      </c>
    </row>
    <row r="557" spans="1:15" x14ac:dyDescent="0.2">
      <c r="A557" s="1" t="str">
        <f t="shared" si="64"/>
        <v/>
      </c>
      <c r="B557" s="17"/>
      <c r="C557" s="18" t="str">
        <f>IF(B557="","",COUNTIF(INDEX($B:$B,5):B557,B557))</f>
        <v/>
      </c>
      <c r="D557" s="17"/>
      <c r="E557" s="19" t="str">
        <f t="shared" si="65"/>
        <v/>
      </c>
      <c r="F557" s="18" t="str">
        <f t="shared" si="66"/>
        <v/>
      </c>
      <c r="G557" s="6"/>
      <c r="H557" s="20" t="str">
        <f t="shared" si="67"/>
        <v/>
      </c>
      <c r="I557" s="21"/>
      <c r="J557" s="22" t="str">
        <f t="shared" si="68"/>
        <v/>
      </c>
      <c r="K557" s="20" t="str">
        <f t="shared" si="69"/>
        <v/>
      </c>
      <c r="L557" s="20" t="str">
        <f t="shared" si="70"/>
        <v/>
      </c>
      <c r="M557" s="6"/>
      <c r="N557" s="19" t="str">
        <f t="shared" si="71"/>
        <v/>
      </c>
      <c r="O557" s="23" t="str">
        <f>IF(B557="","",TRIM(IF(COUNTIF('Registru comenzi'!$B$5:$B$304,B557)=0,"Comandă inexistentă în registru. ","")&amp;IF(AND(D557&lt;&gt;"",E557=""),"Cod necunoscut. ","")&amp;IF(N(G557)&lt;=0,"Lipsește cantitatea. ","")&amp;IF(N(M557)&gt;N(G557),"Livrat mai mult decât s-a comandat. ","")&amp;IF(N(I557)&gt;0.3,"Discount neobișnuit de mare. ","")))</f>
        <v/>
      </c>
    </row>
    <row r="558" spans="1:15" x14ac:dyDescent="0.2">
      <c r="A558" s="1" t="str">
        <f t="shared" si="64"/>
        <v/>
      </c>
      <c r="B558" s="17"/>
      <c r="C558" s="18" t="str">
        <f>IF(B558="","",COUNTIF(INDEX($B:$B,5):B558,B558))</f>
        <v/>
      </c>
      <c r="D558" s="17"/>
      <c r="E558" s="19" t="str">
        <f t="shared" si="65"/>
        <v/>
      </c>
      <c r="F558" s="18" t="str">
        <f t="shared" si="66"/>
        <v/>
      </c>
      <c r="G558" s="6"/>
      <c r="H558" s="20" t="str">
        <f t="shared" si="67"/>
        <v/>
      </c>
      <c r="I558" s="21"/>
      <c r="J558" s="22" t="str">
        <f t="shared" si="68"/>
        <v/>
      </c>
      <c r="K558" s="20" t="str">
        <f t="shared" si="69"/>
        <v/>
      </c>
      <c r="L558" s="20" t="str">
        <f t="shared" si="70"/>
        <v/>
      </c>
      <c r="M558" s="6"/>
      <c r="N558" s="19" t="str">
        <f t="shared" si="71"/>
        <v/>
      </c>
      <c r="O558" s="23" t="str">
        <f>IF(B558="","",TRIM(IF(COUNTIF('Registru comenzi'!$B$5:$B$304,B558)=0,"Comandă inexistentă în registru. ","")&amp;IF(AND(D558&lt;&gt;"",E558=""),"Cod necunoscut. ","")&amp;IF(N(G558)&lt;=0,"Lipsește cantitatea. ","")&amp;IF(N(M558)&gt;N(G558),"Livrat mai mult decât s-a comandat. ","")&amp;IF(N(I558)&gt;0.3,"Discount neobișnuit de mare. ","")))</f>
        <v/>
      </c>
    </row>
    <row r="559" spans="1:15" x14ac:dyDescent="0.2">
      <c r="A559" s="1" t="str">
        <f t="shared" si="64"/>
        <v/>
      </c>
      <c r="B559" s="17"/>
      <c r="C559" s="18" t="str">
        <f>IF(B559="","",COUNTIF(INDEX($B:$B,5):B559,B559))</f>
        <v/>
      </c>
      <c r="D559" s="17"/>
      <c r="E559" s="19" t="str">
        <f t="shared" si="65"/>
        <v/>
      </c>
      <c r="F559" s="18" t="str">
        <f t="shared" si="66"/>
        <v/>
      </c>
      <c r="G559" s="6"/>
      <c r="H559" s="20" t="str">
        <f t="shared" si="67"/>
        <v/>
      </c>
      <c r="I559" s="21"/>
      <c r="J559" s="22" t="str">
        <f t="shared" si="68"/>
        <v/>
      </c>
      <c r="K559" s="20" t="str">
        <f t="shared" si="69"/>
        <v/>
      </c>
      <c r="L559" s="20" t="str">
        <f t="shared" si="70"/>
        <v/>
      </c>
      <c r="M559" s="6"/>
      <c r="N559" s="19" t="str">
        <f t="shared" si="71"/>
        <v/>
      </c>
      <c r="O559" s="23" t="str">
        <f>IF(B559="","",TRIM(IF(COUNTIF('Registru comenzi'!$B$5:$B$304,B559)=0,"Comandă inexistentă în registru. ","")&amp;IF(AND(D559&lt;&gt;"",E559=""),"Cod necunoscut. ","")&amp;IF(N(G559)&lt;=0,"Lipsește cantitatea. ","")&amp;IF(N(M559)&gt;N(G559),"Livrat mai mult decât s-a comandat. ","")&amp;IF(N(I559)&gt;0.3,"Discount neobișnuit de mare. ","")))</f>
        <v/>
      </c>
    </row>
    <row r="560" spans="1:15" x14ac:dyDescent="0.2">
      <c r="A560" s="1" t="str">
        <f t="shared" si="64"/>
        <v/>
      </c>
      <c r="B560" s="17"/>
      <c r="C560" s="18" t="str">
        <f>IF(B560="","",COUNTIF(INDEX($B:$B,5):B560,B560))</f>
        <v/>
      </c>
      <c r="D560" s="17"/>
      <c r="E560" s="19" t="str">
        <f t="shared" si="65"/>
        <v/>
      </c>
      <c r="F560" s="18" t="str">
        <f t="shared" si="66"/>
        <v/>
      </c>
      <c r="G560" s="6"/>
      <c r="H560" s="20" t="str">
        <f t="shared" si="67"/>
        <v/>
      </c>
      <c r="I560" s="21"/>
      <c r="J560" s="22" t="str">
        <f t="shared" si="68"/>
        <v/>
      </c>
      <c r="K560" s="20" t="str">
        <f t="shared" si="69"/>
        <v/>
      </c>
      <c r="L560" s="20" t="str">
        <f t="shared" si="70"/>
        <v/>
      </c>
      <c r="M560" s="6"/>
      <c r="N560" s="19" t="str">
        <f t="shared" si="71"/>
        <v/>
      </c>
      <c r="O560" s="23" t="str">
        <f>IF(B560="","",TRIM(IF(COUNTIF('Registru comenzi'!$B$5:$B$304,B560)=0,"Comandă inexistentă în registru. ","")&amp;IF(AND(D560&lt;&gt;"",E560=""),"Cod necunoscut. ","")&amp;IF(N(G560)&lt;=0,"Lipsește cantitatea. ","")&amp;IF(N(M560)&gt;N(G560),"Livrat mai mult decât s-a comandat. ","")&amp;IF(N(I560)&gt;0.3,"Discount neobișnuit de mare. ","")))</f>
        <v/>
      </c>
    </row>
    <row r="561" spans="1:15" x14ac:dyDescent="0.2">
      <c r="A561" s="1" t="str">
        <f t="shared" si="64"/>
        <v/>
      </c>
      <c r="B561" s="17"/>
      <c r="C561" s="18" t="str">
        <f>IF(B561="","",COUNTIF(INDEX($B:$B,5):B561,B561))</f>
        <v/>
      </c>
      <c r="D561" s="17"/>
      <c r="E561" s="19" t="str">
        <f t="shared" si="65"/>
        <v/>
      </c>
      <c r="F561" s="18" t="str">
        <f t="shared" si="66"/>
        <v/>
      </c>
      <c r="G561" s="6"/>
      <c r="H561" s="20" t="str">
        <f t="shared" si="67"/>
        <v/>
      </c>
      <c r="I561" s="21"/>
      <c r="J561" s="22" t="str">
        <f t="shared" si="68"/>
        <v/>
      </c>
      <c r="K561" s="20" t="str">
        <f t="shared" si="69"/>
        <v/>
      </c>
      <c r="L561" s="20" t="str">
        <f t="shared" si="70"/>
        <v/>
      </c>
      <c r="M561" s="6"/>
      <c r="N561" s="19" t="str">
        <f t="shared" si="71"/>
        <v/>
      </c>
      <c r="O561" s="23" t="str">
        <f>IF(B561="","",TRIM(IF(COUNTIF('Registru comenzi'!$B$5:$B$304,B561)=0,"Comandă inexistentă în registru. ","")&amp;IF(AND(D561&lt;&gt;"",E561=""),"Cod necunoscut. ","")&amp;IF(N(G561)&lt;=0,"Lipsește cantitatea. ","")&amp;IF(N(M561)&gt;N(G561),"Livrat mai mult decât s-a comandat. ","")&amp;IF(N(I561)&gt;0.3,"Discount neobișnuit de mare. ","")))</f>
        <v/>
      </c>
    </row>
    <row r="562" spans="1:15" x14ac:dyDescent="0.2">
      <c r="A562" s="1" t="str">
        <f t="shared" si="64"/>
        <v/>
      </c>
      <c r="B562" s="17"/>
      <c r="C562" s="18" t="str">
        <f>IF(B562="","",COUNTIF(INDEX($B:$B,5):B562,B562))</f>
        <v/>
      </c>
      <c r="D562" s="17"/>
      <c r="E562" s="19" t="str">
        <f t="shared" si="65"/>
        <v/>
      </c>
      <c r="F562" s="18" t="str">
        <f t="shared" si="66"/>
        <v/>
      </c>
      <c r="G562" s="6"/>
      <c r="H562" s="20" t="str">
        <f t="shared" si="67"/>
        <v/>
      </c>
      <c r="I562" s="21"/>
      <c r="J562" s="22" t="str">
        <f t="shared" si="68"/>
        <v/>
      </c>
      <c r="K562" s="20" t="str">
        <f t="shared" si="69"/>
        <v/>
      </c>
      <c r="L562" s="20" t="str">
        <f t="shared" si="70"/>
        <v/>
      </c>
      <c r="M562" s="6"/>
      <c r="N562" s="19" t="str">
        <f t="shared" si="71"/>
        <v/>
      </c>
      <c r="O562" s="23" t="str">
        <f>IF(B562="","",TRIM(IF(COUNTIF('Registru comenzi'!$B$5:$B$304,B562)=0,"Comandă inexistentă în registru. ","")&amp;IF(AND(D562&lt;&gt;"",E562=""),"Cod necunoscut. ","")&amp;IF(N(G562)&lt;=0,"Lipsește cantitatea. ","")&amp;IF(N(M562)&gt;N(G562),"Livrat mai mult decât s-a comandat. ","")&amp;IF(N(I562)&gt;0.3,"Discount neobișnuit de mare. ","")))</f>
        <v/>
      </c>
    </row>
    <row r="563" spans="1:15" x14ac:dyDescent="0.2">
      <c r="A563" s="1" t="str">
        <f t="shared" si="64"/>
        <v/>
      </c>
      <c r="B563" s="17"/>
      <c r="C563" s="18" t="str">
        <f>IF(B563="","",COUNTIF(INDEX($B:$B,5):B563,B563))</f>
        <v/>
      </c>
      <c r="D563" s="17"/>
      <c r="E563" s="19" t="str">
        <f t="shared" si="65"/>
        <v/>
      </c>
      <c r="F563" s="18" t="str">
        <f t="shared" si="66"/>
        <v/>
      </c>
      <c r="G563" s="6"/>
      <c r="H563" s="20" t="str">
        <f t="shared" si="67"/>
        <v/>
      </c>
      <c r="I563" s="21"/>
      <c r="J563" s="22" t="str">
        <f t="shared" si="68"/>
        <v/>
      </c>
      <c r="K563" s="20" t="str">
        <f t="shared" si="69"/>
        <v/>
      </c>
      <c r="L563" s="20" t="str">
        <f t="shared" si="70"/>
        <v/>
      </c>
      <c r="M563" s="6"/>
      <c r="N563" s="19" t="str">
        <f t="shared" si="71"/>
        <v/>
      </c>
      <c r="O563" s="23" t="str">
        <f>IF(B563="","",TRIM(IF(COUNTIF('Registru comenzi'!$B$5:$B$304,B563)=0,"Comandă inexistentă în registru. ","")&amp;IF(AND(D563&lt;&gt;"",E563=""),"Cod necunoscut. ","")&amp;IF(N(G563)&lt;=0,"Lipsește cantitatea. ","")&amp;IF(N(M563)&gt;N(G563),"Livrat mai mult decât s-a comandat. ","")&amp;IF(N(I563)&gt;0.3,"Discount neobișnuit de mare. ","")))</f>
        <v/>
      </c>
    </row>
    <row r="564" spans="1:15" x14ac:dyDescent="0.2">
      <c r="A564" s="1" t="str">
        <f t="shared" si="64"/>
        <v/>
      </c>
      <c r="B564" s="17"/>
      <c r="C564" s="18" t="str">
        <f>IF(B564="","",COUNTIF(INDEX($B:$B,5):B564,B564))</f>
        <v/>
      </c>
      <c r="D564" s="17"/>
      <c r="E564" s="19" t="str">
        <f t="shared" si="65"/>
        <v/>
      </c>
      <c r="F564" s="18" t="str">
        <f t="shared" si="66"/>
        <v/>
      </c>
      <c r="G564" s="6"/>
      <c r="H564" s="20" t="str">
        <f t="shared" si="67"/>
        <v/>
      </c>
      <c r="I564" s="21"/>
      <c r="J564" s="22" t="str">
        <f t="shared" si="68"/>
        <v/>
      </c>
      <c r="K564" s="20" t="str">
        <f t="shared" si="69"/>
        <v/>
      </c>
      <c r="L564" s="20" t="str">
        <f t="shared" si="70"/>
        <v/>
      </c>
      <c r="M564" s="6"/>
      <c r="N564" s="19" t="str">
        <f t="shared" si="71"/>
        <v/>
      </c>
      <c r="O564" s="23" t="str">
        <f>IF(B564="","",TRIM(IF(COUNTIF('Registru comenzi'!$B$5:$B$304,B564)=0,"Comandă inexistentă în registru. ","")&amp;IF(AND(D564&lt;&gt;"",E564=""),"Cod necunoscut. ","")&amp;IF(N(G564)&lt;=0,"Lipsește cantitatea. ","")&amp;IF(N(M564)&gt;N(G564),"Livrat mai mult decât s-a comandat. ","")&amp;IF(N(I564)&gt;0.3,"Discount neobișnuit de mare. ","")))</f>
        <v/>
      </c>
    </row>
    <row r="565" spans="1:15" x14ac:dyDescent="0.2">
      <c r="A565" s="1" t="str">
        <f t="shared" si="64"/>
        <v/>
      </c>
      <c r="B565" s="17"/>
      <c r="C565" s="18" t="str">
        <f>IF(B565="","",COUNTIF(INDEX($B:$B,5):B565,B565))</f>
        <v/>
      </c>
      <c r="D565" s="17"/>
      <c r="E565" s="19" t="str">
        <f t="shared" si="65"/>
        <v/>
      </c>
      <c r="F565" s="18" t="str">
        <f t="shared" si="66"/>
        <v/>
      </c>
      <c r="G565" s="6"/>
      <c r="H565" s="20" t="str">
        <f t="shared" si="67"/>
        <v/>
      </c>
      <c r="I565" s="21"/>
      <c r="J565" s="22" t="str">
        <f t="shared" si="68"/>
        <v/>
      </c>
      <c r="K565" s="20" t="str">
        <f t="shared" si="69"/>
        <v/>
      </c>
      <c r="L565" s="20" t="str">
        <f t="shared" si="70"/>
        <v/>
      </c>
      <c r="M565" s="6"/>
      <c r="N565" s="19" t="str">
        <f t="shared" si="71"/>
        <v/>
      </c>
      <c r="O565" s="23" t="str">
        <f>IF(B565="","",TRIM(IF(COUNTIF('Registru comenzi'!$B$5:$B$304,B565)=0,"Comandă inexistentă în registru. ","")&amp;IF(AND(D565&lt;&gt;"",E565=""),"Cod necunoscut. ","")&amp;IF(N(G565)&lt;=0,"Lipsește cantitatea. ","")&amp;IF(N(M565)&gt;N(G565),"Livrat mai mult decât s-a comandat. ","")&amp;IF(N(I565)&gt;0.3,"Discount neobișnuit de mare. ","")))</f>
        <v/>
      </c>
    </row>
    <row r="566" spans="1:15" x14ac:dyDescent="0.2">
      <c r="A566" s="1" t="str">
        <f t="shared" si="64"/>
        <v/>
      </c>
      <c r="B566" s="17"/>
      <c r="C566" s="18" t="str">
        <f>IF(B566="","",COUNTIF(INDEX($B:$B,5):B566,B566))</f>
        <v/>
      </c>
      <c r="D566" s="17"/>
      <c r="E566" s="19" t="str">
        <f t="shared" si="65"/>
        <v/>
      </c>
      <c r="F566" s="18" t="str">
        <f t="shared" si="66"/>
        <v/>
      </c>
      <c r="G566" s="6"/>
      <c r="H566" s="20" t="str">
        <f t="shared" si="67"/>
        <v/>
      </c>
      <c r="I566" s="21"/>
      <c r="J566" s="22" t="str">
        <f t="shared" si="68"/>
        <v/>
      </c>
      <c r="K566" s="20" t="str">
        <f t="shared" si="69"/>
        <v/>
      </c>
      <c r="L566" s="20" t="str">
        <f t="shared" si="70"/>
        <v/>
      </c>
      <c r="M566" s="6"/>
      <c r="N566" s="19" t="str">
        <f t="shared" si="71"/>
        <v/>
      </c>
      <c r="O566" s="23" t="str">
        <f>IF(B566="","",TRIM(IF(COUNTIF('Registru comenzi'!$B$5:$B$304,B566)=0,"Comandă inexistentă în registru. ","")&amp;IF(AND(D566&lt;&gt;"",E566=""),"Cod necunoscut. ","")&amp;IF(N(G566)&lt;=0,"Lipsește cantitatea. ","")&amp;IF(N(M566)&gt;N(G566),"Livrat mai mult decât s-a comandat. ","")&amp;IF(N(I566)&gt;0.3,"Discount neobișnuit de mare. ","")))</f>
        <v/>
      </c>
    </row>
    <row r="567" spans="1:15" x14ac:dyDescent="0.2">
      <c r="A567" s="1" t="str">
        <f t="shared" si="64"/>
        <v/>
      </c>
      <c r="B567" s="17"/>
      <c r="C567" s="18" t="str">
        <f>IF(B567="","",COUNTIF(INDEX($B:$B,5):B567,B567))</f>
        <v/>
      </c>
      <c r="D567" s="17"/>
      <c r="E567" s="19" t="str">
        <f t="shared" si="65"/>
        <v/>
      </c>
      <c r="F567" s="18" t="str">
        <f t="shared" si="66"/>
        <v/>
      </c>
      <c r="G567" s="6"/>
      <c r="H567" s="20" t="str">
        <f t="shared" si="67"/>
        <v/>
      </c>
      <c r="I567" s="21"/>
      <c r="J567" s="22" t="str">
        <f t="shared" si="68"/>
        <v/>
      </c>
      <c r="K567" s="20" t="str">
        <f t="shared" si="69"/>
        <v/>
      </c>
      <c r="L567" s="20" t="str">
        <f t="shared" si="70"/>
        <v/>
      </c>
      <c r="M567" s="6"/>
      <c r="N567" s="19" t="str">
        <f t="shared" si="71"/>
        <v/>
      </c>
      <c r="O567" s="23" t="str">
        <f>IF(B567="","",TRIM(IF(COUNTIF('Registru comenzi'!$B$5:$B$304,B567)=0,"Comandă inexistentă în registru. ","")&amp;IF(AND(D567&lt;&gt;"",E567=""),"Cod necunoscut. ","")&amp;IF(N(G567)&lt;=0,"Lipsește cantitatea. ","")&amp;IF(N(M567)&gt;N(G567),"Livrat mai mult decât s-a comandat. ","")&amp;IF(N(I567)&gt;0.3,"Discount neobișnuit de mare. ","")))</f>
        <v/>
      </c>
    </row>
    <row r="568" spans="1:15" x14ac:dyDescent="0.2">
      <c r="A568" s="1" t="str">
        <f t="shared" si="64"/>
        <v/>
      </c>
      <c r="B568" s="17"/>
      <c r="C568" s="18" t="str">
        <f>IF(B568="","",COUNTIF(INDEX($B:$B,5):B568,B568))</f>
        <v/>
      </c>
      <c r="D568" s="17"/>
      <c r="E568" s="19" t="str">
        <f t="shared" si="65"/>
        <v/>
      </c>
      <c r="F568" s="18" t="str">
        <f t="shared" si="66"/>
        <v/>
      </c>
      <c r="G568" s="6"/>
      <c r="H568" s="20" t="str">
        <f t="shared" si="67"/>
        <v/>
      </c>
      <c r="I568" s="21"/>
      <c r="J568" s="22" t="str">
        <f t="shared" si="68"/>
        <v/>
      </c>
      <c r="K568" s="20" t="str">
        <f t="shared" si="69"/>
        <v/>
      </c>
      <c r="L568" s="20" t="str">
        <f t="shared" si="70"/>
        <v/>
      </c>
      <c r="M568" s="6"/>
      <c r="N568" s="19" t="str">
        <f t="shared" si="71"/>
        <v/>
      </c>
      <c r="O568" s="23" t="str">
        <f>IF(B568="","",TRIM(IF(COUNTIF('Registru comenzi'!$B$5:$B$304,B568)=0,"Comandă inexistentă în registru. ","")&amp;IF(AND(D568&lt;&gt;"",E568=""),"Cod necunoscut. ","")&amp;IF(N(G568)&lt;=0,"Lipsește cantitatea. ","")&amp;IF(N(M568)&gt;N(G568),"Livrat mai mult decât s-a comandat. ","")&amp;IF(N(I568)&gt;0.3,"Discount neobișnuit de mare. ","")))</f>
        <v/>
      </c>
    </row>
    <row r="569" spans="1:15" x14ac:dyDescent="0.2">
      <c r="A569" s="1" t="str">
        <f t="shared" si="64"/>
        <v/>
      </c>
      <c r="B569" s="17"/>
      <c r="C569" s="18" t="str">
        <f>IF(B569="","",COUNTIF(INDEX($B:$B,5):B569,B569))</f>
        <v/>
      </c>
      <c r="D569" s="17"/>
      <c r="E569" s="19" t="str">
        <f t="shared" si="65"/>
        <v/>
      </c>
      <c r="F569" s="18" t="str">
        <f t="shared" si="66"/>
        <v/>
      </c>
      <c r="G569" s="6"/>
      <c r="H569" s="20" t="str">
        <f t="shared" si="67"/>
        <v/>
      </c>
      <c r="I569" s="21"/>
      <c r="J569" s="22" t="str">
        <f t="shared" si="68"/>
        <v/>
      </c>
      <c r="K569" s="20" t="str">
        <f t="shared" si="69"/>
        <v/>
      </c>
      <c r="L569" s="20" t="str">
        <f t="shared" si="70"/>
        <v/>
      </c>
      <c r="M569" s="6"/>
      <c r="N569" s="19" t="str">
        <f t="shared" si="71"/>
        <v/>
      </c>
      <c r="O569" s="23" t="str">
        <f>IF(B569="","",TRIM(IF(COUNTIF('Registru comenzi'!$B$5:$B$304,B569)=0,"Comandă inexistentă în registru. ","")&amp;IF(AND(D569&lt;&gt;"",E569=""),"Cod necunoscut. ","")&amp;IF(N(G569)&lt;=0,"Lipsește cantitatea. ","")&amp;IF(N(M569)&gt;N(G569),"Livrat mai mult decât s-a comandat. ","")&amp;IF(N(I569)&gt;0.3,"Discount neobișnuit de mare. ","")))</f>
        <v/>
      </c>
    </row>
    <row r="570" spans="1:15" x14ac:dyDescent="0.2">
      <c r="A570" s="1" t="str">
        <f t="shared" si="64"/>
        <v/>
      </c>
      <c r="B570" s="17"/>
      <c r="C570" s="18" t="str">
        <f>IF(B570="","",COUNTIF(INDEX($B:$B,5):B570,B570))</f>
        <v/>
      </c>
      <c r="D570" s="17"/>
      <c r="E570" s="19" t="str">
        <f t="shared" si="65"/>
        <v/>
      </c>
      <c r="F570" s="18" t="str">
        <f t="shared" si="66"/>
        <v/>
      </c>
      <c r="G570" s="6"/>
      <c r="H570" s="20" t="str">
        <f t="shared" si="67"/>
        <v/>
      </c>
      <c r="I570" s="21"/>
      <c r="J570" s="22" t="str">
        <f t="shared" si="68"/>
        <v/>
      </c>
      <c r="K570" s="20" t="str">
        <f t="shared" si="69"/>
        <v/>
      </c>
      <c r="L570" s="20" t="str">
        <f t="shared" si="70"/>
        <v/>
      </c>
      <c r="M570" s="6"/>
      <c r="N570" s="19" t="str">
        <f t="shared" si="71"/>
        <v/>
      </c>
      <c r="O570" s="23" t="str">
        <f>IF(B570="","",TRIM(IF(COUNTIF('Registru comenzi'!$B$5:$B$304,B570)=0,"Comandă inexistentă în registru. ","")&amp;IF(AND(D570&lt;&gt;"",E570=""),"Cod necunoscut. ","")&amp;IF(N(G570)&lt;=0,"Lipsește cantitatea. ","")&amp;IF(N(M570)&gt;N(G570),"Livrat mai mult decât s-a comandat. ","")&amp;IF(N(I570)&gt;0.3,"Discount neobișnuit de mare. ","")))</f>
        <v/>
      </c>
    </row>
    <row r="571" spans="1:15" x14ac:dyDescent="0.2">
      <c r="A571" s="1" t="str">
        <f t="shared" si="64"/>
        <v/>
      </c>
      <c r="B571" s="17"/>
      <c r="C571" s="18" t="str">
        <f>IF(B571="","",COUNTIF(INDEX($B:$B,5):B571,B571))</f>
        <v/>
      </c>
      <c r="D571" s="17"/>
      <c r="E571" s="19" t="str">
        <f t="shared" si="65"/>
        <v/>
      </c>
      <c r="F571" s="18" t="str">
        <f t="shared" si="66"/>
        <v/>
      </c>
      <c r="G571" s="6"/>
      <c r="H571" s="20" t="str">
        <f t="shared" si="67"/>
        <v/>
      </c>
      <c r="I571" s="21"/>
      <c r="J571" s="22" t="str">
        <f t="shared" si="68"/>
        <v/>
      </c>
      <c r="K571" s="20" t="str">
        <f t="shared" si="69"/>
        <v/>
      </c>
      <c r="L571" s="20" t="str">
        <f t="shared" si="70"/>
        <v/>
      </c>
      <c r="M571" s="6"/>
      <c r="N571" s="19" t="str">
        <f t="shared" si="71"/>
        <v/>
      </c>
      <c r="O571" s="23" t="str">
        <f>IF(B571="","",TRIM(IF(COUNTIF('Registru comenzi'!$B$5:$B$304,B571)=0,"Comandă inexistentă în registru. ","")&amp;IF(AND(D571&lt;&gt;"",E571=""),"Cod necunoscut. ","")&amp;IF(N(G571)&lt;=0,"Lipsește cantitatea. ","")&amp;IF(N(M571)&gt;N(G571),"Livrat mai mult decât s-a comandat. ","")&amp;IF(N(I571)&gt;0.3,"Discount neobișnuit de mare. ","")))</f>
        <v/>
      </c>
    </row>
    <row r="572" spans="1:15" x14ac:dyDescent="0.2">
      <c r="A572" s="1" t="str">
        <f t="shared" si="64"/>
        <v/>
      </c>
      <c r="B572" s="17"/>
      <c r="C572" s="18" t="str">
        <f>IF(B572="","",COUNTIF(INDEX($B:$B,5):B572,B572))</f>
        <v/>
      </c>
      <c r="D572" s="17"/>
      <c r="E572" s="19" t="str">
        <f t="shared" si="65"/>
        <v/>
      </c>
      <c r="F572" s="18" t="str">
        <f t="shared" si="66"/>
        <v/>
      </c>
      <c r="G572" s="6"/>
      <c r="H572" s="20" t="str">
        <f t="shared" si="67"/>
        <v/>
      </c>
      <c r="I572" s="21"/>
      <c r="J572" s="22" t="str">
        <f t="shared" si="68"/>
        <v/>
      </c>
      <c r="K572" s="20" t="str">
        <f t="shared" si="69"/>
        <v/>
      </c>
      <c r="L572" s="20" t="str">
        <f t="shared" si="70"/>
        <v/>
      </c>
      <c r="M572" s="6"/>
      <c r="N572" s="19" t="str">
        <f t="shared" si="71"/>
        <v/>
      </c>
      <c r="O572" s="23" t="str">
        <f>IF(B572="","",TRIM(IF(COUNTIF('Registru comenzi'!$B$5:$B$304,B572)=0,"Comandă inexistentă în registru. ","")&amp;IF(AND(D572&lt;&gt;"",E572=""),"Cod necunoscut. ","")&amp;IF(N(G572)&lt;=0,"Lipsește cantitatea. ","")&amp;IF(N(M572)&gt;N(G572),"Livrat mai mult decât s-a comandat. ","")&amp;IF(N(I572)&gt;0.3,"Discount neobișnuit de mare. ","")))</f>
        <v/>
      </c>
    </row>
    <row r="573" spans="1:15" x14ac:dyDescent="0.2">
      <c r="A573" s="1" t="str">
        <f t="shared" si="64"/>
        <v/>
      </c>
      <c r="B573" s="17"/>
      <c r="C573" s="18" t="str">
        <f>IF(B573="","",COUNTIF(INDEX($B:$B,5):B573,B573))</f>
        <v/>
      </c>
      <c r="D573" s="17"/>
      <c r="E573" s="19" t="str">
        <f t="shared" si="65"/>
        <v/>
      </c>
      <c r="F573" s="18" t="str">
        <f t="shared" si="66"/>
        <v/>
      </c>
      <c r="G573" s="6"/>
      <c r="H573" s="20" t="str">
        <f t="shared" si="67"/>
        <v/>
      </c>
      <c r="I573" s="21"/>
      <c r="J573" s="22" t="str">
        <f t="shared" si="68"/>
        <v/>
      </c>
      <c r="K573" s="20" t="str">
        <f t="shared" si="69"/>
        <v/>
      </c>
      <c r="L573" s="20" t="str">
        <f t="shared" si="70"/>
        <v/>
      </c>
      <c r="M573" s="6"/>
      <c r="N573" s="19" t="str">
        <f t="shared" si="71"/>
        <v/>
      </c>
      <c r="O573" s="23" t="str">
        <f>IF(B573="","",TRIM(IF(COUNTIF('Registru comenzi'!$B$5:$B$304,B573)=0,"Comandă inexistentă în registru. ","")&amp;IF(AND(D573&lt;&gt;"",E573=""),"Cod necunoscut. ","")&amp;IF(N(G573)&lt;=0,"Lipsește cantitatea. ","")&amp;IF(N(M573)&gt;N(G573),"Livrat mai mult decât s-a comandat. ","")&amp;IF(N(I573)&gt;0.3,"Discount neobișnuit de mare. ","")))</f>
        <v/>
      </c>
    </row>
    <row r="574" spans="1:15" x14ac:dyDescent="0.2">
      <c r="A574" s="1" t="str">
        <f t="shared" si="64"/>
        <v/>
      </c>
      <c r="B574" s="17"/>
      <c r="C574" s="18" t="str">
        <f>IF(B574="","",COUNTIF(INDEX($B:$B,5):B574,B574))</f>
        <v/>
      </c>
      <c r="D574" s="17"/>
      <c r="E574" s="19" t="str">
        <f t="shared" si="65"/>
        <v/>
      </c>
      <c r="F574" s="18" t="str">
        <f t="shared" si="66"/>
        <v/>
      </c>
      <c r="G574" s="6"/>
      <c r="H574" s="20" t="str">
        <f t="shared" si="67"/>
        <v/>
      </c>
      <c r="I574" s="21"/>
      <c r="J574" s="22" t="str">
        <f t="shared" si="68"/>
        <v/>
      </c>
      <c r="K574" s="20" t="str">
        <f t="shared" si="69"/>
        <v/>
      </c>
      <c r="L574" s="20" t="str">
        <f t="shared" si="70"/>
        <v/>
      </c>
      <c r="M574" s="6"/>
      <c r="N574" s="19" t="str">
        <f t="shared" si="71"/>
        <v/>
      </c>
      <c r="O574" s="23" t="str">
        <f>IF(B574="","",TRIM(IF(COUNTIF('Registru comenzi'!$B$5:$B$304,B574)=0,"Comandă inexistentă în registru. ","")&amp;IF(AND(D574&lt;&gt;"",E574=""),"Cod necunoscut. ","")&amp;IF(N(G574)&lt;=0,"Lipsește cantitatea. ","")&amp;IF(N(M574)&gt;N(G574),"Livrat mai mult decât s-a comandat. ","")&amp;IF(N(I574)&gt;0.3,"Discount neobișnuit de mare. ","")))</f>
        <v/>
      </c>
    </row>
    <row r="575" spans="1:15" x14ac:dyDescent="0.2">
      <c r="A575" s="1" t="str">
        <f t="shared" si="64"/>
        <v/>
      </c>
      <c r="B575" s="17"/>
      <c r="C575" s="18" t="str">
        <f>IF(B575="","",COUNTIF(INDEX($B:$B,5):B575,B575))</f>
        <v/>
      </c>
      <c r="D575" s="17"/>
      <c r="E575" s="19" t="str">
        <f t="shared" si="65"/>
        <v/>
      </c>
      <c r="F575" s="18" t="str">
        <f t="shared" si="66"/>
        <v/>
      </c>
      <c r="G575" s="6"/>
      <c r="H575" s="20" t="str">
        <f t="shared" si="67"/>
        <v/>
      </c>
      <c r="I575" s="21"/>
      <c r="J575" s="22" t="str">
        <f t="shared" si="68"/>
        <v/>
      </c>
      <c r="K575" s="20" t="str">
        <f t="shared" si="69"/>
        <v/>
      </c>
      <c r="L575" s="20" t="str">
        <f t="shared" si="70"/>
        <v/>
      </c>
      <c r="M575" s="6"/>
      <c r="N575" s="19" t="str">
        <f t="shared" si="71"/>
        <v/>
      </c>
      <c r="O575" s="23" t="str">
        <f>IF(B575="","",TRIM(IF(COUNTIF('Registru comenzi'!$B$5:$B$304,B575)=0,"Comandă inexistentă în registru. ","")&amp;IF(AND(D575&lt;&gt;"",E575=""),"Cod necunoscut. ","")&amp;IF(N(G575)&lt;=0,"Lipsește cantitatea. ","")&amp;IF(N(M575)&gt;N(G575),"Livrat mai mult decât s-a comandat. ","")&amp;IF(N(I575)&gt;0.3,"Discount neobișnuit de mare. ","")))</f>
        <v/>
      </c>
    </row>
    <row r="576" spans="1:15" x14ac:dyDescent="0.2">
      <c r="A576" s="1" t="str">
        <f t="shared" si="64"/>
        <v/>
      </c>
      <c r="B576" s="17"/>
      <c r="C576" s="18" t="str">
        <f>IF(B576="","",COUNTIF(INDEX($B:$B,5):B576,B576))</f>
        <v/>
      </c>
      <c r="D576" s="17"/>
      <c r="E576" s="19" t="str">
        <f t="shared" si="65"/>
        <v/>
      </c>
      <c r="F576" s="18" t="str">
        <f t="shared" si="66"/>
        <v/>
      </c>
      <c r="G576" s="6"/>
      <c r="H576" s="20" t="str">
        <f t="shared" si="67"/>
        <v/>
      </c>
      <c r="I576" s="21"/>
      <c r="J576" s="22" t="str">
        <f t="shared" si="68"/>
        <v/>
      </c>
      <c r="K576" s="20" t="str">
        <f t="shared" si="69"/>
        <v/>
      </c>
      <c r="L576" s="20" t="str">
        <f t="shared" si="70"/>
        <v/>
      </c>
      <c r="M576" s="6"/>
      <c r="N576" s="19" t="str">
        <f t="shared" si="71"/>
        <v/>
      </c>
      <c r="O576" s="23" t="str">
        <f>IF(B576="","",TRIM(IF(COUNTIF('Registru comenzi'!$B$5:$B$304,B576)=0,"Comandă inexistentă în registru. ","")&amp;IF(AND(D576&lt;&gt;"",E576=""),"Cod necunoscut. ","")&amp;IF(N(G576)&lt;=0,"Lipsește cantitatea. ","")&amp;IF(N(M576)&gt;N(G576),"Livrat mai mult decât s-a comandat. ","")&amp;IF(N(I576)&gt;0.3,"Discount neobișnuit de mare. ","")))</f>
        <v/>
      </c>
    </row>
    <row r="577" spans="1:15" x14ac:dyDescent="0.2">
      <c r="A577" s="1" t="str">
        <f t="shared" si="64"/>
        <v/>
      </c>
      <c r="B577" s="17"/>
      <c r="C577" s="18" t="str">
        <f>IF(B577="","",COUNTIF(INDEX($B:$B,5):B577,B577))</f>
        <v/>
      </c>
      <c r="D577" s="17"/>
      <c r="E577" s="19" t="str">
        <f t="shared" si="65"/>
        <v/>
      </c>
      <c r="F577" s="18" t="str">
        <f t="shared" si="66"/>
        <v/>
      </c>
      <c r="G577" s="6"/>
      <c r="H577" s="20" t="str">
        <f t="shared" si="67"/>
        <v/>
      </c>
      <c r="I577" s="21"/>
      <c r="J577" s="22" t="str">
        <f t="shared" si="68"/>
        <v/>
      </c>
      <c r="K577" s="20" t="str">
        <f t="shared" si="69"/>
        <v/>
      </c>
      <c r="L577" s="20" t="str">
        <f t="shared" si="70"/>
        <v/>
      </c>
      <c r="M577" s="6"/>
      <c r="N577" s="19" t="str">
        <f t="shared" si="71"/>
        <v/>
      </c>
      <c r="O577" s="23" t="str">
        <f>IF(B577="","",TRIM(IF(COUNTIF('Registru comenzi'!$B$5:$B$304,B577)=0,"Comandă inexistentă în registru. ","")&amp;IF(AND(D577&lt;&gt;"",E577=""),"Cod necunoscut. ","")&amp;IF(N(G577)&lt;=0,"Lipsește cantitatea. ","")&amp;IF(N(M577)&gt;N(G577),"Livrat mai mult decât s-a comandat. ","")&amp;IF(N(I577)&gt;0.3,"Discount neobișnuit de mare. ","")))</f>
        <v/>
      </c>
    </row>
    <row r="578" spans="1:15" x14ac:dyDescent="0.2">
      <c r="A578" s="1" t="str">
        <f t="shared" si="64"/>
        <v/>
      </c>
      <c r="B578" s="17"/>
      <c r="C578" s="18" t="str">
        <f>IF(B578="","",COUNTIF(INDEX($B:$B,5):B578,B578))</f>
        <v/>
      </c>
      <c r="D578" s="17"/>
      <c r="E578" s="19" t="str">
        <f t="shared" si="65"/>
        <v/>
      </c>
      <c r="F578" s="18" t="str">
        <f t="shared" si="66"/>
        <v/>
      </c>
      <c r="G578" s="6"/>
      <c r="H578" s="20" t="str">
        <f t="shared" si="67"/>
        <v/>
      </c>
      <c r="I578" s="21"/>
      <c r="J578" s="22" t="str">
        <f t="shared" si="68"/>
        <v/>
      </c>
      <c r="K578" s="20" t="str">
        <f t="shared" si="69"/>
        <v/>
      </c>
      <c r="L578" s="20" t="str">
        <f t="shared" si="70"/>
        <v/>
      </c>
      <c r="M578" s="6"/>
      <c r="N578" s="19" t="str">
        <f t="shared" si="71"/>
        <v/>
      </c>
      <c r="O578" s="23" t="str">
        <f>IF(B578="","",TRIM(IF(COUNTIF('Registru comenzi'!$B$5:$B$304,B578)=0,"Comandă inexistentă în registru. ","")&amp;IF(AND(D578&lt;&gt;"",E578=""),"Cod necunoscut. ","")&amp;IF(N(G578)&lt;=0,"Lipsește cantitatea. ","")&amp;IF(N(M578)&gt;N(G578),"Livrat mai mult decât s-a comandat. ","")&amp;IF(N(I578)&gt;0.3,"Discount neobișnuit de mare. ","")))</f>
        <v/>
      </c>
    </row>
    <row r="579" spans="1:15" x14ac:dyDescent="0.2">
      <c r="A579" s="1" t="str">
        <f t="shared" si="64"/>
        <v/>
      </c>
      <c r="B579" s="17"/>
      <c r="C579" s="18" t="str">
        <f>IF(B579="","",COUNTIF(INDEX($B:$B,5):B579,B579))</f>
        <v/>
      </c>
      <c r="D579" s="17"/>
      <c r="E579" s="19" t="str">
        <f t="shared" si="65"/>
        <v/>
      </c>
      <c r="F579" s="18" t="str">
        <f t="shared" si="66"/>
        <v/>
      </c>
      <c r="G579" s="6"/>
      <c r="H579" s="20" t="str">
        <f t="shared" si="67"/>
        <v/>
      </c>
      <c r="I579" s="21"/>
      <c r="J579" s="22" t="str">
        <f t="shared" si="68"/>
        <v/>
      </c>
      <c r="K579" s="20" t="str">
        <f t="shared" si="69"/>
        <v/>
      </c>
      <c r="L579" s="20" t="str">
        <f t="shared" si="70"/>
        <v/>
      </c>
      <c r="M579" s="6"/>
      <c r="N579" s="19" t="str">
        <f t="shared" si="71"/>
        <v/>
      </c>
      <c r="O579" s="23" t="str">
        <f>IF(B579="","",TRIM(IF(COUNTIF('Registru comenzi'!$B$5:$B$304,B579)=0,"Comandă inexistentă în registru. ","")&amp;IF(AND(D579&lt;&gt;"",E579=""),"Cod necunoscut. ","")&amp;IF(N(G579)&lt;=0,"Lipsește cantitatea. ","")&amp;IF(N(M579)&gt;N(G579),"Livrat mai mult decât s-a comandat. ","")&amp;IF(N(I579)&gt;0.3,"Discount neobișnuit de mare. ","")))</f>
        <v/>
      </c>
    </row>
    <row r="580" spans="1:15" x14ac:dyDescent="0.2">
      <c r="A580" s="1" t="str">
        <f t="shared" si="64"/>
        <v/>
      </c>
      <c r="B580" s="17"/>
      <c r="C580" s="18" t="str">
        <f>IF(B580="","",COUNTIF(INDEX($B:$B,5):B580,B580))</f>
        <v/>
      </c>
      <c r="D580" s="17"/>
      <c r="E580" s="19" t="str">
        <f t="shared" si="65"/>
        <v/>
      </c>
      <c r="F580" s="18" t="str">
        <f t="shared" si="66"/>
        <v/>
      </c>
      <c r="G580" s="6"/>
      <c r="H580" s="20" t="str">
        <f t="shared" si="67"/>
        <v/>
      </c>
      <c r="I580" s="21"/>
      <c r="J580" s="22" t="str">
        <f t="shared" si="68"/>
        <v/>
      </c>
      <c r="K580" s="20" t="str">
        <f t="shared" si="69"/>
        <v/>
      </c>
      <c r="L580" s="20" t="str">
        <f t="shared" si="70"/>
        <v/>
      </c>
      <c r="M580" s="6"/>
      <c r="N580" s="19" t="str">
        <f t="shared" si="71"/>
        <v/>
      </c>
      <c r="O580" s="23" t="str">
        <f>IF(B580="","",TRIM(IF(COUNTIF('Registru comenzi'!$B$5:$B$304,B580)=0,"Comandă inexistentă în registru. ","")&amp;IF(AND(D580&lt;&gt;"",E580=""),"Cod necunoscut. ","")&amp;IF(N(G580)&lt;=0,"Lipsește cantitatea. ","")&amp;IF(N(M580)&gt;N(G580),"Livrat mai mult decât s-a comandat. ","")&amp;IF(N(I580)&gt;0.3,"Discount neobișnuit de mare. ","")))</f>
        <v/>
      </c>
    </row>
    <row r="581" spans="1:15" x14ac:dyDescent="0.2">
      <c r="A581" s="1" t="str">
        <f t="shared" ref="A581:A644" si="72">IF(B581="","",B581&amp;"|"&amp;C581)</f>
        <v/>
      </c>
      <c r="B581" s="17"/>
      <c r="C581" s="18" t="str">
        <f>IF(B581="","",COUNTIF(INDEX($B:$B,5):B581,B581))</f>
        <v/>
      </c>
      <c r="D581" s="17"/>
      <c r="E581" s="19" t="str">
        <f t="shared" ref="E581:E644" si="73">IF(D581="","",IFERROR(VLOOKUP(D581,Catalog,2,FALSE),""))</f>
        <v/>
      </c>
      <c r="F581" s="18" t="str">
        <f t="shared" ref="F581:F644" si="74">IF(D581="","",IFERROR(VLOOKUP(D581,Catalog,3,FALSE),""))</f>
        <v/>
      </c>
      <c r="G581" s="6"/>
      <c r="H581" s="20" t="str">
        <f t="shared" ref="H581:H644" si="75">IF(D581="","",IFERROR(VLOOKUP(D581,Catalog,4,FALSE),""))</f>
        <v/>
      </c>
      <c r="I581" s="21"/>
      <c r="J581" s="22" t="str">
        <f t="shared" ref="J581:J644" si="76">IF(D581="","",IFERROR(VLOOKUP(D581,Catalog,5,FALSE),""))</f>
        <v/>
      </c>
      <c r="K581" s="20" t="str">
        <f t="shared" ref="K581:K644" si="77">IF(OR(G581="",H581=""),"",ROUND(G581*H581*(1-N(I581)),2))</f>
        <v/>
      </c>
      <c r="L581" s="20" t="str">
        <f t="shared" ref="L581:L644" si="78">IF(OR(K581="",J581=""),"",ROUND(K581*J581,2))</f>
        <v/>
      </c>
      <c r="M581" s="6"/>
      <c r="N581" s="19" t="str">
        <f t="shared" ref="N581:N644" si="79">IF(G581="","",G581-N(M581))</f>
        <v/>
      </c>
      <c r="O581" s="23" t="str">
        <f>IF(B581="","",TRIM(IF(COUNTIF('Registru comenzi'!$B$5:$B$304,B581)=0,"Comandă inexistentă în registru. ","")&amp;IF(AND(D581&lt;&gt;"",E581=""),"Cod necunoscut. ","")&amp;IF(N(G581)&lt;=0,"Lipsește cantitatea. ","")&amp;IF(N(M581)&gt;N(G581),"Livrat mai mult decât s-a comandat. ","")&amp;IF(N(I581)&gt;0.3,"Discount neobișnuit de mare. ","")))</f>
        <v/>
      </c>
    </row>
    <row r="582" spans="1:15" x14ac:dyDescent="0.2">
      <c r="A582" s="1" t="str">
        <f t="shared" si="72"/>
        <v/>
      </c>
      <c r="B582" s="17"/>
      <c r="C582" s="18" t="str">
        <f>IF(B582="","",COUNTIF(INDEX($B:$B,5):B582,B582))</f>
        <v/>
      </c>
      <c r="D582" s="17"/>
      <c r="E582" s="19" t="str">
        <f t="shared" si="73"/>
        <v/>
      </c>
      <c r="F582" s="18" t="str">
        <f t="shared" si="74"/>
        <v/>
      </c>
      <c r="G582" s="6"/>
      <c r="H582" s="20" t="str">
        <f t="shared" si="75"/>
        <v/>
      </c>
      <c r="I582" s="21"/>
      <c r="J582" s="22" t="str">
        <f t="shared" si="76"/>
        <v/>
      </c>
      <c r="K582" s="20" t="str">
        <f t="shared" si="77"/>
        <v/>
      </c>
      <c r="L582" s="20" t="str">
        <f t="shared" si="78"/>
        <v/>
      </c>
      <c r="M582" s="6"/>
      <c r="N582" s="19" t="str">
        <f t="shared" si="79"/>
        <v/>
      </c>
      <c r="O582" s="23" t="str">
        <f>IF(B582="","",TRIM(IF(COUNTIF('Registru comenzi'!$B$5:$B$304,B582)=0,"Comandă inexistentă în registru. ","")&amp;IF(AND(D582&lt;&gt;"",E582=""),"Cod necunoscut. ","")&amp;IF(N(G582)&lt;=0,"Lipsește cantitatea. ","")&amp;IF(N(M582)&gt;N(G582),"Livrat mai mult decât s-a comandat. ","")&amp;IF(N(I582)&gt;0.3,"Discount neobișnuit de mare. ","")))</f>
        <v/>
      </c>
    </row>
    <row r="583" spans="1:15" x14ac:dyDescent="0.2">
      <c r="A583" s="1" t="str">
        <f t="shared" si="72"/>
        <v/>
      </c>
      <c r="B583" s="17"/>
      <c r="C583" s="18" t="str">
        <f>IF(B583="","",COUNTIF(INDEX($B:$B,5):B583,B583))</f>
        <v/>
      </c>
      <c r="D583" s="17"/>
      <c r="E583" s="19" t="str">
        <f t="shared" si="73"/>
        <v/>
      </c>
      <c r="F583" s="18" t="str">
        <f t="shared" si="74"/>
        <v/>
      </c>
      <c r="G583" s="6"/>
      <c r="H583" s="20" t="str">
        <f t="shared" si="75"/>
        <v/>
      </c>
      <c r="I583" s="21"/>
      <c r="J583" s="22" t="str">
        <f t="shared" si="76"/>
        <v/>
      </c>
      <c r="K583" s="20" t="str">
        <f t="shared" si="77"/>
        <v/>
      </c>
      <c r="L583" s="20" t="str">
        <f t="shared" si="78"/>
        <v/>
      </c>
      <c r="M583" s="6"/>
      <c r="N583" s="19" t="str">
        <f t="shared" si="79"/>
        <v/>
      </c>
      <c r="O583" s="23" t="str">
        <f>IF(B583="","",TRIM(IF(COUNTIF('Registru comenzi'!$B$5:$B$304,B583)=0,"Comandă inexistentă în registru. ","")&amp;IF(AND(D583&lt;&gt;"",E583=""),"Cod necunoscut. ","")&amp;IF(N(G583)&lt;=0,"Lipsește cantitatea. ","")&amp;IF(N(M583)&gt;N(G583),"Livrat mai mult decât s-a comandat. ","")&amp;IF(N(I583)&gt;0.3,"Discount neobișnuit de mare. ","")))</f>
        <v/>
      </c>
    </row>
    <row r="584" spans="1:15" x14ac:dyDescent="0.2">
      <c r="A584" s="1" t="str">
        <f t="shared" si="72"/>
        <v/>
      </c>
      <c r="B584" s="17"/>
      <c r="C584" s="18" t="str">
        <f>IF(B584="","",COUNTIF(INDEX($B:$B,5):B584,B584))</f>
        <v/>
      </c>
      <c r="D584" s="17"/>
      <c r="E584" s="19" t="str">
        <f t="shared" si="73"/>
        <v/>
      </c>
      <c r="F584" s="18" t="str">
        <f t="shared" si="74"/>
        <v/>
      </c>
      <c r="G584" s="6"/>
      <c r="H584" s="20" t="str">
        <f t="shared" si="75"/>
        <v/>
      </c>
      <c r="I584" s="21"/>
      <c r="J584" s="22" t="str">
        <f t="shared" si="76"/>
        <v/>
      </c>
      <c r="K584" s="20" t="str">
        <f t="shared" si="77"/>
        <v/>
      </c>
      <c r="L584" s="20" t="str">
        <f t="shared" si="78"/>
        <v/>
      </c>
      <c r="M584" s="6"/>
      <c r="N584" s="19" t="str">
        <f t="shared" si="79"/>
        <v/>
      </c>
      <c r="O584" s="23" t="str">
        <f>IF(B584="","",TRIM(IF(COUNTIF('Registru comenzi'!$B$5:$B$304,B584)=0,"Comandă inexistentă în registru. ","")&amp;IF(AND(D584&lt;&gt;"",E584=""),"Cod necunoscut. ","")&amp;IF(N(G584)&lt;=0,"Lipsește cantitatea. ","")&amp;IF(N(M584)&gt;N(G584),"Livrat mai mult decât s-a comandat. ","")&amp;IF(N(I584)&gt;0.3,"Discount neobișnuit de mare. ","")))</f>
        <v/>
      </c>
    </row>
    <row r="585" spans="1:15" x14ac:dyDescent="0.2">
      <c r="A585" s="1" t="str">
        <f t="shared" si="72"/>
        <v/>
      </c>
      <c r="B585" s="17"/>
      <c r="C585" s="18" t="str">
        <f>IF(B585="","",COUNTIF(INDEX($B:$B,5):B585,B585))</f>
        <v/>
      </c>
      <c r="D585" s="17"/>
      <c r="E585" s="19" t="str">
        <f t="shared" si="73"/>
        <v/>
      </c>
      <c r="F585" s="18" t="str">
        <f t="shared" si="74"/>
        <v/>
      </c>
      <c r="G585" s="6"/>
      <c r="H585" s="20" t="str">
        <f t="shared" si="75"/>
        <v/>
      </c>
      <c r="I585" s="21"/>
      <c r="J585" s="22" t="str">
        <f t="shared" si="76"/>
        <v/>
      </c>
      <c r="K585" s="20" t="str">
        <f t="shared" si="77"/>
        <v/>
      </c>
      <c r="L585" s="20" t="str">
        <f t="shared" si="78"/>
        <v/>
      </c>
      <c r="M585" s="6"/>
      <c r="N585" s="19" t="str">
        <f t="shared" si="79"/>
        <v/>
      </c>
      <c r="O585" s="23" t="str">
        <f>IF(B585="","",TRIM(IF(COUNTIF('Registru comenzi'!$B$5:$B$304,B585)=0,"Comandă inexistentă în registru. ","")&amp;IF(AND(D585&lt;&gt;"",E585=""),"Cod necunoscut. ","")&amp;IF(N(G585)&lt;=0,"Lipsește cantitatea. ","")&amp;IF(N(M585)&gt;N(G585),"Livrat mai mult decât s-a comandat. ","")&amp;IF(N(I585)&gt;0.3,"Discount neobișnuit de mare. ","")))</f>
        <v/>
      </c>
    </row>
    <row r="586" spans="1:15" x14ac:dyDescent="0.2">
      <c r="A586" s="1" t="str">
        <f t="shared" si="72"/>
        <v/>
      </c>
      <c r="B586" s="17"/>
      <c r="C586" s="18" t="str">
        <f>IF(B586="","",COUNTIF(INDEX($B:$B,5):B586,B586))</f>
        <v/>
      </c>
      <c r="D586" s="17"/>
      <c r="E586" s="19" t="str">
        <f t="shared" si="73"/>
        <v/>
      </c>
      <c r="F586" s="18" t="str">
        <f t="shared" si="74"/>
        <v/>
      </c>
      <c r="G586" s="6"/>
      <c r="H586" s="20" t="str">
        <f t="shared" si="75"/>
        <v/>
      </c>
      <c r="I586" s="21"/>
      <c r="J586" s="22" t="str">
        <f t="shared" si="76"/>
        <v/>
      </c>
      <c r="K586" s="20" t="str">
        <f t="shared" si="77"/>
        <v/>
      </c>
      <c r="L586" s="20" t="str">
        <f t="shared" si="78"/>
        <v/>
      </c>
      <c r="M586" s="6"/>
      <c r="N586" s="19" t="str">
        <f t="shared" si="79"/>
        <v/>
      </c>
      <c r="O586" s="23" t="str">
        <f>IF(B586="","",TRIM(IF(COUNTIF('Registru comenzi'!$B$5:$B$304,B586)=0,"Comandă inexistentă în registru. ","")&amp;IF(AND(D586&lt;&gt;"",E586=""),"Cod necunoscut. ","")&amp;IF(N(G586)&lt;=0,"Lipsește cantitatea. ","")&amp;IF(N(M586)&gt;N(G586),"Livrat mai mult decât s-a comandat. ","")&amp;IF(N(I586)&gt;0.3,"Discount neobișnuit de mare. ","")))</f>
        <v/>
      </c>
    </row>
    <row r="587" spans="1:15" x14ac:dyDescent="0.2">
      <c r="A587" s="1" t="str">
        <f t="shared" si="72"/>
        <v/>
      </c>
      <c r="B587" s="17"/>
      <c r="C587" s="18" t="str">
        <f>IF(B587="","",COUNTIF(INDEX($B:$B,5):B587,B587))</f>
        <v/>
      </c>
      <c r="D587" s="17"/>
      <c r="E587" s="19" t="str">
        <f t="shared" si="73"/>
        <v/>
      </c>
      <c r="F587" s="18" t="str">
        <f t="shared" si="74"/>
        <v/>
      </c>
      <c r="G587" s="6"/>
      <c r="H587" s="20" t="str">
        <f t="shared" si="75"/>
        <v/>
      </c>
      <c r="I587" s="21"/>
      <c r="J587" s="22" t="str">
        <f t="shared" si="76"/>
        <v/>
      </c>
      <c r="K587" s="20" t="str">
        <f t="shared" si="77"/>
        <v/>
      </c>
      <c r="L587" s="20" t="str">
        <f t="shared" si="78"/>
        <v/>
      </c>
      <c r="M587" s="6"/>
      <c r="N587" s="19" t="str">
        <f t="shared" si="79"/>
        <v/>
      </c>
      <c r="O587" s="23" t="str">
        <f>IF(B587="","",TRIM(IF(COUNTIF('Registru comenzi'!$B$5:$B$304,B587)=0,"Comandă inexistentă în registru. ","")&amp;IF(AND(D587&lt;&gt;"",E587=""),"Cod necunoscut. ","")&amp;IF(N(G587)&lt;=0,"Lipsește cantitatea. ","")&amp;IF(N(M587)&gt;N(G587),"Livrat mai mult decât s-a comandat. ","")&amp;IF(N(I587)&gt;0.3,"Discount neobișnuit de mare. ","")))</f>
        <v/>
      </c>
    </row>
    <row r="588" spans="1:15" x14ac:dyDescent="0.2">
      <c r="A588" s="1" t="str">
        <f t="shared" si="72"/>
        <v/>
      </c>
      <c r="B588" s="17"/>
      <c r="C588" s="18" t="str">
        <f>IF(B588="","",COUNTIF(INDEX($B:$B,5):B588,B588))</f>
        <v/>
      </c>
      <c r="D588" s="17"/>
      <c r="E588" s="19" t="str">
        <f t="shared" si="73"/>
        <v/>
      </c>
      <c r="F588" s="18" t="str">
        <f t="shared" si="74"/>
        <v/>
      </c>
      <c r="G588" s="6"/>
      <c r="H588" s="20" t="str">
        <f t="shared" si="75"/>
        <v/>
      </c>
      <c r="I588" s="21"/>
      <c r="J588" s="22" t="str">
        <f t="shared" si="76"/>
        <v/>
      </c>
      <c r="K588" s="20" t="str">
        <f t="shared" si="77"/>
        <v/>
      </c>
      <c r="L588" s="20" t="str">
        <f t="shared" si="78"/>
        <v/>
      </c>
      <c r="M588" s="6"/>
      <c r="N588" s="19" t="str">
        <f t="shared" si="79"/>
        <v/>
      </c>
      <c r="O588" s="23" t="str">
        <f>IF(B588="","",TRIM(IF(COUNTIF('Registru comenzi'!$B$5:$B$304,B588)=0,"Comandă inexistentă în registru. ","")&amp;IF(AND(D588&lt;&gt;"",E588=""),"Cod necunoscut. ","")&amp;IF(N(G588)&lt;=0,"Lipsește cantitatea. ","")&amp;IF(N(M588)&gt;N(G588),"Livrat mai mult decât s-a comandat. ","")&amp;IF(N(I588)&gt;0.3,"Discount neobișnuit de mare. ","")))</f>
        <v/>
      </c>
    </row>
    <row r="589" spans="1:15" x14ac:dyDescent="0.2">
      <c r="A589" s="1" t="str">
        <f t="shared" si="72"/>
        <v/>
      </c>
      <c r="B589" s="17"/>
      <c r="C589" s="18" t="str">
        <f>IF(B589="","",COUNTIF(INDEX($B:$B,5):B589,B589))</f>
        <v/>
      </c>
      <c r="D589" s="17"/>
      <c r="E589" s="19" t="str">
        <f t="shared" si="73"/>
        <v/>
      </c>
      <c r="F589" s="18" t="str">
        <f t="shared" si="74"/>
        <v/>
      </c>
      <c r="G589" s="6"/>
      <c r="H589" s="20" t="str">
        <f t="shared" si="75"/>
        <v/>
      </c>
      <c r="I589" s="21"/>
      <c r="J589" s="22" t="str">
        <f t="shared" si="76"/>
        <v/>
      </c>
      <c r="K589" s="20" t="str">
        <f t="shared" si="77"/>
        <v/>
      </c>
      <c r="L589" s="20" t="str">
        <f t="shared" si="78"/>
        <v/>
      </c>
      <c r="M589" s="6"/>
      <c r="N589" s="19" t="str">
        <f t="shared" si="79"/>
        <v/>
      </c>
      <c r="O589" s="23" t="str">
        <f>IF(B589="","",TRIM(IF(COUNTIF('Registru comenzi'!$B$5:$B$304,B589)=0,"Comandă inexistentă în registru. ","")&amp;IF(AND(D589&lt;&gt;"",E589=""),"Cod necunoscut. ","")&amp;IF(N(G589)&lt;=0,"Lipsește cantitatea. ","")&amp;IF(N(M589)&gt;N(G589),"Livrat mai mult decât s-a comandat. ","")&amp;IF(N(I589)&gt;0.3,"Discount neobișnuit de mare. ","")))</f>
        <v/>
      </c>
    </row>
    <row r="590" spans="1:15" x14ac:dyDescent="0.2">
      <c r="A590" s="1" t="str">
        <f t="shared" si="72"/>
        <v/>
      </c>
      <c r="B590" s="17"/>
      <c r="C590" s="18" t="str">
        <f>IF(B590="","",COUNTIF(INDEX($B:$B,5):B590,B590))</f>
        <v/>
      </c>
      <c r="D590" s="17"/>
      <c r="E590" s="19" t="str">
        <f t="shared" si="73"/>
        <v/>
      </c>
      <c r="F590" s="18" t="str">
        <f t="shared" si="74"/>
        <v/>
      </c>
      <c r="G590" s="6"/>
      <c r="H590" s="20" t="str">
        <f t="shared" si="75"/>
        <v/>
      </c>
      <c r="I590" s="21"/>
      <c r="J590" s="22" t="str">
        <f t="shared" si="76"/>
        <v/>
      </c>
      <c r="K590" s="20" t="str">
        <f t="shared" si="77"/>
        <v/>
      </c>
      <c r="L590" s="20" t="str">
        <f t="shared" si="78"/>
        <v/>
      </c>
      <c r="M590" s="6"/>
      <c r="N590" s="19" t="str">
        <f t="shared" si="79"/>
        <v/>
      </c>
      <c r="O590" s="23" t="str">
        <f>IF(B590="","",TRIM(IF(COUNTIF('Registru comenzi'!$B$5:$B$304,B590)=0,"Comandă inexistentă în registru. ","")&amp;IF(AND(D590&lt;&gt;"",E590=""),"Cod necunoscut. ","")&amp;IF(N(G590)&lt;=0,"Lipsește cantitatea. ","")&amp;IF(N(M590)&gt;N(G590),"Livrat mai mult decât s-a comandat. ","")&amp;IF(N(I590)&gt;0.3,"Discount neobișnuit de mare. ","")))</f>
        <v/>
      </c>
    </row>
    <row r="591" spans="1:15" x14ac:dyDescent="0.2">
      <c r="A591" s="1" t="str">
        <f t="shared" si="72"/>
        <v/>
      </c>
      <c r="B591" s="17"/>
      <c r="C591" s="18" t="str">
        <f>IF(B591="","",COUNTIF(INDEX($B:$B,5):B591,B591))</f>
        <v/>
      </c>
      <c r="D591" s="17"/>
      <c r="E591" s="19" t="str">
        <f t="shared" si="73"/>
        <v/>
      </c>
      <c r="F591" s="18" t="str">
        <f t="shared" si="74"/>
        <v/>
      </c>
      <c r="G591" s="6"/>
      <c r="H591" s="20" t="str">
        <f t="shared" si="75"/>
        <v/>
      </c>
      <c r="I591" s="21"/>
      <c r="J591" s="22" t="str">
        <f t="shared" si="76"/>
        <v/>
      </c>
      <c r="K591" s="20" t="str">
        <f t="shared" si="77"/>
        <v/>
      </c>
      <c r="L591" s="20" t="str">
        <f t="shared" si="78"/>
        <v/>
      </c>
      <c r="M591" s="6"/>
      <c r="N591" s="19" t="str">
        <f t="shared" si="79"/>
        <v/>
      </c>
      <c r="O591" s="23" t="str">
        <f>IF(B591="","",TRIM(IF(COUNTIF('Registru comenzi'!$B$5:$B$304,B591)=0,"Comandă inexistentă în registru. ","")&amp;IF(AND(D591&lt;&gt;"",E591=""),"Cod necunoscut. ","")&amp;IF(N(G591)&lt;=0,"Lipsește cantitatea. ","")&amp;IF(N(M591)&gt;N(G591),"Livrat mai mult decât s-a comandat. ","")&amp;IF(N(I591)&gt;0.3,"Discount neobișnuit de mare. ","")))</f>
        <v/>
      </c>
    </row>
    <row r="592" spans="1:15" x14ac:dyDescent="0.2">
      <c r="A592" s="1" t="str">
        <f t="shared" si="72"/>
        <v/>
      </c>
      <c r="B592" s="17"/>
      <c r="C592" s="18" t="str">
        <f>IF(B592="","",COUNTIF(INDEX($B:$B,5):B592,B592))</f>
        <v/>
      </c>
      <c r="D592" s="17"/>
      <c r="E592" s="19" t="str">
        <f t="shared" si="73"/>
        <v/>
      </c>
      <c r="F592" s="18" t="str">
        <f t="shared" si="74"/>
        <v/>
      </c>
      <c r="G592" s="6"/>
      <c r="H592" s="20" t="str">
        <f t="shared" si="75"/>
        <v/>
      </c>
      <c r="I592" s="21"/>
      <c r="J592" s="22" t="str">
        <f t="shared" si="76"/>
        <v/>
      </c>
      <c r="K592" s="20" t="str">
        <f t="shared" si="77"/>
        <v/>
      </c>
      <c r="L592" s="20" t="str">
        <f t="shared" si="78"/>
        <v/>
      </c>
      <c r="M592" s="6"/>
      <c r="N592" s="19" t="str">
        <f t="shared" si="79"/>
        <v/>
      </c>
      <c r="O592" s="23" t="str">
        <f>IF(B592="","",TRIM(IF(COUNTIF('Registru comenzi'!$B$5:$B$304,B592)=0,"Comandă inexistentă în registru. ","")&amp;IF(AND(D592&lt;&gt;"",E592=""),"Cod necunoscut. ","")&amp;IF(N(G592)&lt;=0,"Lipsește cantitatea. ","")&amp;IF(N(M592)&gt;N(G592),"Livrat mai mult decât s-a comandat. ","")&amp;IF(N(I592)&gt;0.3,"Discount neobișnuit de mare. ","")))</f>
        <v/>
      </c>
    </row>
    <row r="593" spans="1:15" x14ac:dyDescent="0.2">
      <c r="A593" s="1" t="str">
        <f t="shared" si="72"/>
        <v/>
      </c>
      <c r="B593" s="17"/>
      <c r="C593" s="18" t="str">
        <f>IF(B593="","",COUNTIF(INDEX($B:$B,5):B593,B593))</f>
        <v/>
      </c>
      <c r="D593" s="17"/>
      <c r="E593" s="19" t="str">
        <f t="shared" si="73"/>
        <v/>
      </c>
      <c r="F593" s="18" t="str">
        <f t="shared" si="74"/>
        <v/>
      </c>
      <c r="G593" s="6"/>
      <c r="H593" s="20" t="str">
        <f t="shared" si="75"/>
        <v/>
      </c>
      <c r="I593" s="21"/>
      <c r="J593" s="22" t="str">
        <f t="shared" si="76"/>
        <v/>
      </c>
      <c r="K593" s="20" t="str">
        <f t="shared" si="77"/>
        <v/>
      </c>
      <c r="L593" s="20" t="str">
        <f t="shared" si="78"/>
        <v/>
      </c>
      <c r="M593" s="6"/>
      <c r="N593" s="19" t="str">
        <f t="shared" si="79"/>
        <v/>
      </c>
      <c r="O593" s="23" t="str">
        <f>IF(B593="","",TRIM(IF(COUNTIF('Registru comenzi'!$B$5:$B$304,B593)=0,"Comandă inexistentă în registru. ","")&amp;IF(AND(D593&lt;&gt;"",E593=""),"Cod necunoscut. ","")&amp;IF(N(G593)&lt;=0,"Lipsește cantitatea. ","")&amp;IF(N(M593)&gt;N(G593),"Livrat mai mult decât s-a comandat. ","")&amp;IF(N(I593)&gt;0.3,"Discount neobișnuit de mare. ","")))</f>
        <v/>
      </c>
    </row>
    <row r="594" spans="1:15" x14ac:dyDescent="0.2">
      <c r="A594" s="1" t="str">
        <f t="shared" si="72"/>
        <v/>
      </c>
      <c r="B594" s="17"/>
      <c r="C594" s="18" t="str">
        <f>IF(B594="","",COUNTIF(INDEX($B:$B,5):B594,B594))</f>
        <v/>
      </c>
      <c r="D594" s="17"/>
      <c r="E594" s="19" t="str">
        <f t="shared" si="73"/>
        <v/>
      </c>
      <c r="F594" s="18" t="str">
        <f t="shared" si="74"/>
        <v/>
      </c>
      <c r="G594" s="6"/>
      <c r="H594" s="20" t="str">
        <f t="shared" si="75"/>
        <v/>
      </c>
      <c r="I594" s="21"/>
      <c r="J594" s="22" t="str">
        <f t="shared" si="76"/>
        <v/>
      </c>
      <c r="K594" s="20" t="str">
        <f t="shared" si="77"/>
        <v/>
      </c>
      <c r="L594" s="20" t="str">
        <f t="shared" si="78"/>
        <v/>
      </c>
      <c r="M594" s="6"/>
      <c r="N594" s="19" t="str">
        <f t="shared" si="79"/>
        <v/>
      </c>
      <c r="O594" s="23" t="str">
        <f>IF(B594="","",TRIM(IF(COUNTIF('Registru comenzi'!$B$5:$B$304,B594)=0,"Comandă inexistentă în registru. ","")&amp;IF(AND(D594&lt;&gt;"",E594=""),"Cod necunoscut. ","")&amp;IF(N(G594)&lt;=0,"Lipsește cantitatea. ","")&amp;IF(N(M594)&gt;N(G594),"Livrat mai mult decât s-a comandat. ","")&amp;IF(N(I594)&gt;0.3,"Discount neobișnuit de mare. ","")))</f>
        <v/>
      </c>
    </row>
    <row r="595" spans="1:15" x14ac:dyDescent="0.2">
      <c r="A595" s="1" t="str">
        <f t="shared" si="72"/>
        <v/>
      </c>
      <c r="B595" s="17"/>
      <c r="C595" s="18" t="str">
        <f>IF(B595="","",COUNTIF(INDEX($B:$B,5):B595,B595))</f>
        <v/>
      </c>
      <c r="D595" s="17"/>
      <c r="E595" s="19" t="str">
        <f t="shared" si="73"/>
        <v/>
      </c>
      <c r="F595" s="18" t="str">
        <f t="shared" si="74"/>
        <v/>
      </c>
      <c r="G595" s="6"/>
      <c r="H595" s="20" t="str">
        <f t="shared" si="75"/>
        <v/>
      </c>
      <c r="I595" s="21"/>
      <c r="J595" s="22" t="str">
        <f t="shared" si="76"/>
        <v/>
      </c>
      <c r="K595" s="20" t="str">
        <f t="shared" si="77"/>
        <v/>
      </c>
      <c r="L595" s="20" t="str">
        <f t="shared" si="78"/>
        <v/>
      </c>
      <c r="M595" s="6"/>
      <c r="N595" s="19" t="str">
        <f t="shared" si="79"/>
        <v/>
      </c>
      <c r="O595" s="23" t="str">
        <f>IF(B595="","",TRIM(IF(COUNTIF('Registru comenzi'!$B$5:$B$304,B595)=0,"Comandă inexistentă în registru. ","")&amp;IF(AND(D595&lt;&gt;"",E595=""),"Cod necunoscut. ","")&amp;IF(N(G595)&lt;=0,"Lipsește cantitatea. ","")&amp;IF(N(M595)&gt;N(G595),"Livrat mai mult decât s-a comandat. ","")&amp;IF(N(I595)&gt;0.3,"Discount neobișnuit de mare. ","")))</f>
        <v/>
      </c>
    </row>
    <row r="596" spans="1:15" x14ac:dyDescent="0.2">
      <c r="A596" s="1" t="str">
        <f t="shared" si="72"/>
        <v/>
      </c>
      <c r="B596" s="17"/>
      <c r="C596" s="18" t="str">
        <f>IF(B596="","",COUNTIF(INDEX($B:$B,5):B596,B596))</f>
        <v/>
      </c>
      <c r="D596" s="17"/>
      <c r="E596" s="19" t="str">
        <f t="shared" si="73"/>
        <v/>
      </c>
      <c r="F596" s="18" t="str">
        <f t="shared" si="74"/>
        <v/>
      </c>
      <c r="G596" s="6"/>
      <c r="H596" s="20" t="str">
        <f t="shared" si="75"/>
        <v/>
      </c>
      <c r="I596" s="21"/>
      <c r="J596" s="22" t="str">
        <f t="shared" si="76"/>
        <v/>
      </c>
      <c r="K596" s="20" t="str">
        <f t="shared" si="77"/>
        <v/>
      </c>
      <c r="L596" s="20" t="str">
        <f t="shared" si="78"/>
        <v/>
      </c>
      <c r="M596" s="6"/>
      <c r="N596" s="19" t="str">
        <f t="shared" si="79"/>
        <v/>
      </c>
      <c r="O596" s="23" t="str">
        <f>IF(B596="","",TRIM(IF(COUNTIF('Registru comenzi'!$B$5:$B$304,B596)=0,"Comandă inexistentă în registru. ","")&amp;IF(AND(D596&lt;&gt;"",E596=""),"Cod necunoscut. ","")&amp;IF(N(G596)&lt;=0,"Lipsește cantitatea. ","")&amp;IF(N(M596)&gt;N(G596),"Livrat mai mult decât s-a comandat. ","")&amp;IF(N(I596)&gt;0.3,"Discount neobișnuit de mare. ","")))</f>
        <v/>
      </c>
    </row>
    <row r="597" spans="1:15" x14ac:dyDescent="0.2">
      <c r="A597" s="1" t="str">
        <f t="shared" si="72"/>
        <v/>
      </c>
      <c r="B597" s="17"/>
      <c r="C597" s="18" t="str">
        <f>IF(B597="","",COUNTIF(INDEX($B:$B,5):B597,B597))</f>
        <v/>
      </c>
      <c r="D597" s="17"/>
      <c r="E597" s="19" t="str">
        <f t="shared" si="73"/>
        <v/>
      </c>
      <c r="F597" s="18" t="str">
        <f t="shared" si="74"/>
        <v/>
      </c>
      <c r="G597" s="6"/>
      <c r="H597" s="20" t="str">
        <f t="shared" si="75"/>
        <v/>
      </c>
      <c r="I597" s="21"/>
      <c r="J597" s="22" t="str">
        <f t="shared" si="76"/>
        <v/>
      </c>
      <c r="K597" s="20" t="str">
        <f t="shared" si="77"/>
        <v/>
      </c>
      <c r="L597" s="20" t="str">
        <f t="shared" si="78"/>
        <v/>
      </c>
      <c r="M597" s="6"/>
      <c r="N597" s="19" t="str">
        <f t="shared" si="79"/>
        <v/>
      </c>
      <c r="O597" s="23" t="str">
        <f>IF(B597="","",TRIM(IF(COUNTIF('Registru comenzi'!$B$5:$B$304,B597)=0,"Comandă inexistentă în registru. ","")&amp;IF(AND(D597&lt;&gt;"",E597=""),"Cod necunoscut. ","")&amp;IF(N(G597)&lt;=0,"Lipsește cantitatea. ","")&amp;IF(N(M597)&gt;N(G597),"Livrat mai mult decât s-a comandat. ","")&amp;IF(N(I597)&gt;0.3,"Discount neobișnuit de mare. ","")))</f>
        <v/>
      </c>
    </row>
    <row r="598" spans="1:15" x14ac:dyDescent="0.2">
      <c r="A598" s="1" t="str">
        <f t="shared" si="72"/>
        <v/>
      </c>
      <c r="B598" s="17"/>
      <c r="C598" s="18" t="str">
        <f>IF(B598="","",COUNTIF(INDEX($B:$B,5):B598,B598))</f>
        <v/>
      </c>
      <c r="D598" s="17"/>
      <c r="E598" s="19" t="str">
        <f t="shared" si="73"/>
        <v/>
      </c>
      <c r="F598" s="18" t="str">
        <f t="shared" si="74"/>
        <v/>
      </c>
      <c r="G598" s="6"/>
      <c r="H598" s="20" t="str">
        <f t="shared" si="75"/>
        <v/>
      </c>
      <c r="I598" s="21"/>
      <c r="J598" s="22" t="str">
        <f t="shared" si="76"/>
        <v/>
      </c>
      <c r="K598" s="20" t="str">
        <f t="shared" si="77"/>
        <v/>
      </c>
      <c r="L598" s="20" t="str">
        <f t="shared" si="78"/>
        <v/>
      </c>
      <c r="M598" s="6"/>
      <c r="N598" s="19" t="str">
        <f t="shared" si="79"/>
        <v/>
      </c>
      <c r="O598" s="23" t="str">
        <f>IF(B598="","",TRIM(IF(COUNTIF('Registru comenzi'!$B$5:$B$304,B598)=0,"Comandă inexistentă în registru. ","")&amp;IF(AND(D598&lt;&gt;"",E598=""),"Cod necunoscut. ","")&amp;IF(N(G598)&lt;=0,"Lipsește cantitatea. ","")&amp;IF(N(M598)&gt;N(G598),"Livrat mai mult decât s-a comandat. ","")&amp;IF(N(I598)&gt;0.3,"Discount neobișnuit de mare. ","")))</f>
        <v/>
      </c>
    </row>
    <row r="599" spans="1:15" x14ac:dyDescent="0.2">
      <c r="A599" s="1" t="str">
        <f t="shared" si="72"/>
        <v/>
      </c>
      <c r="B599" s="17"/>
      <c r="C599" s="18" t="str">
        <f>IF(B599="","",COUNTIF(INDEX($B:$B,5):B599,B599))</f>
        <v/>
      </c>
      <c r="D599" s="17"/>
      <c r="E599" s="19" t="str">
        <f t="shared" si="73"/>
        <v/>
      </c>
      <c r="F599" s="18" t="str">
        <f t="shared" si="74"/>
        <v/>
      </c>
      <c r="G599" s="6"/>
      <c r="H599" s="20" t="str">
        <f t="shared" si="75"/>
        <v/>
      </c>
      <c r="I599" s="21"/>
      <c r="J599" s="22" t="str">
        <f t="shared" si="76"/>
        <v/>
      </c>
      <c r="K599" s="20" t="str">
        <f t="shared" si="77"/>
        <v/>
      </c>
      <c r="L599" s="20" t="str">
        <f t="shared" si="78"/>
        <v/>
      </c>
      <c r="M599" s="6"/>
      <c r="N599" s="19" t="str">
        <f t="shared" si="79"/>
        <v/>
      </c>
      <c r="O599" s="23" t="str">
        <f>IF(B599="","",TRIM(IF(COUNTIF('Registru comenzi'!$B$5:$B$304,B599)=0,"Comandă inexistentă în registru. ","")&amp;IF(AND(D599&lt;&gt;"",E599=""),"Cod necunoscut. ","")&amp;IF(N(G599)&lt;=0,"Lipsește cantitatea. ","")&amp;IF(N(M599)&gt;N(G599),"Livrat mai mult decât s-a comandat. ","")&amp;IF(N(I599)&gt;0.3,"Discount neobișnuit de mare. ","")))</f>
        <v/>
      </c>
    </row>
    <row r="600" spans="1:15" x14ac:dyDescent="0.2">
      <c r="A600" s="1" t="str">
        <f t="shared" si="72"/>
        <v/>
      </c>
      <c r="B600" s="17"/>
      <c r="C600" s="18" t="str">
        <f>IF(B600="","",COUNTIF(INDEX($B:$B,5):B600,B600))</f>
        <v/>
      </c>
      <c r="D600" s="17"/>
      <c r="E600" s="19" t="str">
        <f t="shared" si="73"/>
        <v/>
      </c>
      <c r="F600" s="18" t="str">
        <f t="shared" si="74"/>
        <v/>
      </c>
      <c r="G600" s="6"/>
      <c r="H600" s="20" t="str">
        <f t="shared" si="75"/>
        <v/>
      </c>
      <c r="I600" s="21"/>
      <c r="J600" s="22" t="str">
        <f t="shared" si="76"/>
        <v/>
      </c>
      <c r="K600" s="20" t="str">
        <f t="shared" si="77"/>
        <v/>
      </c>
      <c r="L600" s="20" t="str">
        <f t="shared" si="78"/>
        <v/>
      </c>
      <c r="M600" s="6"/>
      <c r="N600" s="19" t="str">
        <f t="shared" si="79"/>
        <v/>
      </c>
      <c r="O600" s="23" t="str">
        <f>IF(B600="","",TRIM(IF(COUNTIF('Registru comenzi'!$B$5:$B$304,B600)=0,"Comandă inexistentă în registru. ","")&amp;IF(AND(D600&lt;&gt;"",E600=""),"Cod necunoscut. ","")&amp;IF(N(G600)&lt;=0,"Lipsește cantitatea. ","")&amp;IF(N(M600)&gt;N(G600),"Livrat mai mult decât s-a comandat. ","")&amp;IF(N(I600)&gt;0.3,"Discount neobișnuit de mare. ","")))</f>
        <v/>
      </c>
    </row>
    <row r="601" spans="1:15" x14ac:dyDescent="0.2">
      <c r="A601" s="1" t="str">
        <f t="shared" si="72"/>
        <v/>
      </c>
      <c r="B601" s="17"/>
      <c r="C601" s="18" t="str">
        <f>IF(B601="","",COUNTIF(INDEX($B:$B,5):B601,B601))</f>
        <v/>
      </c>
      <c r="D601" s="17"/>
      <c r="E601" s="19" t="str">
        <f t="shared" si="73"/>
        <v/>
      </c>
      <c r="F601" s="18" t="str">
        <f t="shared" si="74"/>
        <v/>
      </c>
      <c r="G601" s="6"/>
      <c r="H601" s="20" t="str">
        <f t="shared" si="75"/>
        <v/>
      </c>
      <c r="I601" s="21"/>
      <c r="J601" s="22" t="str">
        <f t="shared" si="76"/>
        <v/>
      </c>
      <c r="K601" s="20" t="str">
        <f t="shared" si="77"/>
        <v/>
      </c>
      <c r="L601" s="20" t="str">
        <f t="shared" si="78"/>
        <v/>
      </c>
      <c r="M601" s="6"/>
      <c r="N601" s="19" t="str">
        <f t="shared" si="79"/>
        <v/>
      </c>
      <c r="O601" s="23" t="str">
        <f>IF(B601="","",TRIM(IF(COUNTIF('Registru comenzi'!$B$5:$B$304,B601)=0,"Comandă inexistentă în registru. ","")&amp;IF(AND(D601&lt;&gt;"",E601=""),"Cod necunoscut. ","")&amp;IF(N(G601)&lt;=0,"Lipsește cantitatea. ","")&amp;IF(N(M601)&gt;N(G601),"Livrat mai mult decât s-a comandat. ","")&amp;IF(N(I601)&gt;0.3,"Discount neobișnuit de mare. ","")))</f>
        <v/>
      </c>
    </row>
    <row r="602" spans="1:15" x14ac:dyDescent="0.2">
      <c r="A602" s="1" t="str">
        <f t="shared" si="72"/>
        <v/>
      </c>
      <c r="B602" s="17"/>
      <c r="C602" s="18" t="str">
        <f>IF(B602="","",COUNTIF(INDEX($B:$B,5):B602,B602))</f>
        <v/>
      </c>
      <c r="D602" s="17"/>
      <c r="E602" s="19" t="str">
        <f t="shared" si="73"/>
        <v/>
      </c>
      <c r="F602" s="18" t="str">
        <f t="shared" si="74"/>
        <v/>
      </c>
      <c r="G602" s="6"/>
      <c r="H602" s="20" t="str">
        <f t="shared" si="75"/>
        <v/>
      </c>
      <c r="I602" s="21"/>
      <c r="J602" s="22" t="str">
        <f t="shared" si="76"/>
        <v/>
      </c>
      <c r="K602" s="20" t="str">
        <f t="shared" si="77"/>
        <v/>
      </c>
      <c r="L602" s="20" t="str">
        <f t="shared" si="78"/>
        <v/>
      </c>
      <c r="M602" s="6"/>
      <c r="N602" s="19" t="str">
        <f t="shared" si="79"/>
        <v/>
      </c>
      <c r="O602" s="23" t="str">
        <f>IF(B602="","",TRIM(IF(COUNTIF('Registru comenzi'!$B$5:$B$304,B602)=0,"Comandă inexistentă în registru. ","")&amp;IF(AND(D602&lt;&gt;"",E602=""),"Cod necunoscut. ","")&amp;IF(N(G602)&lt;=0,"Lipsește cantitatea. ","")&amp;IF(N(M602)&gt;N(G602),"Livrat mai mult decât s-a comandat. ","")&amp;IF(N(I602)&gt;0.3,"Discount neobișnuit de mare. ","")))</f>
        <v/>
      </c>
    </row>
    <row r="603" spans="1:15" x14ac:dyDescent="0.2">
      <c r="A603" s="1" t="str">
        <f t="shared" si="72"/>
        <v/>
      </c>
      <c r="B603" s="17"/>
      <c r="C603" s="18" t="str">
        <f>IF(B603="","",COUNTIF(INDEX($B:$B,5):B603,B603))</f>
        <v/>
      </c>
      <c r="D603" s="17"/>
      <c r="E603" s="19" t="str">
        <f t="shared" si="73"/>
        <v/>
      </c>
      <c r="F603" s="18" t="str">
        <f t="shared" si="74"/>
        <v/>
      </c>
      <c r="G603" s="6"/>
      <c r="H603" s="20" t="str">
        <f t="shared" si="75"/>
        <v/>
      </c>
      <c r="I603" s="21"/>
      <c r="J603" s="22" t="str">
        <f t="shared" si="76"/>
        <v/>
      </c>
      <c r="K603" s="20" t="str">
        <f t="shared" si="77"/>
        <v/>
      </c>
      <c r="L603" s="20" t="str">
        <f t="shared" si="78"/>
        <v/>
      </c>
      <c r="M603" s="6"/>
      <c r="N603" s="19" t="str">
        <f t="shared" si="79"/>
        <v/>
      </c>
      <c r="O603" s="23" t="str">
        <f>IF(B603="","",TRIM(IF(COUNTIF('Registru comenzi'!$B$5:$B$304,B603)=0,"Comandă inexistentă în registru. ","")&amp;IF(AND(D603&lt;&gt;"",E603=""),"Cod necunoscut. ","")&amp;IF(N(G603)&lt;=0,"Lipsește cantitatea. ","")&amp;IF(N(M603)&gt;N(G603),"Livrat mai mult decât s-a comandat. ","")&amp;IF(N(I603)&gt;0.3,"Discount neobișnuit de mare. ","")))</f>
        <v/>
      </c>
    </row>
    <row r="604" spans="1:15" x14ac:dyDescent="0.2">
      <c r="A604" s="1" t="str">
        <f t="shared" si="72"/>
        <v/>
      </c>
      <c r="B604" s="17"/>
      <c r="C604" s="18" t="str">
        <f>IF(B604="","",COUNTIF(INDEX($B:$B,5):B604,B604))</f>
        <v/>
      </c>
      <c r="D604" s="17"/>
      <c r="E604" s="19" t="str">
        <f t="shared" si="73"/>
        <v/>
      </c>
      <c r="F604" s="18" t="str">
        <f t="shared" si="74"/>
        <v/>
      </c>
      <c r="G604" s="6"/>
      <c r="H604" s="20" t="str">
        <f t="shared" si="75"/>
        <v/>
      </c>
      <c r="I604" s="21"/>
      <c r="J604" s="22" t="str">
        <f t="shared" si="76"/>
        <v/>
      </c>
      <c r="K604" s="20" t="str">
        <f t="shared" si="77"/>
        <v/>
      </c>
      <c r="L604" s="20" t="str">
        <f t="shared" si="78"/>
        <v/>
      </c>
      <c r="M604" s="6"/>
      <c r="N604" s="19" t="str">
        <f t="shared" si="79"/>
        <v/>
      </c>
      <c r="O604" s="23" t="str">
        <f>IF(B604="","",TRIM(IF(COUNTIF('Registru comenzi'!$B$5:$B$304,B604)=0,"Comandă inexistentă în registru. ","")&amp;IF(AND(D604&lt;&gt;"",E604=""),"Cod necunoscut. ","")&amp;IF(N(G604)&lt;=0,"Lipsește cantitatea. ","")&amp;IF(N(M604)&gt;N(G604),"Livrat mai mult decât s-a comandat. ","")&amp;IF(N(I604)&gt;0.3,"Discount neobișnuit de mare. ","")))</f>
        <v/>
      </c>
    </row>
    <row r="605" spans="1:15" x14ac:dyDescent="0.2">
      <c r="A605" s="1" t="str">
        <f t="shared" si="72"/>
        <v/>
      </c>
      <c r="B605" s="17"/>
      <c r="C605" s="18" t="str">
        <f>IF(B605="","",COUNTIF(INDEX($B:$B,5):B605,B605))</f>
        <v/>
      </c>
      <c r="D605" s="17"/>
      <c r="E605" s="19" t="str">
        <f t="shared" si="73"/>
        <v/>
      </c>
      <c r="F605" s="18" t="str">
        <f t="shared" si="74"/>
        <v/>
      </c>
      <c r="G605" s="6"/>
      <c r="H605" s="20" t="str">
        <f t="shared" si="75"/>
        <v/>
      </c>
      <c r="I605" s="21"/>
      <c r="J605" s="22" t="str">
        <f t="shared" si="76"/>
        <v/>
      </c>
      <c r="K605" s="20" t="str">
        <f t="shared" si="77"/>
        <v/>
      </c>
      <c r="L605" s="20" t="str">
        <f t="shared" si="78"/>
        <v/>
      </c>
      <c r="M605" s="6"/>
      <c r="N605" s="19" t="str">
        <f t="shared" si="79"/>
        <v/>
      </c>
      <c r="O605" s="23" t="str">
        <f>IF(B605="","",TRIM(IF(COUNTIF('Registru comenzi'!$B$5:$B$304,B605)=0,"Comandă inexistentă în registru. ","")&amp;IF(AND(D605&lt;&gt;"",E605=""),"Cod necunoscut. ","")&amp;IF(N(G605)&lt;=0,"Lipsește cantitatea. ","")&amp;IF(N(M605)&gt;N(G605),"Livrat mai mult decât s-a comandat. ","")&amp;IF(N(I605)&gt;0.3,"Discount neobișnuit de mare. ","")))</f>
        <v/>
      </c>
    </row>
    <row r="606" spans="1:15" x14ac:dyDescent="0.2">
      <c r="A606" s="1" t="str">
        <f t="shared" si="72"/>
        <v/>
      </c>
      <c r="B606" s="17"/>
      <c r="C606" s="18" t="str">
        <f>IF(B606="","",COUNTIF(INDEX($B:$B,5):B606,B606))</f>
        <v/>
      </c>
      <c r="D606" s="17"/>
      <c r="E606" s="19" t="str">
        <f t="shared" si="73"/>
        <v/>
      </c>
      <c r="F606" s="18" t="str">
        <f t="shared" si="74"/>
        <v/>
      </c>
      <c r="G606" s="6"/>
      <c r="H606" s="20" t="str">
        <f t="shared" si="75"/>
        <v/>
      </c>
      <c r="I606" s="21"/>
      <c r="J606" s="22" t="str">
        <f t="shared" si="76"/>
        <v/>
      </c>
      <c r="K606" s="20" t="str">
        <f t="shared" si="77"/>
        <v/>
      </c>
      <c r="L606" s="20" t="str">
        <f t="shared" si="78"/>
        <v/>
      </c>
      <c r="M606" s="6"/>
      <c r="N606" s="19" t="str">
        <f t="shared" si="79"/>
        <v/>
      </c>
      <c r="O606" s="23" t="str">
        <f>IF(B606="","",TRIM(IF(COUNTIF('Registru comenzi'!$B$5:$B$304,B606)=0,"Comandă inexistentă în registru. ","")&amp;IF(AND(D606&lt;&gt;"",E606=""),"Cod necunoscut. ","")&amp;IF(N(G606)&lt;=0,"Lipsește cantitatea. ","")&amp;IF(N(M606)&gt;N(G606),"Livrat mai mult decât s-a comandat. ","")&amp;IF(N(I606)&gt;0.3,"Discount neobișnuit de mare. ","")))</f>
        <v/>
      </c>
    </row>
    <row r="607" spans="1:15" x14ac:dyDescent="0.2">
      <c r="A607" s="1" t="str">
        <f t="shared" si="72"/>
        <v/>
      </c>
      <c r="B607" s="17"/>
      <c r="C607" s="18" t="str">
        <f>IF(B607="","",COUNTIF(INDEX($B:$B,5):B607,B607))</f>
        <v/>
      </c>
      <c r="D607" s="17"/>
      <c r="E607" s="19" t="str">
        <f t="shared" si="73"/>
        <v/>
      </c>
      <c r="F607" s="18" t="str">
        <f t="shared" si="74"/>
        <v/>
      </c>
      <c r="G607" s="6"/>
      <c r="H607" s="20" t="str">
        <f t="shared" si="75"/>
        <v/>
      </c>
      <c r="I607" s="21"/>
      <c r="J607" s="22" t="str">
        <f t="shared" si="76"/>
        <v/>
      </c>
      <c r="K607" s="20" t="str">
        <f t="shared" si="77"/>
        <v/>
      </c>
      <c r="L607" s="20" t="str">
        <f t="shared" si="78"/>
        <v/>
      </c>
      <c r="M607" s="6"/>
      <c r="N607" s="19" t="str">
        <f t="shared" si="79"/>
        <v/>
      </c>
      <c r="O607" s="23" t="str">
        <f>IF(B607="","",TRIM(IF(COUNTIF('Registru comenzi'!$B$5:$B$304,B607)=0,"Comandă inexistentă în registru. ","")&amp;IF(AND(D607&lt;&gt;"",E607=""),"Cod necunoscut. ","")&amp;IF(N(G607)&lt;=0,"Lipsește cantitatea. ","")&amp;IF(N(M607)&gt;N(G607),"Livrat mai mult decât s-a comandat. ","")&amp;IF(N(I607)&gt;0.3,"Discount neobișnuit de mare. ","")))</f>
        <v/>
      </c>
    </row>
    <row r="608" spans="1:15" x14ac:dyDescent="0.2">
      <c r="A608" s="1" t="str">
        <f t="shared" si="72"/>
        <v/>
      </c>
      <c r="B608" s="17"/>
      <c r="C608" s="18" t="str">
        <f>IF(B608="","",COUNTIF(INDEX($B:$B,5):B608,B608))</f>
        <v/>
      </c>
      <c r="D608" s="17"/>
      <c r="E608" s="19" t="str">
        <f t="shared" si="73"/>
        <v/>
      </c>
      <c r="F608" s="18" t="str">
        <f t="shared" si="74"/>
        <v/>
      </c>
      <c r="G608" s="6"/>
      <c r="H608" s="20" t="str">
        <f t="shared" si="75"/>
        <v/>
      </c>
      <c r="I608" s="21"/>
      <c r="J608" s="22" t="str">
        <f t="shared" si="76"/>
        <v/>
      </c>
      <c r="K608" s="20" t="str">
        <f t="shared" si="77"/>
        <v/>
      </c>
      <c r="L608" s="20" t="str">
        <f t="shared" si="78"/>
        <v/>
      </c>
      <c r="M608" s="6"/>
      <c r="N608" s="19" t="str">
        <f t="shared" si="79"/>
        <v/>
      </c>
      <c r="O608" s="23" t="str">
        <f>IF(B608="","",TRIM(IF(COUNTIF('Registru comenzi'!$B$5:$B$304,B608)=0,"Comandă inexistentă în registru. ","")&amp;IF(AND(D608&lt;&gt;"",E608=""),"Cod necunoscut. ","")&amp;IF(N(G608)&lt;=0,"Lipsește cantitatea. ","")&amp;IF(N(M608)&gt;N(G608),"Livrat mai mult decât s-a comandat. ","")&amp;IF(N(I608)&gt;0.3,"Discount neobișnuit de mare. ","")))</f>
        <v/>
      </c>
    </row>
    <row r="609" spans="1:15" x14ac:dyDescent="0.2">
      <c r="A609" s="1" t="str">
        <f t="shared" si="72"/>
        <v/>
      </c>
      <c r="B609" s="17"/>
      <c r="C609" s="18" t="str">
        <f>IF(B609="","",COUNTIF(INDEX($B:$B,5):B609,B609))</f>
        <v/>
      </c>
      <c r="D609" s="17"/>
      <c r="E609" s="19" t="str">
        <f t="shared" si="73"/>
        <v/>
      </c>
      <c r="F609" s="18" t="str">
        <f t="shared" si="74"/>
        <v/>
      </c>
      <c r="G609" s="6"/>
      <c r="H609" s="20" t="str">
        <f t="shared" si="75"/>
        <v/>
      </c>
      <c r="I609" s="21"/>
      <c r="J609" s="22" t="str">
        <f t="shared" si="76"/>
        <v/>
      </c>
      <c r="K609" s="20" t="str">
        <f t="shared" si="77"/>
        <v/>
      </c>
      <c r="L609" s="20" t="str">
        <f t="shared" si="78"/>
        <v/>
      </c>
      <c r="M609" s="6"/>
      <c r="N609" s="19" t="str">
        <f t="shared" si="79"/>
        <v/>
      </c>
      <c r="O609" s="23" t="str">
        <f>IF(B609="","",TRIM(IF(COUNTIF('Registru comenzi'!$B$5:$B$304,B609)=0,"Comandă inexistentă în registru. ","")&amp;IF(AND(D609&lt;&gt;"",E609=""),"Cod necunoscut. ","")&amp;IF(N(G609)&lt;=0,"Lipsește cantitatea. ","")&amp;IF(N(M609)&gt;N(G609),"Livrat mai mult decât s-a comandat. ","")&amp;IF(N(I609)&gt;0.3,"Discount neobișnuit de mare. ","")))</f>
        <v/>
      </c>
    </row>
    <row r="610" spans="1:15" x14ac:dyDescent="0.2">
      <c r="A610" s="1" t="str">
        <f t="shared" si="72"/>
        <v/>
      </c>
      <c r="B610" s="17"/>
      <c r="C610" s="18" t="str">
        <f>IF(B610="","",COUNTIF(INDEX($B:$B,5):B610,B610))</f>
        <v/>
      </c>
      <c r="D610" s="17"/>
      <c r="E610" s="19" t="str">
        <f t="shared" si="73"/>
        <v/>
      </c>
      <c r="F610" s="18" t="str">
        <f t="shared" si="74"/>
        <v/>
      </c>
      <c r="G610" s="6"/>
      <c r="H610" s="20" t="str">
        <f t="shared" si="75"/>
        <v/>
      </c>
      <c r="I610" s="21"/>
      <c r="J610" s="22" t="str">
        <f t="shared" si="76"/>
        <v/>
      </c>
      <c r="K610" s="20" t="str">
        <f t="shared" si="77"/>
        <v/>
      </c>
      <c r="L610" s="20" t="str">
        <f t="shared" si="78"/>
        <v/>
      </c>
      <c r="M610" s="6"/>
      <c r="N610" s="19" t="str">
        <f t="shared" si="79"/>
        <v/>
      </c>
      <c r="O610" s="23" t="str">
        <f>IF(B610="","",TRIM(IF(COUNTIF('Registru comenzi'!$B$5:$B$304,B610)=0,"Comandă inexistentă în registru. ","")&amp;IF(AND(D610&lt;&gt;"",E610=""),"Cod necunoscut. ","")&amp;IF(N(G610)&lt;=0,"Lipsește cantitatea. ","")&amp;IF(N(M610)&gt;N(G610),"Livrat mai mult decât s-a comandat. ","")&amp;IF(N(I610)&gt;0.3,"Discount neobișnuit de mare. ","")))</f>
        <v/>
      </c>
    </row>
    <row r="611" spans="1:15" x14ac:dyDescent="0.2">
      <c r="A611" s="1" t="str">
        <f t="shared" si="72"/>
        <v/>
      </c>
      <c r="B611" s="17"/>
      <c r="C611" s="18" t="str">
        <f>IF(B611="","",COUNTIF(INDEX($B:$B,5):B611,B611))</f>
        <v/>
      </c>
      <c r="D611" s="17"/>
      <c r="E611" s="19" t="str">
        <f t="shared" si="73"/>
        <v/>
      </c>
      <c r="F611" s="18" t="str">
        <f t="shared" si="74"/>
        <v/>
      </c>
      <c r="G611" s="6"/>
      <c r="H611" s="20" t="str">
        <f t="shared" si="75"/>
        <v/>
      </c>
      <c r="I611" s="21"/>
      <c r="J611" s="22" t="str">
        <f t="shared" si="76"/>
        <v/>
      </c>
      <c r="K611" s="20" t="str">
        <f t="shared" si="77"/>
        <v/>
      </c>
      <c r="L611" s="20" t="str">
        <f t="shared" si="78"/>
        <v/>
      </c>
      <c r="M611" s="6"/>
      <c r="N611" s="19" t="str">
        <f t="shared" si="79"/>
        <v/>
      </c>
      <c r="O611" s="23" t="str">
        <f>IF(B611="","",TRIM(IF(COUNTIF('Registru comenzi'!$B$5:$B$304,B611)=0,"Comandă inexistentă în registru. ","")&amp;IF(AND(D611&lt;&gt;"",E611=""),"Cod necunoscut. ","")&amp;IF(N(G611)&lt;=0,"Lipsește cantitatea. ","")&amp;IF(N(M611)&gt;N(G611),"Livrat mai mult decât s-a comandat. ","")&amp;IF(N(I611)&gt;0.3,"Discount neobișnuit de mare. ","")))</f>
        <v/>
      </c>
    </row>
    <row r="612" spans="1:15" x14ac:dyDescent="0.2">
      <c r="A612" s="1" t="str">
        <f t="shared" si="72"/>
        <v/>
      </c>
      <c r="B612" s="17"/>
      <c r="C612" s="18" t="str">
        <f>IF(B612="","",COUNTIF(INDEX($B:$B,5):B612,B612))</f>
        <v/>
      </c>
      <c r="D612" s="17"/>
      <c r="E612" s="19" t="str">
        <f t="shared" si="73"/>
        <v/>
      </c>
      <c r="F612" s="18" t="str">
        <f t="shared" si="74"/>
        <v/>
      </c>
      <c r="G612" s="6"/>
      <c r="H612" s="20" t="str">
        <f t="shared" si="75"/>
        <v/>
      </c>
      <c r="I612" s="21"/>
      <c r="J612" s="22" t="str">
        <f t="shared" si="76"/>
        <v/>
      </c>
      <c r="K612" s="20" t="str">
        <f t="shared" si="77"/>
        <v/>
      </c>
      <c r="L612" s="20" t="str">
        <f t="shared" si="78"/>
        <v/>
      </c>
      <c r="M612" s="6"/>
      <c r="N612" s="19" t="str">
        <f t="shared" si="79"/>
        <v/>
      </c>
      <c r="O612" s="23" t="str">
        <f>IF(B612="","",TRIM(IF(COUNTIF('Registru comenzi'!$B$5:$B$304,B612)=0,"Comandă inexistentă în registru. ","")&amp;IF(AND(D612&lt;&gt;"",E612=""),"Cod necunoscut. ","")&amp;IF(N(G612)&lt;=0,"Lipsește cantitatea. ","")&amp;IF(N(M612)&gt;N(G612),"Livrat mai mult decât s-a comandat. ","")&amp;IF(N(I612)&gt;0.3,"Discount neobișnuit de mare. ","")))</f>
        <v/>
      </c>
    </row>
    <row r="613" spans="1:15" x14ac:dyDescent="0.2">
      <c r="A613" s="1" t="str">
        <f t="shared" si="72"/>
        <v/>
      </c>
      <c r="B613" s="17"/>
      <c r="C613" s="18" t="str">
        <f>IF(B613="","",COUNTIF(INDEX($B:$B,5):B613,B613))</f>
        <v/>
      </c>
      <c r="D613" s="17"/>
      <c r="E613" s="19" t="str">
        <f t="shared" si="73"/>
        <v/>
      </c>
      <c r="F613" s="18" t="str">
        <f t="shared" si="74"/>
        <v/>
      </c>
      <c r="G613" s="6"/>
      <c r="H613" s="20" t="str">
        <f t="shared" si="75"/>
        <v/>
      </c>
      <c r="I613" s="21"/>
      <c r="J613" s="22" t="str">
        <f t="shared" si="76"/>
        <v/>
      </c>
      <c r="K613" s="20" t="str">
        <f t="shared" si="77"/>
        <v/>
      </c>
      <c r="L613" s="20" t="str">
        <f t="shared" si="78"/>
        <v/>
      </c>
      <c r="M613" s="6"/>
      <c r="N613" s="19" t="str">
        <f t="shared" si="79"/>
        <v/>
      </c>
      <c r="O613" s="23" t="str">
        <f>IF(B613="","",TRIM(IF(COUNTIF('Registru comenzi'!$B$5:$B$304,B613)=0,"Comandă inexistentă în registru. ","")&amp;IF(AND(D613&lt;&gt;"",E613=""),"Cod necunoscut. ","")&amp;IF(N(G613)&lt;=0,"Lipsește cantitatea. ","")&amp;IF(N(M613)&gt;N(G613),"Livrat mai mult decât s-a comandat. ","")&amp;IF(N(I613)&gt;0.3,"Discount neobișnuit de mare. ","")))</f>
        <v/>
      </c>
    </row>
    <row r="614" spans="1:15" x14ac:dyDescent="0.2">
      <c r="A614" s="1" t="str">
        <f t="shared" si="72"/>
        <v/>
      </c>
      <c r="B614" s="17"/>
      <c r="C614" s="18" t="str">
        <f>IF(B614="","",COUNTIF(INDEX($B:$B,5):B614,B614))</f>
        <v/>
      </c>
      <c r="D614" s="17"/>
      <c r="E614" s="19" t="str">
        <f t="shared" si="73"/>
        <v/>
      </c>
      <c r="F614" s="18" t="str">
        <f t="shared" si="74"/>
        <v/>
      </c>
      <c r="G614" s="6"/>
      <c r="H614" s="20" t="str">
        <f t="shared" si="75"/>
        <v/>
      </c>
      <c r="I614" s="21"/>
      <c r="J614" s="22" t="str">
        <f t="shared" si="76"/>
        <v/>
      </c>
      <c r="K614" s="20" t="str">
        <f t="shared" si="77"/>
        <v/>
      </c>
      <c r="L614" s="20" t="str">
        <f t="shared" si="78"/>
        <v/>
      </c>
      <c r="M614" s="6"/>
      <c r="N614" s="19" t="str">
        <f t="shared" si="79"/>
        <v/>
      </c>
      <c r="O614" s="23" t="str">
        <f>IF(B614="","",TRIM(IF(COUNTIF('Registru comenzi'!$B$5:$B$304,B614)=0,"Comandă inexistentă în registru. ","")&amp;IF(AND(D614&lt;&gt;"",E614=""),"Cod necunoscut. ","")&amp;IF(N(G614)&lt;=0,"Lipsește cantitatea. ","")&amp;IF(N(M614)&gt;N(G614),"Livrat mai mult decât s-a comandat. ","")&amp;IF(N(I614)&gt;0.3,"Discount neobișnuit de mare. ","")))</f>
        <v/>
      </c>
    </row>
    <row r="615" spans="1:15" x14ac:dyDescent="0.2">
      <c r="A615" s="1" t="str">
        <f t="shared" si="72"/>
        <v/>
      </c>
      <c r="B615" s="17"/>
      <c r="C615" s="18" t="str">
        <f>IF(B615="","",COUNTIF(INDEX($B:$B,5):B615,B615))</f>
        <v/>
      </c>
      <c r="D615" s="17"/>
      <c r="E615" s="19" t="str">
        <f t="shared" si="73"/>
        <v/>
      </c>
      <c r="F615" s="18" t="str">
        <f t="shared" si="74"/>
        <v/>
      </c>
      <c r="G615" s="6"/>
      <c r="H615" s="20" t="str">
        <f t="shared" si="75"/>
        <v/>
      </c>
      <c r="I615" s="21"/>
      <c r="J615" s="22" t="str">
        <f t="shared" si="76"/>
        <v/>
      </c>
      <c r="K615" s="20" t="str">
        <f t="shared" si="77"/>
        <v/>
      </c>
      <c r="L615" s="20" t="str">
        <f t="shared" si="78"/>
        <v/>
      </c>
      <c r="M615" s="6"/>
      <c r="N615" s="19" t="str">
        <f t="shared" si="79"/>
        <v/>
      </c>
      <c r="O615" s="23" t="str">
        <f>IF(B615="","",TRIM(IF(COUNTIF('Registru comenzi'!$B$5:$B$304,B615)=0,"Comandă inexistentă în registru. ","")&amp;IF(AND(D615&lt;&gt;"",E615=""),"Cod necunoscut. ","")&amp;IF(N(G615)&lt;=0,"Lipsește cantitatea. ","")&amp;IF(N(M615)&gt;N(G615),"Livrat mai mult decât s-a comandat. ","")&amp;IF(N(I615)&gt;0.3,"Discount neobișnuit de mare. ","")))</f>
        <v/>
      </c>
    </row>
    <row r="616" spans="1:15" x14ac:dyDescent="0.2">
      <c r="A616" s="1" t="str">
        <f t="shared" si="72"/>
        <v/>
      </c>
      <c r="B616" s="17"/>
      <c r="C616" s="18" t="str">
        <f>IF(B616="","",COUNTIF(INDEX($B:$B,5):B616,B616))</f>
        <v/>
      </c>
      <c r="D616" s="17"/>
      <c r="E616" s="19" t="str">
        <f t="shared" si="73"/>
        <v/>
      </c>
      <c r="F616" s="18" t="str">
        <f t="shared" si="74"/>
        <v/>
      </c>
      <c r="G616" s="6"/>
      <c r="H616" s="20" t="str">
        <f t="shared" si="75"/>
        <v/>
      </c>
      <c r="I616" s="21"/>
      <c r="J616" s="22" t="str">
        <f t="shared" si="76"/>
        <v/>
      </c>
      <c r="K616" s="20" t="str">
        <f t="shared" si="77"/>
        <v/>
      </c>
      <c r="L616" s="20" t="str">
        <f t="shared" si="78"/>
        <v/>
      </c>
      <c r="M616" s="6"/>
      <c r="N616" s="19" t="str">
        <f t="shared" si="79"/>
        <v/>
      </c>
      <c r="O616" s="23" t="str">
        <f>IF(B616="","",TRIM(IF(COUNTIF('Registru comenzi'!$B$5:$B$304,B616)=0,"Comandă inexistentă în registru. ","")&amp;IF(AND(D616&lt;&gt;"",E616=""),"Cod necunoscut. ","")&amp;IF(N(G616)&lt;=0,"Lipsește cantitatea. ","")&amp;IF(N(M616)&gt;N(G616),"Livrat mai mult decât s-a comandat. ","")&amp;IF(N(I616)&gt;0.3,"Discount neobișnuit de mare. ","")))</f>
        <v/>
      </c>
    </row>
    <row r="617" spans="1:15" x14ac:dyDescent="0.2">
      <c r="A617" s="1" t="str">
        <f t="shared" si="72"/>
        <v/>
      </c>
      <c r="B617" s="17"/>
      <c r="C617" s="18" t="str">
        <f>IF(B617="","",COUNTIF(INDEX($B:$B,5):B617,B617))</f>
        <v/>
      </c>
      <c r="D617" s="17"/>
      <c r="E617" s="19" t="str">
        <f t="shared" si="73"/>
        <v/>
      </c>
      <c r="F617" s="18" t="str">
        <f t="shared" si="74"/>
        <v/>
      </c>
      <c r="G617" s="6"/>
      <c r="H617" s="20" t="str">
        <f t="shared" si="75"/>
        <v/>
      </c>
      <c r="I617" s="21"/>
      <c r="J617" s="22" t="str">
        <f t="shared" si="76"/>
        <v/>
      </c>
      <c r="K617" s="20" t="str">
        <f t="shared" si="77"/>
        <v/>
      </c>
      <c r="L617" s="20" t="str">
        <f t="shared" si="78"/>
        <v/>
      </c>
      <c r="M617" s="6"/>
      <c r="N617" s="19" t="str">
        <f t="shared" si="79"/>
        <v/>
      </c>
      <c r="O617" s="23" t="str">
        <f>IF(B617="","",TRIM(IF(COUNTIF('Registru comenzi'!$B$5:$B$304,B617)=0,"Comandă inexistentă în registru. ","")&amp;IF(AND(D617&lt;&gt;"",E617=""),"Cod necunoscut. ","")&amp;IF(N(G617)&lt;=0,"Lipsește cantitatea. ","")&amp;IF(N(M617)&gt;N(G617),"Livrat mai mult decât s-a comandat. ","")&amp;IF(N(I617)&gt;0.3,"Discount neobișnuit de mare. ","")))</f>
        <v/>
      </c>
    </row>
    <row r="618" spans="1:15" x14ac:dyDescent="0.2">
      <c r="A618" s="1" t="str">
        <f t="shared" si="72"/>
        <v/>
      </c>
      <c r="B618" s="17"/>
      <c r="C618" s="18" t="str">
        <f>IF(B618="","",COUNTIF(INDEX($B:$B,5):B618,B618))</f>
        <v/>
      </c>
      <c r="D618" s="17"/>
      <c r="E618" s="19" t="str">
        <f t="shared" si="73"/>
        <v/>
      </c>
      <c r="F618" s="18" t="str">
        <f t="shared" si="74"/>
        <v/>
      </c>
      <c r="G618" s="6"/>
      <c r="H618" s="20" t="str">
        <f t="shared" si="75"/>
        <v/>
      </c>
      <c r="I618" s="21"/>
      <c r="J618" s="22" t="str">
        <f t="shared" si="76"/>
        <v/>
      </c>
      <c r="K618" s="20" t="str">
        <f t="shared" si="77"/>
        <v/>
      </c>
      <c r="L618" s="20" t="str">
        <f t="shared" si="78"/>
        <v/>
      </c>
      <c r="M618" s="6"/>
      <c r="N618" s="19" t="str">
        <f t="shared" si="79"/>
        <v/>
      </c>
      <c r="O618" s="23" t="str">
        <f>IF(B618="","",TRIM(IF(COUNTIF('Registru comenzi'!$B$5:$B$304,B618)=0,"Comandă inexistentă în registru. ","")&amp;IF(AND(D618&lt;&gt;"",E618=""),"Cod necunoscut. ","")&amp;IF(N(G618)&lt;=0,"Lipsește cantitatea. ","")&amp;IF(N(M618)&gt;N(G618),"Livrat mai mult decât s-a comandat. ","")&amp;IF(N(I618)&gt;0.3,"Discount neobișnuit de mare. ","")))</f>
        <v/>
      </c>
    </row>
    <row r="619" spans="1:15" x14ac:dyDescent="0.2">
      <c r="A619" s="1" t="str">
        <f t="shared" si="72"/>
        <v/>
      </c>
      <c r="B619" s="17"/>
      <c r="C619" s="18" t="str">
        <f>IF(B619="","",COUNTIF(INDEX($B:$B,5):B619,B619))</f>
        <v/>
      </c>
      <c r="D619" s="17"/>
      <c r="E619" s="19" t="str">
        <f t="shared" si="73"/>
        <v/>
      </c>
      <c r="F619" s="18" t="str">
        <f t="shared" si="74"/>
        <v/>
      </c>
      <c r="G619" s="6"/>
      <c r="H619" s="20" t="str">
        <f t="shared" si="75"/>
        <v/>
      </c>
      <c r="I619" s="21"/>
      <c r="J619" s="22" t="str">
        <f t="shared" si="76"/>
        <v/>
      </c>
      <c r="K619" s="20" t="str">
        <f t="shared" si="77"/>
        <v/>
      </c>
      <c r="L619" s="20" t="str">
        <f t="shared" si="78"/>
        <v/>
      </c>
      <c r="M619" s="6"/>
      <c r="N619" s="19" t="str">
        <f t="shared" si="79"/>
        <v/>
      </c>
      <c r="O619" s="23" t="str">
        <f>IF(B619="","",TRIM(IF(COUNTIF('Registru comenzi'!$B$5:$B$304,B619)=0,"Comandă inexistentă în registru. ","")&amp;IF(AND(D619&lt;&gt;"",E619=""),"Cod necunoscut. ","")&amp;IF(N(G619)&lt;=0,"Lipsește cantitatea. ","")&amp;IF(N(M619)&gt;N(G619),"Livrat mai mult decât s-a comandat. ","")&amp;IF(N(I619)&gt;0.3,"Discount neobișnuit de mare. ","")))</f>
        <v/>
      </c>
    </row>
    <row r="620" spans="1:15" x14ac:dyDescent="0.2">
      <c r="A620" s="1" t="str">
        <f t="shared" si="72"/>
        <v/>
      </c>
      <c r="B620" s="17"/>
      <c r="C620" s="18" t="str">
        <f>IF(B620="","",COUNTIF(INDEX($B:$B,5):B620,B620))</f>
        <v/>
      </c>
      <c r="D620" s="17"/>
      <c r="E620" s="19" t="str">
        <f t="shared" si="73"/>
        <v/>
      </c>
      <c r="F620" s="18" t="str">
        <f t="shared" si="74"/>
        <v/>
      </c>
      <c r="G620" s="6"/>
      <c r="H620" s="20" t="str">
        <f t="shared" si="75"/>
        <v/>
      </c>
      <c r="I620" s="21"/>
      <c r="J620" s="22" t="str">
        <f t="shared" si="76"/>
        <v/>
      </c>
      <c r="K620" s="20" t="str">
        <f t="shared" si="77"/>
        <v/>
      </c>
      <c r="L620" s="20" t="str">
        <f t="shared" si="78"/>
        <v/>
      </c>
      <c r="M620" s="6"/>
      <c r="N620" s="19" t="str">
        <f t="shared" si="79"/>
        <v/>
      </c>
      <c r="O620" s="23" t="str">
        <f>IF(B620="","",TRIM(IF(COUNTIF('Registru comenzi'!$B$5:$B$304,B620)=0,"Comandă inexistentă în registru. ","")&amp;IF(AND(D620&lt;&gt;"",E620=""),"Cod necunoscut. ","")&amp;IF(N(G620)&lt;=0,"Lipsește cantitatea. ","")&amp;IF(N(M620)&gt;N(G620),"Livrat mai mult decât s-a comandat. ","")&amp;IF(N(I620)&gt;0.3,"Discount neobișnuit de mare. ","")))</f>
        <v/>
      </c>
    </row>
    <row r="621" spans="1:15" x14ac:dyDescent="0.2">
      <c r="A621" s="1" t="str">
        <f t="shared" si="72"/>
        <v/>
      </c>
      <c r="B621" s="17"/>
      <c r="C621" s="18" t="str">
        <f>IF(B621="","",COUNTIF(INDEX($B:$B,5):B621,B621))</f>
        <v/>
      </c>
      <c r="D621" s="17"/>
      <c r="E621" s="19" t="str">
        <f t="shared" si="73"/>
        <v/>
      </c>
      <c r="F621" s="18" t="str">
        <f t="shared" si="74"/>
        <v/>
      </c>
      <c r="G621" s="6"/>
      <c r="H621" s="20" t="str">
        <f t="shared" si="75"/>
        <v/>
      </c>
      <c r="I621" s="21"/>
      <c r="J621" s="22" t="str">
        <f t="shared" si="76"/>
        <v/>
      </c>
      <c r="K621" s="20" t="str">
        <f t="shared" si="77"/>
        <v/>
      </c>
      <c r="L621" s="20" t="str">
        <f t="shared" si="78"/>
        <v/>
      </c>
      <c r="M621" s="6"/>
      <c r="N621" s="19" t="str">
        <f t="shared" si="79"/>
        <v/>
      </c>
      <c r="O621" s="23" t="str">
        <f>IF(B621="","",TRIM(IF(COUNTIF('Registru comenzi'!$B$5:$B$304,B621)=0,"Comandă inexistentă în registru. ","")&amp;IF(AND(D621&lt;&gt;"",E621=""),"Cod necunoscut. ","")&amp;IF(N(G621)&lt;=0,"Lipsește cantitatea. ","")&amp;IF(N(M621)&gt;N(G621),"Livrat mai mult decât s-a comandat. ","")&amp;IF(N(I621)&gt;0.3,"Discount neobișnuit de mare. ","")))</f>
        <v/>
      </c>
    </row>
    <row r="622" spans="1:15" x14ac:dyDescent="0.2">
      <c r="A622" s="1" t="str">
        <f t="shared" si="72"/>
        <v/>
      </c>
      <c r="B622" s="17"/>
      <c r="C622" s="18" t="str">
        <f>IF(B622="","",COUNTIF(INDEX($B:$B,5):B622,B622))</f>
        <v/>
      </c>
      <c r="D622" s="17"/>
      <c r="E622" s="19" t="str">
        <f t="shared" si="73"/>
        <v/>
      </c>
      <c r="F622" s="18" t="str">
        <f t="shared" si="74"/>
        <v/>
      </c>
      <c r="G622" s="6"/>
      <c r="H622" s="20" t="str">
        <f t="shared" si="75"/>
        <v/>
      </c>
      <c r="I622" s="21"/>
      <c r="J622" s="22" t="str">
        <f t="shared" si="76"/>
        <v/>
      </c>
      <c r="K622" s="20" t="str">
        <f t="shared" si="77"/>
        <v/>
      </c>
      <c r="L622" s="20" t="str">
        <f t="shared" si="78"/>
        <v/>
      </c>
      <c r="M622" s="6"/>
      <c r="N622" s="19" t="str">
        <f t="shared" si="79"/>
        <v/>
      </c>
      <c r="O622" s="23" t="str">
        <f>IF(B622="","",TRIM(IF(COUNTIF('Registru comenzi'!$B$5:$B$304,B622)=0,"Comandă inexistentă în registru. ","")&amp;IF(AND(D622&lt;&gt;"",E622=""),"Cod necunoscut. ","")&amp;IF(N(G622)&lt;=0,"Lipsește cantitatea. ","")&amp;IF(N(M622)&gt;N(G622),"Livrat mai mult decât s-a comandat. ","")&amp;IF(N(I622)&gt;0.3,"Discount neobișnuit de mare. ","")))</f>
        <v/>
      </c>
    </row>
    <row r="623" spans="1:15" x14ac:dyDescent="0.2">
      <c r="A623" s="1" t="str">
        <f t="shared" si="72"/>
        <v/>
      </c>
      <c r="B623" s="17"/>
      <c r="C623" s="18" t="str">
        <f>IF(B623="","",COUNTIF(INDEX($B:$B,5):B623,B623))</f>
        <v/>
      </c>
      <c r="D623" s="17"/>
      <c r="E623" s="19" t="str">
        <f t="shared" si="73"/>
        <v/>
      </c>
      <c r="F623" s="18" t="str">
        <f t="shared" si="74"/>
        <v/>
      </c>
      <c r="G623" s="6"/>
      <c r="H623" s="20" t="str">
        <f t="shared" si="75"/>
        <v/>
      </c>
      <c r="I623" s="21"/>
      <c r="J623" s="22" t="str">
        <f t="shared" si="76"/>
        <v/>
      </c>
      <c r="K623" s="20" t="str">
        <f t="shared" si="77"/>
        <v/>
      </c>
      <c r="L623" s="20" t="str">
        <f t="shared" si="78"/>
        <v/>
      </c>
      <c r="M623" s="6"/>
      <c r="N623" s="19" t="str">
        <f t="shared" si="79"/>
        <v/>
      </c>
      <c r="O623" s="23" t="str">
        <f>IF(B623="","",TRIM(IF(COUNTIF('Registru comenzi'!$B$5:$B$304,B623)=0,"Comandă inexistentă în registru. ","")&amp;IF(AND(D623&lt;&gt;"",E623=""),"Cod necunoscut. ","")&amp;IF(N(G623)&lt;=0,"Lipsește cantitatea. ","")&amp;IF(N(M623)&gt;N(G623),"Livrat mai mult decât s-a comandat. ","")&amp;IF(N(I623)&gt;0.3,"Discount neobișnuit de mare. ","")))</f>
        <v/>
      </c>
    </row>
    <row r="624" spans="1:15" x14ac:dyDescent="0.2">
      <c r="A624" s="1" t="str">
        <f t="shared" si="72"/>
        <v/>
      </c>
      <c r="B624" s="17"/>
      <c r="C624" s="18" t="str">
        <f>IF(B624="","",COUNTIF(INDEX($B:$B,5):B624,B624))</f>
        <v/>
      </c>
      <c r="D624" s="17"/>
      <c r="E624" s="19" t="str">
        <f t="shared" si="73"/>
        <v/>
      </c>
      <c r="F624" s="18" t="str">
        <f t="shared" si="74"/>
        <v/>
      </c>
      <c r="G624" s="6"/>
      <c r="H624" s="20" t="str">
        <f t="shared" si="75"/>
        <v/>
      </c>
      <c r="I624" s="21"/>
      <c r="J624" s="22" t="str">
        <f t="shared" si="76"/>
        <v/>
      </c>
      <c r="K624" s="20" t="str">
        <f t="shared" si="77"/>
        <v/>
      </c>
      <c r="L624" s="20" t="str">
        <f t="shared" si="78"/>
        <v/>
      </c>
      <c r="M624" s="6"/>
      <c r="N624" s="19" t="str">
        <f t="shared" si="79"/>
        <v/>
      </c>
      <c r="O624" s="23" t="str">
        <f>IF(B624="","",TRIM(IF(COUNTIF('Registru comenzi'!$B$5:$B$304,B624)=0,"Comandă inexistentă în registru. ","")&amp;IF(AND(D624&lt;&gt;"",E624=""),"Cod necunoscut. ","")&amp;IF(N(G624)&lt;=0,"Lipsește cantitatea. ","")&amp;IF(N(M624)&gt;N(G624),"Livrat mai mult decât s-a comandat. ","")&amp;IF(N(I624)&gt;0.3,"Discount neobișnuit de mare. ","")))</f>
        <v/>
      </c>
    </row>
    <row r="625" spans="1:15" x14ac:dyDescent="0.2">
      <c r="A625" s="1" t="str">
        <f t="shared" si="72"/>
        <v/>
      </c>
      <c r="B625" s="17"/>
      <c r="C625" s="18" t="str">
        <f>IF(B625="","",COUNTIF(INDEX($B:$B,5):B625,B625))</f>
        <v/>
      </c>
      <c r="D625" s="17"/>
      <c r="E625" s="19" t="str">
        <f t="shared" si="73"/>
        <v/>
      </c>
      <c r="F625" s="18" t="str">
        <f t="shared" si="74"/>
        <v/>
      </c>
      <c r="G625" s="6"/>
      <c r="H625" s="20" t="str">
        <f t="shared" si="75"/>
        <v/>
      </c>
      <c r="I625" s="21"/>
      <c r="J625" s="22" t="str">
        <f t="shared" si="76"/>
        <v/>
      </c>
      <c r="K625" s="20" t="str">
        <f t="shared" si="77"/>
        <v/>
      </c>
      <c r="L625" s="20" t="str">
        <f t="shared" si="78"/>
        <v/>
      </c>
      <c r="M625" s="6"/>
      <c r="N625" s="19" t="str">
        <f t="shared" si="79"/>
        <v/>
      </c>
      <c r="O625" s="23" t="str">
        <f>IF(B625="","",TRIM(IF(COUNTIF('Registru comenzi'!$B$5:$B$304,B625)=0,"Comandă inexistentă în registru. ","")&amp;IF(AND(D625&lt;&gt;"",E625=""),"Cod necunoscut. ","")&amp;IF(N(G625)&lt;=0,"Lipsește cantitatea. ","")&amp;IF(N(M625)&gt;N(G625),"Livrat mai mult decât s-a comandat. ","")&amp;IF(N(I625)&gt;0.3,"Discount neobișnuit de mare. ","")))</f>
        <v/>
      </c>
    </row>
    <row r="626" spans="1:15" x14ac:dyDescent="0.2">
      <c r="A626" s="1" t="str">
        <f t="shared" si="72"/>
        <v/>
      </c>
      <c r="B626" s="17"/>
      <c r="C626" s="18" t="str">
        <f>IF(B626="","",COUNTIF(INDEX($B:$B,5):B626,B626))</f>
        <v/>
      </c>
      <c r="D626" s="17"/>
      <c r="E626" s="19" t="str">
        <f t="shared" si="73"/>
        <v/>
      </c>
      <c r="F626" s="18" t="str">
        <f t="shared" si="74"/>
        <v/>
      </c>
      <c r="G626" s="6"/>
      <c r="H626" s="20" t="str">
        <f t="shared" si="75"/>
        <v/>
      </c>
      <c r="I626" s="21"/>
      <c r="J626" s="22" t="str">
        <f t="shared" si="76"/>
        <v/>
      </c>
      <c r="K626" s="20" t="str">
        <f t="shared" si="77"/>
        <v/>
      </c>
      <c r="L626" s="20" t="str">
        <f t="shared" si="78"/>
        <v/>
      </c>
      <c r="M626" s="6"/>
      <c r="N626" s="19" t="str">
        <f t="shared" si="79"/>
        <v/>
      </c>
      <c r="O626" s="23" t="str">
        <f>IF(B626="","",TRIM(IF(COUNTIF('Registru comenzi'!$B$5:$B$304,B626)=0,"Comandă inexistentă în registru. ","")&amp;IF(AND(D626&lt;&gt;"",E626=""),"Cod necunoscut. ","")&amp;IF(N(G626)&lt;=0,"Lipsește cantitatea. ","")&amp;IF(N(M626)&gt;N(G626),"Livrat mai mult decât s-a comandat. ","")&amp;IF(N(I626)&gt;0.3,"Discount neobișnuit de mare. ","")))</f>
        <v/>
      </c>
    </row>
    <row r="627" spans="1:15" x14ac:dyDescent="0.2">
      <c r="A627" s="1" t="str">
        <f t="shared" si="72"/>
        <v/>
      </c>
      <c r="B627" s="17"/>
      <c r="C627" s="18" t="str">
        <f>IF(B627="","",COUNTIF(INDEX($B:$B,5):B627,B627))</f>
        <v/>
      </c>
      <c r="D627" s="17"/>
      <c r="E627" s="19" t="str">
        <f t="shared" si="73"/>
        <v/>
      </c>
      <c r="F627" s="18" t="str">
        <f t="shared" si="74"/>
        <v/>
      </c>
      <c r="G627" s="6"/>
      <c r="H627" s="20" t="str">
        <f t="shared" si="75"/>
        <v/>
      </c>
      <c r="I627" s="21"/>
      <c r="J627" s="22" t="str">
        <f t="shared" si="76"/>
        <v/>
      </c>
      <c r="K627" s="20" t="str">
        <f t="shared" si="77"/>
        <v/>
      </c>
      <c r="L627" s="20" t="str">
        <f t="shared" si="78"/>
        <v/>
      </c>
      <c r="M627" s="6"/>
      <c r="N627" s="19" t="str">
        <f t="shared" si="79"/>
        <v/>
      </c>
      <c r="O627" s="23" t="str">
        <f>IF(B627="","",TRIM(IF(COUNTIF('Registru comenzi'!$B$5:$B$304,B627)=0,"Comandă inexistentă în registru. ","")&amp;IF(AND(D627&lt;&gt;"",E627=""),"Cod necunoscut. ","")&amp;IF(N(G627)&lt;=0,"Lipsește cantitatea. ","")&amp;IF(N(M627)&gt;N(G627),"Livrat mai mult decât s-a comandat. ","")&amp;IF(N(I627)&gt;0.3,"Discount neobișnuit de mare. ","")))</f>
        <v/>
      </c>
    </row>
    <row r="628" spans="1:15" x14ac:dyDescent="0.2">
      <c r="A628" s="1" t="str">
        <f t="shared" si="72"/>
        <v/>
      </c>
      <c r="B628" s="17"/>
      <c r="C628" s="18" t="str">
        <f>IF(B628="","",COUNTIF(INDEX($B:$B,5):B628,B628))</f>
        <v/>
      </c>
      <c r="D628" s="17"/>
      <c r="E628" s="19" t="str">
        <f t="shared" si="73"/>
        <v/>
      </c>
      <c r="F628" s="18" t="str">
        <f t="shared" si="74"/>
        <v/>
      </c>
      <c r="G628" s="6"/>
      <c r="H628" s="20" t="str">
        <f t="shared" si="75"/>
        <v/>
      </c>
      <c r="I628" s="21"/>
      <c r="J628" s="22" t="str">
        <f t="shared" si="76"/>
        <v/>
      </c>
      <c r="K628" s="20" t="str">
        <f t="shared" si="77"/>
        <v/>
      </c>
      <c r="L628" s="20" t="str">
        <f t="shared" si="78"/>
        <v/>
      </c>
      <c r="M628" s="6"/>
      <c r="N628" s="19" t="str">
        <f t="shared" si="79"/>
        <v/>
      </c>
      <c r="O628" s="23" t="str">
        <f>IF(B628="","",TRIM(IF(COUNTIF('Registru comenzi'!$B$5:$B$304,B628)=0,"Comandă inexistentă în registru. ","")&amp;IF(AND(D628&lt;&gt;"",E628=""),"Cod necunoscut. ","")&amp;IF(N(G628)&lt;=0,"Lipsește cantitatea. ","")&amp;IF(N(M628)&gt;N(G628),"Livrat mai mult decât s-a comandat. ","")&amp;IF(N(I628)&gt;0.3,"Discount neobișnuit de mare. ","")))</f>
        <v/>
      </c>
    </row>
    <row r="629" spans="1:15" x14ac:dyDescent="0.2">
      <c r="A629" s="1" t="str">
        <f t="shared" si="72"/>
        <v/>
      </c>
      <c r="B629" s="17"/>
      <c r="C629" s="18" t="str">
        <f>IF(B629="","",COUNTIF(INDEX($B:$B,5):B629,B629))</f>
        <v/>
      </c>
      <c r="D629" s="17"/>
      <c r="E629" s="19" t="str">
        <f t="shared" si="73"/>
        <v/>
      </c>
      <c r="F629" s="18" t="str">
        <f t="shared" si="74"/>
        <v/>
      </c>
      <c r="G629" s="6"/>
      <c r="H629" s="20" t="str">
        <f t="shared" si="75"/>
        <v/>
      </c>
      <c r="I629" s="21"/>
      <c r="J629" s="22" t="str">
        <f t="shared" si="76"/>
        <v/>
      </c>
      <c r="K629" s="20" t="str">
        <f t="shared" si="77"/>
        <v/>
      </c>
      <c r="L629" s="20" t="str">
        <f t="shared" si="78"/>
        <v/>
      </c>
      <c r="M629" s="6"/>
      <c r="N629" s="19" t="str">
        <f t="shared" si="79"/>
        <v/>
      </c>
      <c r="O629" s="23" t="str">
        <f>IF(B629="","",TRIM(IF(COUNTIF('Registru comenzi'!$B$5:$B$304,B629)=0,"Comandă inexistentă în registru. ","")&amp;IF(AND(D629&lt;&gt;"",E629=""),"Cod necunoscut. ","")&amp;IF(N(G629)&lt;=0,"Lipsește cantitatea. ","")&amp;IF(N(M629)&gt;N(G629),"Livrat mai mult decât s-a comandat. ","")&amp;IF(N(I629)&gt;0.3,"Discount neobișnuit de mare. ","")))</f>
        <v/>
      </c>
    </row>
    <row r="630" spans="1:15" x14ac:dyDescent="0.2">
      <c r="A630" s="1" t="str">
        <f t="shared" si="72"/>
        <v/>
      </c>
      <c r="B630" s="17"/>
      <c r="C630" s="18" t="str">
        <f>IF(B630="","",COUNTIF(INDEX($B:$B,5):B630,B630))</f>
        <v/>
      </c>
      <c r="D630" s="17"/>
      <c r="E630" s="19" t="str">
        <f t="shared" si="73"/>
        <v/>
      </c>
      <c r="F630" s="18" t="str">
        <f t="shared" si="74"/>
        <v/>
      </c>
      <c r="G630" s="6"/>
      <c r="H630" s="20" t="str">
        <f t="shared" si="75"/>
        <v/>
      </c>
      <c r="I630" s="21"/>
      <c r="J630" s="22" t="str">
        <f t="shared" si="76"/>
        <v/>
      </c>
      <c r="K630" s="20" t="str">
        <f t="shared" si="77"/>
        <v/>
      </c>
      <c r="L630" s="20" t="str">
        <f t="shared" si="78"/>
        <v/>
      </c>
      <c r="M630" s="6"/>
      <c r="N630" s="19" t="str">
        <f t="shared" si="79"/>
        <v/>
      </c>
      <c r="O630" s="23" t="str">
        <f>IF(B630="","",TRIM(IF(COUNTIF('Registru comenzi'!$B$5:$B$304,B630)=0,"Comandă inexistentă în registru. ","")&amp;IF(AND(D630&lt;&gt;"",E630=""),"Cod necunoscut. ","")&amp;IF(N(G630)&lt;=0,"Lipsește cantitatea. ","")&amp;IF(N(M630)&gt;N(G630),"Livrat mai mult decât s-a comandat. ","")&amp;IF(N(I630)&gt;0.3,"Discount neobișnuit de mare. ","")))</f>
        <v/>
      </c>
    </row>
    <row r="631" spans="1:15" x14ac:dyDescent="0.2">
      <c r="A631" s="1" t="str">
        <f t="shared" si="72"/>
        <v/>
      </c>
      <c r="B631" s="17"/>
      <c r="C631" s="18" t="str">
        <f>IF(B631="","",COUNTIF(INDEX($B:$B,5):B631,B631))</f>
        <v/>
      </c>
      <c r="D631" s="17"/>
      <c r="E631" s="19" t="str">
        <f t="shared" si="73"/>
        <v/>
      </c>
      <c r="F631" s="18" t="str">
        <f t="shared" si="74"/>
        <v/>
      </c>
      <c r="G631" s="6"/>
      <c r="H631" s="20" t="str">
        <f t="shared" si="75"/>
        <v/>
      </c>
      <c r="I631" s="21"/>
      <c r="J631" s="22" t="str">
        <f t="shared" si="76"/>
        <v/>
      </c>
      <c r="K631" s="20" t="str">
        <f t="shared" si="77"/>
        <v/>
      </c>
      <c r="L631" s="20" t="str">
        <f t="shared" si="78"/>
        <v/>
      </c>
      <c r="M631" s="6"/>
      <c r="N631" s="19" t="str">
        <f t="shared" si="79"/>
        <v/>
      </c>
      <c r="O631" s="23" t="str">
        <f>IF(B631="","",TRIM(IF(COUNTIF('Registru comenzi'!$B$5:$B$304,B631)=0,"Comandă inexistentă în registru. ","")&amp;IF(AND(D631&lt;&gt;"",E631=""),"Cod necunoscut. ","")&amp;IF(N(G631)&lt;=0,"Lipsește cantitatea. ","")&amp;IF(N(M631)&gt;N(G631),"Livrat mai mult decât s-a comandat. ","")&amp;IF(N(I631)&gt;0.3,"Discount neobișnuit de mare. ","")))</f>
        <v/>
      </c>
    </row>
    <row r="632" spans="1:15" x14ac:dyDescent="0.2">
      <c r="A632" s="1" t="str">
        <f t="shared" si="72"/>
        <v/>
      </c>
      <c r="B632" s="17"/>
      <c r="C632" s="18" t="str">
        <f>IF(B632="","",COUNTIF(INDEX($B:$B,5):B632,B632))</f>
        <v/>
      </c>
      <c r="D632" s="17"/>
      <c r="E632" s="19" t="str">
        <f t="shared" si="73"/>
        <v/>
      </c>
      <c r="F632" s="18" t="str">
        <f t="shared" si="74"/>
        <v/>
      </c>
      <c r="G632" s="6"/>
      <c r="H632" s="20" t="str">
        <f t="shared" si="75"/>
        <v/>
      </c>
      <c r="I632" s="21"/>
      <c r="J632" s="22" t="str">
        <f t="shared" si="76"/>
        <v/>
      </c>
      <c r="K632" s="20" t="str">
        <f t="shared" si="77"/>
        <v/>
      </c>
      <c r="L632" s="20" t="str">
        <f t="shared" si="78"/>
        <v/>
      </c>
      <c r="M632" s="6"/>
      <c r="N632" s="19" t="str">
        <f t="shared" si="79"/>
        <v/>
      </c>
      <c r="O632" s="23" t="str">
        <f>IF(B632="","",TRIM(IF(COUNTIF('Registru comenzi'!$B$5:$B$304,B632)=0,"Comandă inexistentă în registru. ","")&amp;IF(AND(D632&lt;&gt;"",E632=""),"Cod necunoscut. ","")&amp;IF(N(G632)&lt;=0,"Lipsește cantitatea. ","")&amp;IF(N(M632)&gt;N(G632),"Livrat mai mult decât s-a comandat. ","")&amp;IF(N(I632)&gt;0.3,"Discount neobișnuit de mare. ","")))</f>
        <v/>
      </c>
    </row>
    <row r="633" spans="1:15" x14ac:dyDescent="0.2">
      <c r="A633" s="1" t="str">
        <f t="shared" si="72"/>
        <v/>
      </c>
      <c r="B633" s="17"/>
      <c r="C633" s="18" t="str">
        <f>IF(B633="","",COUNTIF(INDEX($B:$B,5):B633,B633))</f>
        <v/>
      </c>
      <c r="D633" s="17"/>
      <c r="E633" s="19" t="str">
        <f t="shared" si="73"/>
        <v/>
      </c>
      <c r="F633" s="18" t="str">
        <f t="shared" si="74"/>
        <v/>
      </c>
      <c r="G633" s="6"/>
      <c r="H633" s="20" t="str">
        <f t="shared" si="75"/>
        <v/>
      </c>
      <c r="I633" s="21"/>
      <c r="J633" s="22" t="str">
        <f t="shared" si="76"/>
        <v/>
      </c>
      <c r="K633" s="20" t="str">
        <f t="shared" si="77"/>
        <v/>
      </c>
      <c r="L633" s="20" t="str">
        <f t="shared" si="78"/>
        <v/>
      </c>
      <c r="M633" s="6"/>
      <c r="N633" s="19" t="str">
        <f t="shared" si="79"/>
        <v/>
      </c>
      <c r="O633" s="23" t="str">
        <f>IF(B633="","",TRIM(IF(COUNTIF('Registru comenzi'!$B$5:$B$304,B633)=0,"Comandă inexistentă în registru. ","")&amp;IF(AND(D633&lt;&gt;"",E633=""),"Cod necunoscut. ","")&amp;IF(N(G633)&lt;=0,"Lipsește cantitatea. ","")&amp;IF(N(M633)&gt;N(G633),"Livrat mai mult decât s-a comandat. ","")&amp;IF(N(I633)&gt;0.3,"Discount neobișnuit de mare. ","")))</f>
        <v/>
      </c>
    </row>
    <row r="634" spans="1:15" x14ac:dyDescent="0.2">
      <c r="A634" s="1" t="str">
        <f t="shared" si="72"/>
        <v/>
      </c>
      <c r="B634" s="17"/>
      <c r="C634" s="18" t="str">
        <f>IF(B634="","",COUNTIF(INDEX($B:$B,5):B634,B634))</f>
        <v/>
      </c>
      <c r="D634" s="17"/>
      <c r="E634" s="19" t="str">
        <f t="shared" si="73"/>
        <v/>
      </c>
      <c r="F634" s="18" t="str">
        <f t="shared" si="74"/>
        <v/>
      </c>
      <c r="G634" s="6"/>
      <c r="H634" s="20" t="str">
        <f t="shared" si="75"/>
        <v/>
      </c>
      <c r="I634" s="21"/>
      <c r="J634" s="22" t="str">
        <f t="shared" si="76"/>
        <v/>
      </c>
      <c r="K634" s="20" t="str">
        <f t="shared" si="77"/>
        <v/>
      </c>
      <c r="L634" s="20" t="str">
        <f t="shared" si="78"/>
        <v/>
      </c>
      <c r="M634" s="6"/>
      <c r="N634" s="19" t="str">
        <f t="shared" si="79"/>
        <v/>
      </c>
      <c r="O634" s="23" t="str">
        <f>IF(B634="","",TRIM(IF(COUNTIF('Registru comenzi'!$B$5:$B$304,B634)=0,"Comandă inexistentă în registru. ","")&amp;IF(AND(D634&lt;&gt;"",E634=""),"Cod necunoscut. ","")&amp;IF(N(G634)&lt;=0,"Lipsește cantitatea. ","")&amp;IF(N(M634)&gt;N(G634),"Livrat mai mult decât s-a comandat. ","")&amp;IF(N(I634)&gt;0.3,"Discount neobișnuit de mare. ","")))</f>
        <v/>
      </c>
    </row>
    <row r="635" spans="1:15" x14ac:dyDescent="0.2">
      <c r="A635" s="1" t="str">
        <f t="shared" si="72"/>
        <v/>
      </c>
      <c r="B635" s="17"/>
      <c r="C635" s="18" t="str">
        <f>IF(B635="","",COUNTIF(INDEX($B:$B,5):B635,B635))</f>
        <v/>
      </c>
      <c r="D635" s="17"/>
      <c r="E635" s="19" t="str">
        <f t="shared" si="73"/>
        <v/>
      </c>
      <c r="F635" s="18" t="str">
        <f t="shared" si="74"/>
        <v/>
      </c>
      <c r="G635" s="6"/>
      <c r="H635" s="20" t="str">
        <f t="shared" si="75"/>
        <v/>
      </c>
      <c r="I635" s="21"/>
      <c r="J635" s="22" t="str">
        <f t="shared" si="76"/>
        <v/>
      </c>
      <c r="K635" s="20" t="str">
        <f t="shared" si="77"/>
        <v/>
      </c>
      <c r="L635" s="20" t="str">
        <f t="shared" si="78"/>
        <v/>
      </c>
      <c r="M635" s="6"/>
      <c r="N635" s="19" t="str">
        <f t="shared" si="79"/>
        <v/>
      </c>
      <c r="O635" s="23" t="str">
        <f>IF(B635="","",TRIM(IF(COUNTIF('Registru comenzi'!$B$5:$B$304,B635)=0,"Comandă inexistentă în registru. ","")&amp;IF(AND(D635&lt;&gt;"",E635=""),"Cod necunoscut. ","")&amp;IF(N(G635)&lt;=0,"Lipsește cantitatea. ","")&amp;IF(N(M635)&gt;N(G635),"Livrat mai mult decât s-a comandat. ","")&amp;IF(N(I635)&gt;0.3,"Discount neobișnuit de mare. ","")))</f>
        <v/>
      </c>
    </row>
    <row r="636" spans="1:15" x14ac:dyDescent="0.2">
      <c r="A636" s="1" t="str">
        <f t="shared" si="72"/>
        <v/>
      </c>
      <c r="B636" s="17"/>
      <c r="C636" s="18" t="str">
        <f>IF(B636="","",COUNTIF(INDEX($B:$B,5):B636,B636))</f>
        <v/>
      </c>
      <c r="D636" s="17"/>
      <c r="E636" s="19" t="str">
        <f t="shared" si="73"/>
        <v/>
      </c>
      <c r="F636" s="18" t="str">
        <f t="shared" si="74"/>
        <v/>
      </c>
      <c r="G636" s="6"/>
      <c r="H636" s="20" t="str">
        <f t="shared" si="75"/>
        <v/>
      </c>
      <c r="I636" s="21"/>
      <c r="J636" s="22" t="str">
        <f t="shared" si="76"/>
        <v/>
      </c>
      <c r="K636" s="20" t="str">
        <f t="shared" si="77"/>
        <v/>
      </c>
      <c r="L636" s="20" t="str">
        <f t="shared" si="78"/>
        <v/>
      </c>
      <c r="M636" s="6"/>
      <c r="N636" s="19" t="str">
        <f t="shared" si="79"/>
        <v/>
      </c>
      <c r="O636" s="23" t="str">
        <f>IF(B636="","",TRIM(IF(COUNTIF('Registru comenzi'!$B$5:$B$304,B636)=0,"Comandă inexistentă în registru. ","")&amp;IF(AND(D636&lt;&gt;"",E636=""),"Cod necunoscut. ","")&amp;IF(N(G636)&lt;=0,"Lipsește cantitatea. ","")&amp;IF(N(M636)&gt;N(G636),"Livrat mai mult decât s-a comandat. ","")&amp;IF(N(I636)&gt;0.3,"Discount neobișnuit de mare. ","")))</f>
        <v/>
      </c>
    </row>
    <row r="637" spans="1:15" x14ac:dyDescent="0.2">
      <c r="A637" s="1" t="str">
        <f t="shared" si="72"/>
        <v/>
      </c>
      <c r="B637" s="17"/>
      <c r="C637" s="18" t="str">
        <f>IF(B637="","",COUNTIF(INDEX($B:$B,5):B637,B637))</f>
        <v/>
      </c>
      <c r="D637" s="17"/>
      <c r="E637" s="19" t="str">
        <f t="shared" si="73"/>
        <v/>
      </c>
      <c r="F637" s="18" t="str">
        <f t="shared" si="74"/>
        <v/>
      </c>
      <c r="G637" s="6"/>
      <c r="H637" s="20" t="str">
        <f t="shared" si="75"/>
        <v/>
      </c>
      <c r="I637" s="21"/>
      <c r="J637" s="22" t="str">
        <f t="shared" si="76"/>
        <v/>
      </c>
      <c r="K637" s="20" t="str">
        <f t="shared" si="77"/>
        <v/>
      </c>
      <c r="L637" s="20" t="str">
        <f t="shared" si="78"/>
        <v/>
      </c>
      <c r="M637" s="6"/>
      <c r="N637" s="19" t="str">
        <f t="shared" si="79"/>
        <v/>
      </c>
      <c r="O637" s="23" t="str">
        <f>IF(B637="","",TRIM(IF(COUNTIF('Registru comenzi'!$B$5:$B$304,B637)=0,"Comandă inexistentă în registru. ","")&amp;IF(AND(D637&lt;&gt;"",E637=""),"Cod necunoscut. ","")&amp;IF(N(G637)&lt;=0,"Lipsește cantitatea. ","")&amp;IF(N(M637)&gt;N(G637),"Livrat mai mult decât s-a comandat. ","")&amp;IF(N(I637)&gt;0.3,"Discount neobișnuit de mare. ","")))</f>
        <v/>
      </c>
    </row>
    <row r="638" spans="1:15" x14ac:dyDescent="0.2">
      <c r="A638" s="1" t="str">
        <f t="shared" si="72"/>
        <v/>
      </c>
      <c r="B638" s="17"/>
      <c r="C638" s="18" t="str">
        <f>IF(B638="","",COUNTIF(INDEX($B:$B,5):B638,B638))</f>
        <v/>
      </c>
      <c r="D638" s="17"/>
      <c r="E638" s="19" t="str">
        <f t="shared" si="73"/>
        <v/>
      </c>
      <c r="F638" s="18" t="str">
        <f t="shared" si="74"/>
        <v/>
      </c>
      <c r="G638" s="6"/>
      <c r="H638" s="20" t="str">
        <f t="shared" si="75"/>
        <v/>
      </c>
      <c r="I638" s="21"/>
      <c r="J638" s="22" t="str">
        <f t="shared" si="76"/>
        <v/>
      </c>
      <c r="K638" s="20" t="str">
        <f t="shared" si="77"/>
        <v/>
      </c>
      <c r="L638" s="20" t="str">
        <f t="shared" si="78"/>
        <v/>
      </c>
      <c r="M638" s="6"/>
      <c r="N638" s="19" t="str">
        <f t="shared" si="79"/>
        <v/>
      </c>
      <c r="O638" s="23" t="str">
        <f>IF(B638="","",TRIM(IF(COUNTIF('Registru comenzi'!$B$5:$B$304,B638)=0,"Comandă inexistentă în registru. ","")&amp;IF(AND(D638&lt;&gt;"",E638=""),"Cod necunoscut. ","")&amp;IF(N(G638)&lt;=0,"Lipsește cantitatea. ","")&amp;IF(N(M638)&gt;N(G638),"Livrat mai mult decât s-a comandat. ","")&amp;IF(N(I638)&gt;0.3,"Discount neobișnuit de mare. ","")))</f>
        <v/>
      </c>
    </row>
    <row r="639" spans="1:15" x14ac:dyDescent="0.2">
      <c r="A639" s="1" t="str">
        <f t="shared" si="72"/>
        <v/>
      </c>
      <c r="B639" s="17"/>
      <c r="C639" s="18" t="str">
        <f>IF(B639="","",COUNTIF(INDEX($B:$B,5):B639,B639))</f>
        <v/>
      </c>
      <c r="D639" s="17"/>
      <c r="E639" s="19" t="str">
        <f t="shared" si="73"/>
        <v/>
      </c>
      <c r="F639" s="18" t="str">
        <f t="shared" si="74"/>
        <v/>
      </c>
      <c r="G639" s="6"/>
      <c r="H639" s="20" t="str">
        <f t="shared" si="75"/>
        <v/>
      </c>
      <c r="I639" s="21"/>
      <c r="J639" s="22" t="str">
        <f t="shared" si="76"/>
        <v/>
      </c>
      <c r="K639" s="20" t="str">
        <f t="shared" si="77"/>
        <v/>
      </c>
      <c r="L639" s="20" t="str">
        <f t="shared" si="78"/>
        <v/>
      </c>
      <c r="M639" s="6"/>
      <c r="N639" s="19" t="str">
        <f t="shared" si="79"/>
        <v/>
      </c>
      <c r="O639" s="23" t="str">
        <f>IF(B639="","",TRIM(IF(COUNTIF('Registru comenzi'!$B$5:$B$304,B639)=0,"Comandă inexistentă în registru. ","")&amp;IF(AND(D639&lt;&gt;"",E639=""),"Cod necunoscut. ","")&amp;IF(N(G639)&lt;=0,"Lipsește cantitatea. ","")&amp;IF(N(M639)&gt;N(G639),"Livrat mai mult decât s-a comandat. ","")&amp;IF(N(I639)&gt;0.3,"Discount neobișnuit de mare. ","")))</f>
        <v/>
      </c>
    </row>
    <row r="640" spans="1:15" x14ac:dyDescent="0.2">
      <c r="A640" s="1" t="str">
        <f t="shared" si="72"/>
        <v/>
      </c>
      <c r="B640" s="17"/>
      <c r="C640" s="18" t="str">
        <f>IF(B640="","",COUNTIF(INDEX($B:$B,5):B640,B640))</f>
        <v/>
      </c>
      <c r="D640" s="17"/>
      <c r="E640" s="19" t="str">
        <f t="shared" si="73"/>
        <v/>
      </c>
      <c r="F640" s="18" t="str">
        <f t="shared" si="74"/>
        <v/>
      </c>
      <c r="G640" s="6"/>
      <c r="H640" s="20" t="str">
        <f t="shared" si="75"/>
        <v/>
      </c>
      <c r="I640" s="21"/>
      <c r="J640" s="22" t="str">
        <f t="shared" si="76"/>
        <v/>
      </c>
      <c r="K640" s="20" t="str">
        <f t="shared" si="77"/>
        <v/>
      </c>
      <c r="L640" s="20" t="str">
        <f t="shared" si="78"/>
        <v/>
      </c>
      <c r="M640" s="6"/>
      <c r="N640" s="19" t="str">
        <f t="shared" si="79"/>
        <v/>
      </c>
      <c r="O640" s="23" t="str">
        <f>IF(B640="","",TRIM(IF(COUNTIF('Registru comenzi'!$B$5:$B$304,B640)=0,"Comandă inexistentă în registru. ","")&amp;IF(AND(D640&lt;&gt;"",E640=""),"Cod necunoscut. ","")&amp;IF(N(G640)&lt;=0,"Lipsește cantitatea. ","")&amp;IF(N(M640)&gt;N(G640),"Livrat mai mult decât s-a comandat. ","")&amp;IF(N(I640)&gt;0.3,"Discount neobișnuit de mare. ","")))</f>
        <v/>
      </c>
    </row>
    <row r="641" spans="1:15" x14ac:dyDescent="0.2">
      <c r="A641" s="1" t="str">
        <f t="shared" si="72"/>
        <v/>
      </c>
      <c r="B641" s="17"/>
      <c r="C641" s="18" t="str">
        <f>IF(B641="","",COUNTIF(INDEX($B:$B,5):B641,B641))</f>
        <v/>
      </c>
      <c r="D641" s="17"/>
      <c r="E641" s="19" t="str">
        <f t="shared" si="73"/>
        <v/>
      </c>
      <c r="F641" s="18" t="str">
        <f t="shared" si="74"/>
        <v/>
      </c>
      <c r="G641" s="6"/>
      <c r="H641" s="20" t="str">
        <f t="shared" si="75"/>
        <v/>
      </c>
      <c r="I641" s="21"/>
      <c r="J641" s="22" t="str">
        <f t="shared" si="76"/>
        <v/>
      </c>
      <c r="K641" s="20" t="str">
        <f t="shared" si="77"/>
        <v/>
      </c>
      <c r="L641" s="20" t="str">
        <f t="shared" si="78"/>
        <v/>
      </c>
      <c r="M641" s="6"/>
      <c r="N641" s="19" t="str">
        <f t="shared" si="79"/>
        <v/>
      </c>
      <c r="O641" s="23" t="str">
        <f>IF(B641="","",TRIM(IF(COUNTIF('Registru comenzi'!$B$5:$B$304,B641)=0,"Comandă inexistentă în registru. ","")&amp;IF(AND(D641&lt;&gt;"",E641=""),"Cod necunoscut. ","")&amp;IF(N(G641)&lt;=0,"Lipsește cantitatea. ","")&amp;IF(N(M641)&gt;N(G641),"Livrat mai mult decât s-a comandat. ","")&amp;IF(N(I641)&gt;0.3,"Discount neobișnuit de mare. ","")))</f>
        <v/>
      </c>
    </row>
    <row r="642" spans="1:15" x14ac:dyDescent="0.2">
      <c r="A642" s="1" t="str">
        <f t="shared" si="72"/>
        <v/>
      </c>
      <c r="B642" s="17"/>
      <c r="C642" s="18" t="str">
        <f>IF(B642="","",COUNTIF(INDEX($B:$B,5):B642,B642))</f>
        <v/>
      </c>
      <c r="D642" s="17"/>
      <c r="E642" s="19" t="str">
        <f t="shared" si="73"/>
        <v/>
      </c>
      <c r="F642" s="18" t="str">
        <f t="shared" si="74"/>
        <v/>
      </c>
      <c r="G642" s="6"/>
      <c r="H642" s="20" t="str">
        <f t="shared" si="75"/>
        <v/>
      </c>
      <c r="I642" s="21"/>
      <c r="J642" s="22" t="str">
        <f t="shared" si="76"/>
        <v/>
      </c>
      <c r="K642" s="20" t="str">
        <f t="shared" si="77"/>
        <v/>
      </c>
      <c r="L642" s="20" t="str">
        <f t="shared" si="78"/>
        <v/>
      </c>
      <c r="M642" s="6"/>
      <c r="N642" s="19" t="str">
        <f t="shared" si="79"/>
        <v/>
      </c>
      <c r="O642" s="23" t="str">
        <f>IF(B642="","",TRIM(IF(COUNTIF('Registru comenzi'!$B$5:$B$304,B642)=0,"Comandă inexistentă în registru. ","")&amp;IF(AND(D642&lt;&gt;"",E642=""),"Cod necunoscut. ","")&amp;IF(N(G642)&lt;=0,"Lipsește cantitatea. ","")&amp;IF(N(M642)&gt;N(G642),"Livrat mai mult decât s-a comandat. ","")&amp;IF(N(I642)&gt;0.3,"Discount neobișnuit de mare. ","")))</f>
        <v/>
      </c>
    </row>
    <row r="643" spans="1:15" x14ac:dyDescent="0.2">
      <c r="A643" s="1" t="str">
        <f t="shared" si="72"/>
        <v/>
      </c>
      <c r="B643" s="17"/>
      <c r="C643" s="18" t="str">
        <f>IF(B643="","",COUNTIF(INDEX($B:$B,5):B643,B643))</f>
        <v/>
      </c>
      <c r="D643" s="17"/>
      <c r="E643" s="19" t="str">
        <f t="shared" si="73"/>
        <v/>
      </c>
      <c r="F643" s="18" t="str">
        <f t="shared" si="74"/>
        <v/>
      </c>
      <c r="G643" s="6"/>
      <c r="H643" s="20" t="str">
        <f t="shared" si="75"/>
        <v/>
      </c>
      <c r="I643" s="21"/>
      <c r="J643" s="22" t="str">
        <f t="shared" si="76"/>
        <v/>
      </c>
      <c r="K643" s="20" t="str">
        <f t="shared" si="77"/>
        <v/>
      </c>
      <c r="L643" s="20" t="str">
        <f t="shared" si="78"/>
        <v/>
      </c>
      <c r="M643" s="6"/>
      <c r="N643" s="19" t="str">
        <f t="shared" si="79"/>
        <v/>
      </c>
      <c r="O643" s="23" t="str">
        <f>IF(B643="","",TRIM(IF(COUNTIF('Registru comenzi'!$B$5:$B$304,B643)=0,"Comandă inexistentă în registru. ","")&amp;IF(AND(D643&lt;&gt;"",E643=""),"Cod necunoscut. ","")&amp;IF(N(G643)&lt;=0,"Lipsește cantitatea. ","")&amp;IF(N(M643)&gt;N(G643),"Livrat mai mult decât s-a comandat. ","")&amp;IF(N(I643)&gt;0.3,"Discount neobișnuit de mare. ","")))</f>
        <v/>
      </c>
    </row>
    <row r="644" spans="1:15" x14ac:dyDescent="0.2">
      <c r="A644" s="1" t="str">
        <f t="shared" si="72"/>
        <v/>
      </c>
      <c r="B644" s="17"/>
      <c r="C644" s="18" t="str">
        <f>IF(B644="","",COUNTIF(INDEX($B:$B,5):B644,B644))</f>
        <v/>
      </c>
      <c r="D644" s="17"/>
      <c r="E644" s="19" t="str">
        <f t="shared" si="73"/>
        <v/>
      </c>
      <c r="F644" s="18" t="str">
        <f t="shared" si="74"/>
        <v/>
      </c>
      <c r="G644" s="6"/>
      <c r="H644" s="20" t="str">
        <f t="shared" si="75"/>
        <v/>
      </c>
      <c r="I644" s="21"/>
      <c r="J644" s="22" t="str">
        <f t="shared" si="76"/>
        <v/>
      </c>
      <c r="K644" s="20" t="str">
        <f t="shared" si="77"/>
        <v/>
      </c>
      <c r="L644" s="20" t="str">
        <f t="shared" si="78"/>
        <v/>
      </c>
      <c r="M644" s="6"/>
      <c r="N644" s="19" t="str">
        <f t="shared" si="79"/>
        <v/>
      </c>
      <c r="O644" s="23" t="str">
        <f>IF(B644="","",TRIM(IF(COUNTIF('Registru comenzi'!$B$5:$B$304,B644)=0,"Comandă inexistentă în registru. ","")&amp;IF(AND(D644&lt;&gt;"",E644=""),"Cod necunoscut. ","")&amp;IF(N(G644)&lt;=0,"Lipsește cantitatea. ","")&amp;IF(N(M644)&gt;N(G644),"Livrat mai mult decât s-a comandat. ","")&amp;IF(N(I644)&gt;0.3,"Discount neobișnuit de mare. ","")))</f>
        <v/>
      </c>
    </row>
    <row r="645" spans="1:15" x14ac:dyDescent="0.2">
      <c r="A645" s="1" t="str">
        <f t="shared" ref="A645:A708" si="80">IF(B645="","",B645&amp;"|"&amp;C645)</f>
        <v/>
      </c>
      <c r="B645" s="17"/>
      <c r="C645" s="18" t="str">
        <f>IF(B645="","",COUNTIF(INDEX($B:$B,5):B645,B645))</f>
        <v/>
      </c>
      <c r="D645" s="17"/>
      <c r="E645" s="19" t="str">
        <f t="shared" ref="E645:E708" si="81">IF(D645="","",IFERROR(VLOOKUP(D645,Catalog,2,FALSE),""))</f>
        <v/>
      </c>
      <c r="F645" s="18" t="str">
        <f t="shared" ref="F645:F708" si="82">IF(D645="","",IFERROR(VLOOKUP(D645,Catalog,3,FALSE),""))</f>
        <v/>
      </c>
      <c r="G645" s="6"/>
      <c r="H645" s="20" t="str">
        <f t="shared" ref="H645:H708" si="83">IF(D645="","",IFERROR(VLOOKUP(D645,Catalog,4,FALSE),""))</f>
        <v/>
      </c>
      <c r="I645" s="21"/>
      <c r="J645" s="22" t="str">
        <f t="shared" ref="J645:J708" si="84">IF(D645="","",IFERROR(VLOOKUP(D645,Catalog,5,FALSE),""))</f>
        <v/>
      </c>
      <c r="K645" s="20" t="str">
        <f t="shared" ref="K645:K708" si="85">IF(OR(G645="",H645=""),"",ROUND(G645*H645*(1-N(I645)),2))</f>
        <v/>
      </c>
      <c r="L645" s="20" t="str">
        <f t="shared" ref="L645:L708" si="86">IF(OR(K645="",J645=""),"",ROUND(K645*J645,2))</f>
        <v/>
      </c>
      <c r="M645" s="6"/>
      <c r="N645" s="19" t="str">
        <f t="shared" ref="N645:N708" si="87">IF(G645="","",G645-N(M645))</f>
        <v/>
      </c>
      <c r="O645" s="23" t="str">
        <f>IF(B645="","",TRIM(IF(COUNTIF('Registru comenzi'!$B$5:$B$304,B645)=0,"Comandă inexistentă în registru. ","")&amp;IF(AND(D645&lt;&gt;"",E645=""),"Cod necunoscut. ","")&amp;IF(N(G645)&lt;=0,"Lipsește cantitatea. ","")&amp;IF(N(M645)&gt;N(G645),"Livrat mai mult decât s-a comandat. ","")&amp;IF(N(I645)&gt;0.3,"Discount neobișnuit de mare. ","")))</f>
        <v/>
      </c>
    </row>
    <row r="646" spans="1:15" x14ac:dyDescent="0.2">
      <c r="A646" s="1" t="str">
        <f t="shared" si="80"/>
        <v/>
      </c>
      <c r="B646" s="17"/>
      <c r="C646" s="18" t="str">
        <f>IF(B646="","",COUNTIF(INDEX($B:$B,5):B646,B646))</f>
        <v/>
      </c>
      <c r="D646" s="17"/>
      <c r="E646" s="19" t="str">
        <f t="shared" si="81"/>
        <v/>
      </c>
      <c r="F646" s="18" t="str">
        <f t="shared" si="82"/>
        <v/>
      </c>
      <c r="G646" s="6"/>
      <c r="H646" s="20" t="str">
        <f t="shared" si="83"/>
        <v/>
      </c>
      <c r="I646" s="21"/>
      <c r="J646" s="22" t="str">
        <f t="shared" si="84"/>
        <v/>
      </c>
      <c r="K646" s="20" t="str">
        <f t="shared" si="85"/>
        <v/>
      </c>
      <c r="L646" s="20" t="str">
        <f t="shared" si="86"/>
        <v/>
      </c>
      <c r="M646" s="6"/>
      <c r="N646" s="19" t="str">
        <f t="shared" si="87"/>
        <v/>
      </c>
      <c r="O646" s="23" t="str">
        <f>IF(B646="","",TRIM(IF(COUNTIF('Registru comenzi'!$B$5:$B$304,B646)=0,"Comandă inexistentă în registru. ","")&amp;IF(AND(D646&lt;&gt;"",E646=""),"Cod necunoscut. ","")&amp;IF(N(G646)&lt;=0,"Lipsește cantitatea. ","")&amp;IF(N(M646)&gt;N(G646),"Livrat mai mult decât s-a comandat. ","")&amp;IF(N(I646)&gt;0.3,"Discount neobișnuit de mare. ","")))</f>
        <v/>
      </c>
    </row>
    <row r="647" spans="1:15" x14ac:dyDescent="0.2">
      <c r="A647" s="1" t="str">
        <f t="shared" si="80"/>
        <v/>
      </c>
      <c r="B647" s="17"/>
      <c r="C647" s="18" t="str">
        <f>IF(B647="","",COUNTIF(INDEX($B:$B,5):B647,B647))</f>
        <v/>
      </c>
      <c r="D647" s="17"/>
      <c r="E647" s="19" t="str">
        <f t="shared" si="81"/>
        <v/>
      </c>
      <c r="F647" s="18" t="str">
        <f t="shared" si="82"/>
        <v/>
      </c>
      <c r="G647" s="6"/>
      <c r="H647" s="20" t="str">
        <f t="shared" si="83"/>
        <v/>
      </c>
      <c r="I647" s="21"/>
      <c r="J647" s="22" t="str">
        <f t="shared" si="84"/>
        <v/>
      </c>
      <c r="K647" s="20" t="str">
        <f t="shared" si="85"/>
        <v/>
      </c>
      <c r="L647" s="20" t="str">
        <f t="shared" si="86"/>
        <v/>
      </c>
      <c r="M647" s="6"/>
      <c r="N647" s="19" t="str">
        <f t="shared" si="87"/>
        <v/>
      </c>
      <c r="O647" s="23" t="str">
        <f>IF(B647="","",TRIM(IF(COUNTIF('Registru comenzi'!$B$5:$B$304,B647)=0,"Comandă inexistentă în registru. ","")&amp;IF(AND(D647&lt;&gt;"",E647=""),"Cod necunoscut. ","")&amp;IF(N(G647)&lt;=0,"Lipsește cantitatea. ","")&amp;IF(N(M647)&gt;N(G647),"Livrat mai mult decât s-a comandat. ","")&amp;IF(N(I647)&gt;0.3,"Discount neobișnuit de mare. ","")))</f>
        <v/>
      </c>
    </row>
    <row r="648" spans="1:15" x14ac:dyDescent="0.2">
      <c r="A648" s="1" t="str">
        <f t="shared" si="80"/>
        <v/>
      </c>
      <c r="B648" s="17"/>
      <c r="C648" s="18" t="str">
        <f>IF(B648="","",COUNTIF(INDEX($B:$B,5):B648,B648))</f>
        <v/>
      </c>
      <c r="D648" s="17"/>
      <c r="E648" s="19" t="str">
        <f t="shared" si="81"/>
        <v/>
      </c>
      <c r="F648" s="18" t="str">
        <f t="shared" si="82"/>
        <v/>
      </c>
      <c r="G648" s="6"/>
      <c r="H648" s="20" t="str">
        <f t="shared" si="83"/>
        <v/>
      </c>
      <c r="I648" s="21"/>
      <c r="J648" s="22" t="str">
        <f t="shared" si="84"/>
        <v/>
      </c>
      <c r="K648" s="20" t="str">
        <f t="shared" si="85"/>
        <v/>
      </c>
      <c r="L648" s="20" t="str">
        <f t="shared" si="86"/>
        <v/>
      </c>
      <c r="M648" s="6"/>
      <c r="N648" s="19" t="str">
        <f t="shared" si="87"/>
        <v/>
      </c>
      <c r="O648" s="23" t="str">
        <f>IF(B648="","",TRIM(IF(COUNTIF('Registru comenzi'!$B$5:$B$304,B648)=0,"Comandă inexistentă în registru. ","")&amp;IF(AND(D648&lt;&gt;"",E648=""),"Cod necunoscut. ","")&amp;IF(N(G648)&lt;=0,"Lipsește cantitatea. ","")&amp;IF(N(M648)&gt;N(G648),"Livrat mai mult decât s-a comandat. ","")&amp;IF(N(I648)&gt;0.3,"Discount neobișnuit de mare. ","")))</f>
        <v/>
      </c>
    </row>
    <row r="649" spans="1:15" x14ac:dyDescent="0.2">
      <c r="A649" s="1" t="str">
        <f t="shared" si="80"/>
        <v/>
      </c>
      <c r="B649" s="17"/>
      <c r="C649" s="18" t="str">
        <f>IF(B649="","",COUNTIF(INDEX($B:$B,5):B649,B649))</f>
        <v/>
      </c>
      <c r="D649" s="17"/>
      <c r="E649" s="19" t="str">
        <f t="shared" si="81"/>
        <v/>
      </c>
      <c r="F649" s="18" t="str">
        <f t="shared" si="82"/>
        <v/>
      </c>
      <c r="G649" s="6"/>
      <c r="H649" s="20" t="str">
        <f t="shared" si="83"/>
        <v/>
      </c>
      <c r="I649" s="21"/>
      <c r="J649" s="22" t="str">
        <f t="shared" si="84"/>
        <v/>
      </c>
      <c r="K649" s="20" t="str">
        <f t="shared" si="85"/>
        <v/>
      </c>
      <c r="L649" s="20" t="str">
        <f t="shared" si="86"/>
        <v/>
      </c>
      <c r="M649" s="6"/>
      <c r="N649" s="19" t="str">
        <f t="shared" si="87"/>
        <v/>
      </c>
      <c r="O649" s="23" t="str">
        <f>IF(B649="","",TRIM(IF(COUNTIF('Registru comenzi'!$B$5:$B$304,B649)=0,"Comandă inexistentă în registru. ","")&amp;IF(AND(D649&lt;&gt;"",E649=""),"Cod necunoscut. ","")&amp;IF(N(G649)&lt;=0,"Lipsește cantitatea. ","")&amp;IF(N(M649)&gt;N(G649),"Livrat mai mult decât s-a comandat. ","")&amp;IF(N(I649)&gt;0.3,"Discount neobișnuit de mare. ","")))</f>
        <v/>
      </c>
    </row>
    <row r="650" spans="1:15" x14ac:dyDescent="0.2">
      <c r="A650" s="1" t="str">
        <f t="shared" si="80"/>
        <v/>
      </c>
      <c r="B650" s="17"/>
      <c r="C650" s="18" t="str">
        <f>IF(B650="","",COUNTIF(INDEX($B:$B,5):B650,B650))</f>
        <v/>
      </c>
      <c r="D650" s="17"/>
      <c r="E650" s="19" t="str">
        <f t="shared" si="81"/>
        <v/>
      </c>
      <c r="F650" s="18" t="str">
        <f t="shared" si="82"/>
        <v/>
      </c>
      <c r="G650" s="6"/>
      <c r="H650" s="20" t="str">
        <f t="shared" si="83"/>
        <v/>
      </c>
      <c r="I650" s="21"/>
      <c r="J650" s="22" t="str">
        <f t="shared" si="84"/>
        <v/>
      </c>
      <c r="K650" s="20" t="str">
        <f t="shared" si="85"/>
        <v/>
      </c>
      <c r="L650" s="20" t="str">
        <f t="shared" si="86"/>
        <v/>
      </c>
      <c r="M650" s="6"/>
      <c r="N650" s="19" t="str">
        <f t="shared" si="87"/>
        <v/>
      </c>
      <c r="O650" s="23" t="str">
        <f>IF(B650="","",TRIM(IF(COUNTIF('Registru comenzi'!$B$5:$B$304,B650)=0,"Comandă inexistentă în registru. ","")&amp;IF(AND(D650&lt;&gt;"",E650=""),"Cod necunoscut. ","")&amp;IF(N(G650)&lt;=0,"Lipsește cantitatea. ","")&amp;IF(N(M650)&gt;N(G650),"Livrat mai mult decât s-a comandat. ","")&amp;IF(N(I650)&gt;0.3,"Discount neobișnuit de mare. ","")))</f>
        <v/>
      </c>
    </row>
    <row r="651" spans="1:15" x14ac:dyDescent="0.2">
      <c r="A651" s="1" t="str">
        <f t="shared" si="80"/>
        <v/>
      </c>
      <c r="B651" s="17"/>
      <c r="C651" s="18" t="str">
        <f>IF(B651="","",COUNTIF(INDEX($B:$B,5):B651,B651))</f>
        <v/>
      </c>
      <c r="D651" s="17"/>
      <c r="E651" s="19" t="str">
        <f t="shared" si="81"/>
        <v/>
      </c>
      <c r="F651" s="18" t="str">
        <f t="shared" si="82"/>
        <v/>
      </c>
      <c r="G651" s="6"/>
      <c r="H651" s="20" t="str">
        <f t="shared" si="83"/>
        <v/>
      </c>
      <c r="I651" s="21"/>
      <c r="J651" s="22" t="str">
        <f t="shared" si="84"/>
        <v/>
      </c>
      <c r="K651" s="20" t="str">
        <f t="shared" si="85"/>
        <v/>
      </c>
      <c r="L651" s="20" t="str">
        <f t="shared" si="86"/>
        <v/>
      </c>
      <c r="M651" s="6"/>
      <c r="N651" s="19" t="str">
        <f t="shared" si="87"/>
        <v/>
      </c>
      <c r="O651" s="23" t="str">
        <f>IF(B651="","",TRIM(IF(COUNTIF('Registru comenzi'!$B$5:$B$304,B651)=0,"Comandă inexistentă în registru. ","")&amp;IF(AND(D651&lt;&gt;"",E651=""),"Cod necunoscut. ","")&amp;IF(N(G651)&lt;=0,"Lipsește cantitatea. ","")&amp;IF(N(M651)&gt;N(G651),"Livrat mai mult decât s-a comandat. ","")&amp;IF(N(I651)&gt;0.3,"Discount neobișnuit de mare. ","")))</f>
        <v/>
      </c>
    </row>
    <row r="652" spans="1:15" x14ac:dyDescent="0.2">
      <c r="A652" s="1" t="str">
        <f t="shared" si="80"/>
        <v/>
      </c>
      <c r="B652" s="17"/>
      <c r="C652" s="18" t="str">
        <f>IF(B652="","",COUNTIF(INDEX($B:$B,5):B652,B652))</f>
        <v/>
      </c>
      <c r="D652" s="17"/>
      <c r="E652" s="19" t="str">
        <f t="shared" si="81"/>
        <v/>
      </c>
      <c r="F652" s="18" t="str">
        <f t="shared" si="82"/>
        <v/>
      </c>
      <c r="G652" s="6"/>
      <c r="H652" s="20" t="str">
        <f t="shared" si="83"/>
        <v/>
      </c>
      <c r="I652" s="21"/>
      <c r="J652" s="22" t="str">
        <f t="shared" si="84"/>
        <v/>
      </c>
      <c r="K652" s="20" t="str">
        <f t="shared" si="85"/>
        <v/>
      </c>
      <c r="L652" s="20" t="str">
        <f t="shared" si="86"/>
        <v/>
      </c>
      <c r="M652" s="6"/>
      <c r="N652" s="19" t="str">
        <f t="shared" si="87"/>
        <v/>
      </c>
      <c r="O652" s="23" t="str">
        <f>IF(B652="","",TRIM(IF(COUNTIF('Registru comenzi'!$B$5:$B$304,B652)=0,"Comandă inexistentă în registru. ","")&amp;IF(AND(D652&lt;&gt;"",E652=""),"Cod necunoscut. ","")&amp;IF(N(G652)&lt;=0,"Lipsește cantitatea. ","")&amp;IF(N(M652)&gt;N(G652),"Livrat mai mult decât s-a comandat. ","")&amp;IF(N(I652)&gt;0.3,"Discount neobișnuit de mare. ","")))</f>
        <v/>
      </c>
    </row>
    <row r="653" spans="1:15" x14ac:dyDescent="0.2">
      <c r="A653" s="1" t="str">
        <f t="shared" si="80"/>
        <v/>
      </c>
      <c r="B653" s="17"/>
      <c r="C653" s="18" t="str">
        <f>IF(B653="","",COUNTIF(INDEX($B:$B,5):B653,B653))</f>
        <v/>
      </c>
      <c r="D653" s="17"/>
      <c r="E653" s="19" t="str">
        <f t="shared" si="81"/>
        <v/>
      </c>
      <c r="F653" s="18" t="str">
        <f t="shared" si="82"/>
        <v/>
      </c>
      <c r="G653" s="6"/>
      <c r="H653" s="20" t="str">
        <f t="shared" si="83"/>
        <v/>
      </c>
      <c r="I653" s="21"/>
      <c r="J653" s="22" t="str">
        <f t="shared" si="84"/>
        <v/>
      </c>
      <c r="K653" s="20" t="str">
        <f t="shared" si="85"/>
        <v/>
      </c>
      <c r="L653" s="20" t="str">
        <f t="shared" si="86"/>
        <v/>
      </c>
      <c r="M653" s="6"/>
      <c r="N653" s="19" t="str">
        <f t="shared" si="87"/>
        <v/>
      </c>
      <c r="O653" s="23" t="str">
        <f>IF(B653="","",TRIM(IF(COUNTIF('Registru comenzi'!$B$5:$B$304,B653)=0,"Comandă inexistentă în registru. ","")&amp;IF(AND(D653&lt;&gt;"",E653=""),"Cod necunoscut. ","")&amp;IF(N(G653)&lt;=0,"Lipsește cantitatea. ","")&amp;IF(N(M653)&gt;N(G653),"Livrat mai mult decât s-a comandat. ","")&amp;IF(N(I653)&gt;0.3,"Discount neobișnuit de mare. ","")))</f>
        <v/>
      </c>
    </row>
    <row r="654" spans="1:15" x14ac:dyDescent="0.2">
      <c r="A654" s="1" t="str">
        <f t="shared" si="80"/>
        <v/>
      </c>
      <c r="B654" s="17"/>
      <c r="C654" s="18" t="str">
        <f>IF(B654="","",COUNTIF(INDEX($B:$B,5):B654,B654))</f>
        <v/>
      </c>
      <c r="D654" s="17"/>
      <c r="E654" s="19" t="str">
        <f t="shared" si="81"/>
        <v/>
      </c>
      <c r="F654" s="18" t="str">
        <f t="shared" si="82"/>
        <v/>
      </c>
      <c r="G654" s="6"/>
      <c r="H654" s="20" t="str">
        <f t="shared" si="83"/>
        <v/>
      </c>
      <c r="I654" s="21"/>
      <c r="J654" s="22" t="str">
        <f t="shared" si="84"/>
        <v/>
      </c>
      <c r="K654" s="20" t="str">
        <f t="shared" si="85"/>
        <v/>
      </c>
      <c r="L654" s="20" t="str">
        <f t="shared" si="86"/>
        <v/>
      </c>
      <c r="M654" s="6"/>
      <c r="N654" s="19" t="str">
        <f t="shared" si="87"/>
        <v/>
      </c>
      <c r="O654" s="23" t="str">
        <f>IF(B654="","",TRIM(IF(COUNTIF('Registru comenzi'!$B$5:$B$304,B654)=0,"Comandă inexistentă în registru. ","")&amp;IF(AND(D654&lt;&gt;"",E654=""),"Cod necunoscut. ","")&amp;IF(N(G654)&lt;=0,"Lipsește cantitatea. ","")&amp;IF(N(M654)&gt;N(G654),"Livrat mai mult decât s-a comandat. ","")&amp;IF(N(I654)&gt;0.3,"Discount neobișnuit de mare. ","")))</f>
        <v/>
      </c>
    </row>
    <row r="655" spans="1:15" x14ac:dyDescent="0.2">
      <c r="A655" s="1" t="str">
        <f t="shared" si="80"/>
        <v/>
      </c>
      <c r="B655" s="17"/>
      <c r="C655" s="18" t="str">
        <f>IF(B655="","",COUNTIF(INDEX($B:$B,5):B655,B655))</f>
        <v/>
      </c>
      <c r="D655" s="17"/>
      <c r="E655" s="19" t="str">
        <f t="shared" si="81"/>
        <v/>
      </c>
      <c r="F655" s="18" t="str">
        <f t="shared" si="82"/>
        <v/>
      </c>
      <c r="G655" s="6"/>
      <c r="H655" s="20" t="str">
        <f t="shared" si="83"/>
        <v/>
      </c>
      <c r="I655" s="21"/>
      <c r="J655" s="22" t="str">
        <f t="shared" si="84"/>
        <v/>
      </c>
      <c r="K655" s="20" t="str">
        <f t="shared" si="85"/>
        <v/>
      </c>
      <c r="L655" s="20" t="str">
        <f t="shared" si="86"/>
        <v/>
      </c>
      <c r="M655" s="6"/>
      <c r="N655" s="19" t="str">
        <f t="shared" si="87"/>
        <v/>
      </c>
      <c r="O655" s="23" t="str">
        <f>IF(B655="","",TRIM(IF(COUNTIF('Registru comenzi'!$B$5:$B$304,B655)=0,"Comandă inexistentă în registru. ","")&amp;IF(AND(D655&lt;&gt;"",E655=""),"Cod necunoscut. ","")&amp;IF(N(G655)&lt;=0,"Lipsește cantitatea. ","")&amp;IF(N(M655)&gt;N(G655),"Livrat mai mult decât s-a comandat. ","")&amp;IF(N(I655)&gt;0.3,"Discount neobișnuit de mare. ","")))</f>
        <v/>
      </c>
    </row>
    <row r="656" spans="1:15" x14ac:dyDescent="0.2">
      <c r="A656" s="1" t="str">
        <f t="shared" si="80"/>
        <v/>
      </c>
      <c r="B656" s="17"/>
      <c r="C656" s="18" t="str">
        <f>IF(B656="","",COUNTIF(INDEX($B:$B,5):B656,B656))</f>
        <v/>
      </c>
      <c r="D656" s="17"/>
      <c r="E656" s="19" t="str">
        <f t="shared" si="81"/>
        <v/>
      </c>
      <c r="F656" s="18" t="str">
        <f t="shared" si="82"/>
        <v/>
      </c>
      <c r="G656" s="6"/>
      <c r="H656" s="20" t="str">
        <f t="shared" si="83"/>
        <v/>
      </c>
      <c r="I656" s="21"/>
      <c r="J656" s="22" t="str">
        <f t="shared" si="84"/>
        <v/>
      </c>
      <c r="K656" s="20" t="str">
        <f t="shared" si="85"/>
        <v/>
      </c>
      <c r="L656" s="20" t="str">
        <f t="shared" si="86"/>
        <v/>
      </c>
      <c r="M656" s="6"/>
      <c r="N656" s="19" t="str">
        <f t="shared" si="87"/>
        <v/>
      </c>
      <c r="O656" s="23" t="str">
        <f>IF(B656="","",TRIM(IF(COUNTIF('Registru comenzi'!$B$5:$B$304,B656)=0,"Comandă inexistentă în registru. ","")&amp;IF(AND(D656&lt;&gt;"",E656=""),"Cod necunoscut. ","")&amp;IF(N(G656)&lt;=0,"Lipsește cantitatea. ","")&amp;IF(N(M656)&gt;N(G656),"Livrat mai mult decât s-a comandat. ","")&amp;IF(N(I656)&gt;0.3,"Discount neobișnuit de mare. ","")))</f>
        <v/>
      </c>
    </row>
    <row r="657" spans="1:15" x14ac:dyDescent="0.2">
      <c r="A657" s="1" t="str">
        <f t="shared" si="80"/>
        <v/>
      </c>
      <c r="B657" s="17"/>
      <c r="C657" s="18" t="str">
        <f>IF(B657="","",COUNTIF(INDEX($B:$B,5):B657,B657))</f>
        <v/>
      </c>
      <c r="D657" s="17"/>
      <c r="E657" s="19" t="str">
        <f t="shared" si="81"/>
        <v/>
      </c>
      <c r="F657" s="18" t="str">
        <f t="shared" si="82"/>
        <v/>
      </c>
      <c r="G657" s="6"/>
      <c r="H657" s="20" t="str">
        <f t="shared" si="83"/>
        <v/>
      </c>
      <c r="I657" s="21"/>
      <c r="J657" s="22" t="str">
        <f t="shared" si="84"/>
        <v/>
      </c>
      <c r="K657" s="20" t="str">
        <f t="shared" si="85"/>
        <v/>
      </c>
      <c r="L657" s="20" t="str">
        <f t="shared" si="86"/>
        <v/>
      </c>
      <c r="M657" s="6"/>
      <c r="N657" s="19" t="str">
        <f t="shared" si="87"/>
        <v/>
      </c>
      <c r="O657" s="23" t="str">
        <f>IF(B657="","",TRIM(IF(COUNTIF('Registru comenzi'!$B$5:$B$304,B657)=0,"Comandă inexistentă în registru. ","")&amp;IF(AND(D657&lt;&gt;"",E657=""),"Cod necunoscut. ","")&amp;IF(N(G657)&lt;=0,"Lipsește cantitatea. ","")&amp;IF(N(M657)&gt;N(G657),"Livrat mai mult decât s-a comandat. ","")&amp;IF(N(I657)&gt;0.3,"Discount neobișnuit de mare. ","")))</f>
        <v/>
      </c>
    </row>
    <row r="658" spans="1:15" x14ac:dyDescent="0.2">
      <c r="A658" s="1" t="str">
        <f t="shared" si="80"/>
        <v/>
      </c>
      <c r="B658" s="17"/>
      <c r="C658" s="18" t="str">
        <f>IF(B658="","",COUNTIF(INDEX($B:$B,5):B658,B658))</f>
        <v/>
      </c>
      <c r="D658" s="17"/>
      <c r="E658" s="19" t="str">
        <f t="shared" si="81"/>
        <v/>
      </c>
      <c r="F658" s="18" t="str">
        <f t="shared" si="82"/>
        <v/>
      </c>
      <c r="G658" s="6"/>
      <c r="H658" s="20" t="str">
        <f t="shared" si="83"/>
        <v/>
      </c>
      <c r="I658" s="21"/>
      <c r="J658" s="22" t="str">
        <f t="shared" si="84"/>
        <v/>
      </c>
      <c r="K658" s="20" t="str">
        <f t="shared" si="85"/>
        <v/>
      </c>
      <c r="L658" s="20" t="str">
        <f t="shared" si="86"/>
        <v/>
      </c>
      <c r="M658" s="6"/>
      <c r="N658" s="19" t="str">
        <f t="shared" si="87"/>
        <v/>
      </c>
      <c r="O658" s="23" t="str">
        <f>IF(B658="","",TRIM(IF(COUNTIF('Registru comenzi'!$B$5:$B$304,B658)=0,"Comandă inexistentă în registru. ","")&amp;IF(AND(D658&lt;&gt;"",E658=""),"Cod necunoscut. ","")&amp;IF(N(G658)&lt;=0,"Lipsește cantitatea. ","")&amp;IF(N(M658)&gt;N(G658),"Livrat mai mult decât s-a comandat. ","")&amp;IF(N(I658)&gt;0.3,"Discount neobișnuit de mare. ","")))</f>
        <v/>
      </c>
    </row>
    <row r="659" spans="1:15" x14ac:dyDescent="0.2">
      <c r="A659" s="1" t="str">
        <f t="shared" si="80"/>
        <v/>
      </c>
      <c r="B659" s="17"/>
      <c r="C659" s="18" t="str">
        <f>IF(B659="","",COUNTIF(INDEX($B:$B,5):B659,B659))</f>
        <v/>
      </c>
      <c r="D659" s="17"/>
      <c r="E659" s="19" t="str">
        <f t="shared" si="81"/>
        <v/>
      </c>
      <c r="F659" s="18" t="str">
        <f t="shared" si="82"/>
        <v/>
      </c>
      <c r="G659" s="6"/>
      <c r="H659" s="20" t="str">
        <f t="shared" si="83"/>
        <v/>
      </c>
      <c r="I659" s="21"/>
      <c r="J659" s="22" t="str">
        <f t="shared" si="84"/>
        <v/>
      </c>
      <c r="K659" s="20" t="str">
        <f t="shared" si="85"/>
        <v/>
      </c>
      <c r="L659" s="20" t="str">
        <f t="shared" si="86"/>
        <v/>
      </c>
      <c r="M659" s="6"/>
      <c r="N659" s="19" t="str">
        <f t="shared" si="87"/>
        <v/>
      </c>
      <c r="O659" s="23" t="str">
        <f>IF(B659="","",TRIM(IF(COUNTIF('Registru comenzi'!$B$5:$B$304,B659)=0,"Comandă inexistentă în registru. ","")&amp;IF(AND(D659&lt;&gt;"",E659=""),"Cod necunoscut. ","")&amp;IF(N(G659)&lt;=0,"Lipsește cantitatea. ","")&amp;IF(N(M659)&gt;N(G659),"Livrat mai mult decât s-a comandat. ","")&amp;IF(N(I659)&gt;0.3,"Discount neobișnuit de mare. ","")))</f>
        <v/>
      </c>
    </row>
    <row r="660" spans="1:15" x14ac:dyDescent="0.2">
      <c r="A660" s="1" t="str">
        <f t="shared" si="80"/>
        <v/>
      </c>
      <c r="B660" s="17"/>
      <c r="C660" s="18" t="str">
        <f>IF(B660="","",COUNTIF(INDEX($B:$B,5):B660,B660))</f>
        <v/>
      </c>
      <c r="D660" s="17"/>
      <c r="E660" s="19" t="str">
        <f t="shared" si="81"/>
        <v/>
      </c>
      <c r="F660" s="18" t="str">
        <f t="shared" si="82"/>
        <v/>
      </c>
      <c r="G660" s="6"/>
      <c r="H660" s="20" t="str">
        <f t="shared" si="83"/>
        <v/>
      </c>
      <c r="I660" s="21"/>
      <c r="J660" s="22" t="str">
        <f t="shared" si="84"/>
        <v/>
      </c>
      <c r="K660" s="20" t="str">
        <f t="shared" si="85"/>
        <v/>
      </c>
      <c r="L660" s="20" t="str">
        <f t="shared" si="86"/>
        <v/>
      </c>
      <c r="M660" s="6"/>
      <c r="N660" s="19" t="str">
        <f t="shared" si="87"/>
        <v/>
      </c>
      <c r="O660" s="23" t="str">
        <f>IF(B660="","",TRIM(IF(COUNTIF('Registru comenzi'!$B$5:$B$304,B660)=0,"Comandă inexistentă în registru. ","")&amp;IF(AND(D660&lt;&gt;"",E660=""),"Cod necunoscut. ","")&amp;IF(N(G660)&lt;=0,"Lipsește cantitatea. ","")&amp;IF(N(M660)&gt;N(G660),"Livrat mai mult decât s-a comandat. ","")&amp;IF(N(I660)&gt;0.3,"Discount neobișnuit de mare. ","")))</f>
        <v/>
      </c>
    </row>
    <row r="661" spans="1:15" x14ac:dyDescent="0.2">
      <c r="A661" s="1" t="str">
        <f t="shared" si="80"/>
        <v/>
      </c>
      <c r="B661" s="17"/>
      <c r="C661" s="18" t="str">
        <f>IF(B661="","",COUNTIF(INDEX($B:$B,5):B661,B661))</f>
        <v/>
      </c>
      <c r="D661" s="17"/>
      <c r="E661" s="19" t="str">
        <f t="shared" si="81"/>
        <v/>
      </c>
      <c r="F661" s="18" t="str">
        <f t="shared" si="82"/>
        <v/>
      </c>
      <c r="G661" s="6"/>
      <c r="H661" s="20" t="str">
        <f t="shared" si="83"/>
        <v/>
      </c>
      <c r="I661" s="21"/>
      <c r="J661" s="22" t="str">
        <f t="shared" si="84"/>
        <v/>
      </c>
      <c r="K661" s="20" t="str">
        <f t="shared" si="85"/>
        <v/>
      </c>
      <c r="L661" s="20" t="str">
        <f t="shared" si="86"/>
        <v/>
      </c>
      <c r="M661" s="6"/>
      <c r="N661" s="19" t="str">
        <f t="shared" si="87"/>
        <v/>
      </c>
      <c r="O661" s="23" t="str">
        <f>IF(B661="","",TRIM(IF(COUNTIF('Registru comenzi'!$B$5:$B$304,B661)=0,"Comandă inexistentă în registru. ","")&amp;IF(AND(D661&lt;&gt;"",E661=""),"Cod necunoscut. ","")&amp;IF(N(G661)&lt;=0,"Lipsește cantitatea. ","")&amp;IF(N(M661)&gt;N(G661),"Livrat mai mult decât s-a comandat. ","")&amp;IF(N(I661)&gt;0.3,"Discount neobișnuit de mare. ","")))</f>
        <v/>
      </c>
    </row>
    <row r="662" spans="1:15" x14ac:dyDescent="0.2">
      <c r="A662" s="1" t="str">
        <f t="shared" si="80"/>
        <v/>
      </c>
      <c r="B662" s="17"/>
      <c r="C662" s="18" t="str">
        <f>IF(B662="","",COUNTIF(INDEX($B:$B,5):B662,B662))</f>
        <v/>
      </c>
      <c r="D662" s="17"/>
      <c r="E662" s="19" t="str">
        <f t="shared" si="81"/>
        <v/>
      </c>
      <c r="F662" s="18" t="str">
        <f t="shared" si="82"/>
        <v/>
      </c>
      <c r="G662" s="6"/>
      <c r="H662" s="20" t="str">
        <f t="shared" si="83"/>
        <v/>
      </c>
      <c r="I662" s="21"/>
      <c r="J662" s="22" t="str">
        <f t="shared" si="84"/>
        <v/>
      </c>
      <c r="K662" s="20" t="str">
        <f t="shared" si="85"/>
        <v/>
      </c>
      <c r="L662" s="20" t="str">
        <f t="shared" si="86"/>
        <v/>
      </c>
      <c r="M662" s="6"/>
      <c r="N662" s="19" t="str">
        <f t="shared" si="87"/>
        <v/>
      </c>
      <c r="O662" s="23" t="str">
        <f>IF(B662="","",TRIM(IF(COUNTIF('Registru comenzi'!$B$5:$B$304,B662)=0,"Comandă inexistentă în registru. ","")&amp;IF(AND(D662&lt;&gt;"",E662=""),"Cod necunoscut. ","")&amp;IF(N(G662)&lt;=0,"Lipsește cantitatea. ","")&amp;IF(N(M662)&gt;N(G662),"Livrat mai mult decât s-a comandat. ","")&amp;IF(N(I662)&gt;0.3,"Discount neobișnuit de mare. ","")))</f>
        <v/>
      </c>
    </row>
    <row r="663" spans="1:15" x14ac:dyDescent="0.2">
      <c r="A663" s="1" t="str">
        <f t="shared" si="80"/>
        <v/>
      </c>
      <c r="B663" s="17"/>
      <c r="C663" s="18" t="str">
        <f>IF(B663="","",COUNTIF(INDEX($B:$B,5):B663,B663))</f>
        <v/>
      </c>
      <c r="D663" s="17"/>
      <c r="E663" s="19" t="str">
        <f t="shared" si="81"/>
        <v/>
      </c>
      <c r="F663" s="18" t="str">
        <f t="shared" si="82"/>
        <v/>
      </c>
      <c r="G663" s="6"/>
      <c r="H663" s="20" t="str">
        <f t="shared" si="83"/>
        <v/>
      </c>
      <c r="I663" s="21"/>
      <c r="J663" s="22" t="str">
        <f t="shared" si="84"/>
        <v/>
      </c>
      <c r="K663" s="20" t="str">
        <f t="shared" si="85"/>
        <v/>
      </c>
      <c r="L663" s="20" t="str">
        <f t="shared" si="86"/>
        <v/>
      </c>
      <c r="M663" s="6"/>
      <c r="N663" s="19" t="str">
        <f t="shared" si="87"/>
        <v/>
      </c>
      <c r="O663" s="23" t="str">
        <f>IF(B663="","",TRIM(IF(COUNTIF('Registru comenzi'!$B$5:$B$304,B663)=0,"Comandă inexistentă în registru. ","")&amp;IF(AND(D663&lt;&gt;"",E663=""),"Cod necunoscut. ","")&amp;IF(N(G663)&lt;=0,"Lipsește cantitatea. ","")&amp;IF(N(M663)&gt;N(G663),"Livrat mai mult decât s-a comandat. ","")&amp;IF(N(I663)&gt;0.3,"Discount neobișnuit de mare. ","")))</f>
        <v/>
      </c>
    </row>
    <row r="664" spans="1:15" x14ac:dyDescent="0.2">
      <c r="A664" s="1" t="str">
        <f t="shared" si="80"/>
        <v/>
      </c>
      <c r="B664" s="17"/>
      <c r="C664" s="18" t="str">
        <f>IF(B664="","",COUNTIF(INDEX($B:$B,5):B664,B664))</f>
        <v/>
      </c>
      <c r="D664" s="17"/>
      <c r="E664" s="19" t="str">
        <f t="shared" si="81"/>
        <v/>
      </c>
      <c r="F664" s="18" t="str">
        <f t="shared" si="82"/>
        <v/>
      </c>
      <c r="G664" s="6"/>
      <c r="H664" s="20" t="str">
        <f t="shared" si="83"/>
        <v/>
      </c>
      <c r="I664" s="21"/>
      <c r="J664" s="22" t="str">
        <f t="shared" si="84"/>
        <v/>
      </c>
      <c r="K664" s="20" t="str">
        <f t="shared" si="85"/>
        <v/>
      </c>
      <c r="L664" s="20" t="str">
        <f t="shared" si="86"/>
        <v/>
      </c>
      <c r="M664" s="6"/>
      <c r="N664" s="19" t="str">
        <f t="shared" si="87"/>
        <v/>
      </c>
      <c r="O664" s="23" t="str">
        <f>IF(B664="","",TRIM(IF(COUNTIF('Registru comenzi'!$B$5:$B$304,B664)=0,"Comandă inexistentă în registru. ","")&amp;IF(AND(D664&lt;&gt;"",E664=""),"Cod necunoscut. ","")&amp;IF(N(G664)&lt;=0,"Lipsește cantitatea. ","")&amp;IF(N(M664)&gt;N(G664),"Livrat mai mult decât s-a comandat. ","")&amp;IF(N(I664)&gt;0.3,"Discount neobișnuit de mare. ","")))</f>
        <v/>
      </c>
    </row>
    <row r="665" spans="1:15" x14ac:dyDescent="0.2">
      <c r="A665" s="1" t="str">
        <f t="shared" si="80"/>
        <v/>
      </c>
      <c r="B665" s="17"/>
      <c r="C665" s="18" t="str">
        <f>IF(B665="","",COUNTIF(INDEX($B:$B,5):B665,B665))</f>
        <v/>
      </c>
      <c r="D665" s="17"/>
      <c r="E665" s="19" t="str">
        <f t="shared" si="81"/>
        <v/>
      </c>
      <c r="F665" s="18" t="str">
        <f t="shared" si="82"/>
        <v/>
      </c>
      <c r="G665" s="6"/>
      <c r="H665" s="20" t="str">
        <f t="shared" si="83"/>
        <v/>
      </c>
      <c r="I665" s="21"/>
      <c r="J665" s="22" t="str">
        <f t="shared" si="84"/>
        <v/>
      </c>
      <c r="K665" s="20" t="str">
        <f t="shared" si="85"/>
        <v/>
      </c>
      <c r="L665" s="20" t="str">
        <f t="shared" si="86"/>
        <v/>
      </c>
      <c r="M665" s="6"/>
      <c r="N665" s="19" t="str">
        <f t="shared" si="87"/>
        <v/>
      </c>
      <c r="O665" s="23" t="str">
        <f>IF(B665="","",TRIM(IF(COUNTIF('Registru comenzi'!$B$5:$B$304,B665)=0,"Comandă inexistentă în registru. ","")&amp;IF(AND(D665&lt;&gt;"",E665=""),"Cod necunoscut. ","")&amp;IF(N(G665)&lt;=0,"Lipsește cantitatea. ","")&amp;IF(N(M665)&gt;N(G665),"Livrat mai mult decât s-a comandat. ","")&amp;IF(N(I665)&gt;0.3,"Discount neobișnuit de mare. ","")))</f>
        <v/>
      </c>
    </row>
    <row r="666" spans="1:15" x14ac:dyDescent="0.2">
      <c r="A666" s="1" t="str">
        <f t="shared" si="80"/>
        <v/>
      </c>
      <c r="B666" s="17"/>
      <c r="C666" s="18" t="str">
        <f>IF(B666="","",COUNTIF(INDEX($B:$B,5):B666,B666))</f>
        <v/>
      </c>
      <c r="D666" s="17"/>
      <c r="E666" s="19" t="str">
        <f t="shared" si="81"/>
        <v/>
      </c>
      <c r="F666" s="18" t="str">
        <f t="shared" si="82"/>
        <v/>
      </c>
      <c r="G666" s="6"/>
      <c r="H666" s="20" t="str">
        <f t="shared" si="83"/>
        <v/>
      </c>
      <c r="I666" s="21"/>
      <c r="J666" s="22" t="str">
        <f t="shared" si="84"/>
        <v/>
      </c>
      <c r="K666" s="20" t="str">
        <f t="shared" si="85"/>
        <v/>
      </c>
      <c r="L666" s="20" t="str">
        <f t="shared" si="86"/>
        <v/>
      </c>
      <c r="M666" s="6"/>
      <c r="N666" s="19" t="str">
        <f t="shared" si="87"/>
        <v/>
      </c>
      <c r="O666" s="23" t="str">
        <f>IF(B666="","",TRIM(IF(COUNTIF('Registru comenzi'!$B$5:$B$304,B666)=0,"Comandă inexistentă în registru. ","")&amp;IF(AND(D666&lt;&gt;"",E666=""),"Cod necunoscut. ","")&amp;IF(N(G666)&lt;=0,"Lipsește cantitatea. ","")&amp;IF(N(M666)&gt;N(G666),"Livrat mai mult decât s-a comandat. ","")&amp;IF(N(I666)&gt;0.3,"Discount neobișnuit de mare. ","")))</f>
        <v/>
      </c>
    </row>
    <row r="667" spans="1:15" x14ac:dyDescent="0.2">
      <c r="A667" s="1" t="str">
        <f t="shared" si="80"/>
        <v/>
      </c>
      <c r="B667" s="17"/>
      <c r="C667" s="18" t="str">
        <f>IF(B667="","",COUNTIF(INDEX($B:$B,5):B667,B667))</f>
        <v/>
      </c>
      <c r="D667" s="17"/>
      <c r="E667" s="19" t="str">
        <f t="shared" si="81"/>
        <v/>
      </c>
      <c r="F667" s="18" t="str">
        <f t="shared" si="82"/>
        <v/>
      </c>
      <c r="G667" s="6"/>
      <c r="H667" s="20" t="str">
        <f t="shared" si="83"/>
        <v/>
      </c>
      <c r="I667" s="21"/>
      <c r="J667" s="22" t="str">
        <f t="shared" si="84"/>
        <v/>
      </c>
      <c r="K667" s="20" t="str">
        <f t="shared" si="85"/>
        <v/>
      </c>
      <c r="L667" s="20" t="str">
        <f t="shared" si="86"/>
        <v/>
      </c>
      <c r="M667" s="6"/>
      <c r="N667" s="19" t="str">
        <f t="shared" si="87"/>
        <v/>
      </c>
      <c r="O667" s="23" t="str">
        <f>IF(B667="","",TRIM(IF(COUNTIF('Registru comenzi'!$B$5:$B$304,B667)=0,"Comandă inexistentă în registru. ","")&amp;IF(AND(D667&lt;&gt;"",E667=""),"Cod necunoscut. ","")&amp;IF(N(G667)&lt;=0,"Lipsește cantitatea. ","")&amp;IF(N(M667)&gt;N(G667),"Livrat mai mult decât s-a comandat. ","")&amp;IF(N(I667)&gt;0.3,"Discount neobișnuit de mare. ","")))</f>
        <v/>
      </c>
    </row>
    <row r="668" spans="1:15" x14ac:dyDescent="0.2">
      <c r="A668" s="1" t="str">
        <f t="shared" si="80"/>
        <v/>
      </c>
      <c r="B668" s="17"/>
      <c r="C668" s="18" t="str">
        <f>IF(B668="","",COUNTIF(INDEX($B:$B,5):B668,B668))</f>
        <v/>
      </c>
      <c r="D668" s="17"/>
      <c r="E668" s="19" t="str">
        <f t="shared" si="81"/>
        <v/>
      </c>
      <c r="F668" s="18" t="str">
        <f t="shared" si="82"/>
        <v/>
      </c>
      <c r="G668" s="6"/>
      <c r="H668" s="20" t="str">
        <f t="shared" si="83"/>
        <v/>
      </c>
      <c r="I668" s="21"/>
      <c r="J668" s="22" t="str">
        <f t="shared" si="84"/>
        <v/>
      </c>
      <c r="K668" s="20" t="str">
        <f t="shared" si="85"/>
        <v/>
      </c>
      <c r="L668" s="20" t="str">
        <f t="shared" si="86"/>
        <v/>
      </c>
      <c r="M668" s="6"/>
      <c r="N668" s="19" t="str">
        <f t="shared" si="87"/>
        <v/>
      </c>
      <c r="O668" s="23" t="str">
        <f>IF(B668="","",TRIM(IF(COUNTIF('Registru comenzi'!$B$5:$B$304,B668)=0,"Comandă inexistentă în registru. ","")&amp;IF(AND(D668&lt;&gt;"",E668=""),"Cod necunoscut. ","")&amp;IF(N(G668)&lt;=0,"Lipsește cantitatea. ","")&amp;IF(N(M668)&gt;N(G668),"Livrat mai mult decât s-a comandat. ","")&amp;IF(N(I668)&gt;0.3,"Discount neobișnuit de mare. ","")))</f>
        <v/>
      </c>
    </row>
    <row r="669" spans="1:15" x14ac:dyDescent="0.2">
      <c r="A669" s="1" t="str">
        <f t="shared" si="80"/>
        <v/>
      </c>
      <c r="B669" s="17"/>
      <c r="C669" s="18" t="str">
        <f>IF(B669="","",COUNTIF(INDEX($B:$B,5):B669,B669))</f>
        <v/>
      </c>
      <c r="D669" s="17"/>
      <c r="E669" s="19" t="str">
        <f t="shared" si="81"/>
        <v/>
      </c>
      <c r="F669" s="18" t="str">
        <f t="shared" si="82"/>
        <v/>
      </c>
      <c r="G669" s="6"/>
      <c r="H669" s="20" t="str">
        <f t="shared" si="83"/>
        <v/>
      </c>
      <c r="I669" s="21"/>
      <c r="J669" s="22" t="str">
        <f t="shared" si="84"/>
        <v/>
      </c>
      <c r="K669" s="20" t="str">
        <f t="shared" si="85"/>
        <v/>
      </c>
      <c r="L669" s="20" t="str">
        <f t="shared" si="86"/>
        <v/>
      </c>
      <c r="M669" s="6"/>
      <c r="N669" s="19" t="str">
        <f t="shared" si="87"/>
        <v/>
      </c>
      <c r="O669" s="23" t="str">
        <f>IF(B669="","",TRIM(IF(COUNTIF('Registru comenzi'!$B$5:$B$304,B669)=0,"Comandă inexistentă în registru. ","")&amp;IF(AND(D669&lt;&gt;"",E669=""),"Cod necunoscut. ","")&amp;IF(N(G669)&lt;=0,"Lipsește cantitatea. ","")&amp;IF(N(M669)&gt;N(G669),"Livrat mai mult decât s-a comandat. ","")&amp;IF(N(I669)&gt;0.3,"Discount neobișnuit de mare. ","")))</f>
        <v/>
      </c>
    </row>
    <row r="670" spans="1:15" x14ac:dyDescent="0.2">
      <c r="A670" s="1" t="str">
        <f t="shared" si="80"/>
        <v/>
      </c>
      <c r="B670" s="17"/>
      <c r="C670" s="18" t="str">
        <f>IF(B670="","",COUNTIF(INDEX($B:$B,5):B670,B670))</f>
        <v/>
      </c>
      <c r="D670" s="17"/>
      <c r="E670" s="19" t="str">
        <f t="shared" si="81"/>
        <v/>
      </c>
      <c r="F670" s="18" t="str">
        <f t="shared" si="82"/>
        <v/>
      </c>
      <c r="G670" s="6"/>
      <c r="H670" s="20" t="str">
        <f t="shared" si="83"/>
        <v/>
      </c>
      <c r="I670" s="21"/>
      <c r="J670" s="22" t="str">
        <f t="shared" si="84"/>
        <v/>
      </c>
      <c r="K670" s="20" t="str">
        <f t="shared" si="85"/>
        <v/>
      </c>
      <c r="L670" s="20" t="str">
        <f t="shared" si="86"/>
        <v/>
      </c>
      <c r="M670" s="6"/>
      <c r="N670" s="19" t="str">
        <f t="shared" si="87"/>
        <v/>
      </c>
      <c r="O670" s="23" t="str">
        <f>IF(B670="","",TRIM(IF(COUNTIF('Registru comenzi'!$B$5:$B$304,B670)=0,"Comandă inexistentă în registru. ","")&amp;IF(AND(D670&lt;&gt;"",E670=""),"Cod necunoscut. ","")&amp;IF(N(G670)&lt;=0,"Lipsește cantitatea. ","")&amp;IF(N(M670)&gt;N(G670),"Livrat mai mult decât s-a comandat. ","")&amp;IF(N(I670)&gt;0.3,"Discount neobișnuit de mare. ","")))</f>
        <v/>
      </c>
    </row>
    <row r="671" spans="1:15" x14ac:dyDescent="0.2">
      <c r="A671" s="1" t="str">
        <f t="shared" si="80"/>
        <v/>
      </c>
      <c r="B671" s="17"/>
      <c r="C671" s="18" t="str">
        <f>IF(B671="","",COUNTIF(INDEX($B:$B,5):B671,B671))</f>
        <v/>
      </c>
      <c r="D671" s="17"/>
      <c r="E671" s="19" t="str">
        <f t="shared" si="81"/>
        <v/>
      </c>
      <c r="F671" s="18" t="str">
        <f t="shared" si="82"/>
        <v/>
      </c>
      <c r="G671" s="6"/>
      <c r="H671" s="20" t="str">
        <f t="shared" si="83"/>
        <v/>
      </c>
      <c r="I671" s="21"/>
      <c r="J671" s="22" t="str">
        <f t="shared" si="84"/>
        <v/>
      </c>
      <c r="K671" s="20" t="str">
        <f t="shared" si="85"/>
        <v/>
      </c>
      <c r="L671" s="20" t="str">
        <f t="shared" si="86"/>
        <v/>
      </c>
      <c r="M671" s="6"/>
      <c r="N671" s="19" t="str">
        <f t="shared" si="87"/>
        <v/>
      </c>
      <c r="O671" s="23" t="str">
        <f>IF(B671="","",TRIM(IF(COUNTIF('Registru comenzi'!$B$5:$B$304,B671)=0,"Comandă inexistentă în registru. ","")&amp;IF(AND(D671&lt;&gt;"",E671=""),"Cod necunoscut. ","")&amp;IF(N(G671)&lt;=0,"Lipsește cantitatea. ","")&amp;IF(N(M671)&gt;N(G671),"Livrat mai mult decât s-a comandat. ","")&amp;IF(N(I671)&gt;0.3,"Discount neobișnuit de mare. ","")))</f>
        <v/>
      </c>
    </row>
    <row r="672" spans="1:15" x14ac:dyDescent="0.2">
      <c r="A672" s="1" t="str">
        <f t="shared" si="80"/>
        <v/>
      </c>
      <c r="B672" s="17"/>
      <c r="C672" s="18" t="str">
        <f>IF(B672="","",COUNTIF(INDEX($B:$B,5):B672,B672))</f>
        <v/>
      </c>
      <c r="D672" s="17"/>
      <c r="E672" s="19" t="str">
        <f t="shared" si="81"/>
        <v/>
      </c>
      <c r="F672" s="18" t="str">
        <f t="shared" si="82"/>
        <v/>
      </c>
      <c r="G672" s="6"/>
      <c r="H672" s="20" t="str">
        <f t="shared" si="83"/>
        <v/>
      </c>
      <c r="I672" s="21"/>
      <c r="J672" s="22" t="str">
        <f t="shared" si="84"/>
        <v/>
      </c>
      <c r="K672" s="20" t="str">
        <f t="shared" si="85"/>
        <v/>
      </c>
      <c r="L672" s="20" t="str">
        <f t="shared" si="86"/>
        <v/>
      </c>
      <c r="M672" s="6"/>
      <c r="N672" s="19" t="str">
        <f t="shared" si="87"/>
        <v/>
      </c>
      <c r="O672" s="23" t="str">
        <f>IF(B672="","",TRIM(IF(COUNTIF('Registru comenzi'!$B$5:$B$304,B672)=0,"Comandă inexistentă în registru. ","")&amp;IF(AND(D672&lt;&gt;"",E672=""),"Cod necunoscut. ","")&amp;IF(N(G672)&lt;=0,"Lipsește cantitatea. ","")&amp;IF(N(M672)&gt;N(G672),"Livrat mai mult decât s-a comandat. ","")&amp;IF(N(I672)&gt;0.3,"Discount neobișnuit de mare. ","")))</f>
        <v/>
      </c>
    </row>
    <row r="673" spans="1:15" x14ac:dyDescent="0.2">
      <c r="A673" s="1" t="str">
        <f t="shared" si="80"/>
        <v/>
      </c>
      <c r="B673" s="17"/>
      <c r="C673" s="18" t="str">
        <f>IF(B673="","",COUNTIF(INDEX($B:$B,5):B673,B673))</f>
        <v/>
      </c>
      <c r="D673" s="17"/>
      <c r="E673" s="19" t="str">
        <f t="shared" si="81"/>
        <v/>
      </c>
      <c r="F673" s="18" t="str">
        <f t="shared" si="82"/>
        <v/>
      </c>
      <c r="G673" s="6"/>
      <c r="H673" s="20" t="str">
        <f t="shared" si="83"/>
        <v/>
      </c>
      <c r="I673" s="21"/>
      <c r="J673" s="22" t="str">
        <f t="shared" si="84"/>
        <v/>
      </c>
      <c r="K673" s="20" t="str">
        <f t="shared" si="85"/>
        <v/>
      </c>
      <c r="L673" s="20" t="str">
        <f t="shared" si="86"/>
        <v/>
      </c>
      <c r="M673" s="6"/>
      <c r="N673" s="19" t="str">
        <f t="shared" si="87"/>
        <v/>
      </c>
      <c r="O673" s="23" t="str">
        <f>IF(B673="","",TRIM(IF(COUNTIF('Registru comenzi'!$B$5:$B$304,B673)=0,"Comandă inexistentă în registru. ","")&amp;IF(AND(D673&lt;&gt;"",E673=""),"Cod necunoscut. ","")&amp;IF(N(G673)&lt;=0,"Lipsește cantitatea. ","")&amp;IF(N(M673)&gt;N(G673),"Livrat mai mult decât s-a comandat. ","")&amp;IF(N(I673)&gt;0.3,"Discount neobișnuit de mare. ","")))</f>
        <v/>
      </c>
    </row>
    <row r="674" spans="1:15" x14ac:dyDescent="0.2">
      <c r="A674" s="1" t="str">
        <f t="shared" si="80"/>
        <v/>
      </c>
      <c r="B674" s="17"/>
      <c r="C674" s="18" t="str">
        <f>IF(B674="","",COUNTIF(INDEX($B:$B,5):B674,B674))</f>
        <v/>
      </c>
      <c r="D674" s="17"/>
      <c r="E674" s="19" t="str">
        <f t="shared" si="81"/>
        <v/>
      </c>
      <c r="F674" s="18" t="str">
        <f t="shared" si="82"/>
        <v/>
      </c>
      <c r="G674" s="6"/>
      <c r="H674" s="20" t="str">
        <f t="shared" si="83"/>
        <v/>
      </c>
      <c r="I674" s="21"/>
      <c r="J674" s="22" t="str">
        <f t="shared" si="84"/>
        <v/>
      </c>
      <c r="K674" s="20" t="str">
        <f t="shared" si="85"/>
        <v/>
      </c>
      <c r="L674" s="20" t="str">
        <f t="shared" si="86"/>
        <v/>
      </c>
      <c r="M674" s="6"/>
      <c r="N674" s="19" t="str">
        <f t="shared" si="87"/>
        <v/>
      </c>
      <c r="O674" s="23" t="str">
        <f>IF(B674="","",TRIM(IF(COUNTIF('Registru comenzi'!$B$5:$B$304,B674)=0,"Comandă inexistentă în registru. ","")&amp;IF(AND(D674&lt;&gt;"",E674=""),"Cod necunoscut. ","")&amp;IF(N(G674)&lt;=0,"Lipsește cantitatea. ","")&amp;IF(N(M674)&gt;N(G674),"Livrat mai mult decât s-a comandat. ","")&amp;IF(N(I674)&gt;0.3,"Discount neobișnuit de mare. ","")))</f>
        <v/>
      </c>
    </row>
    <row r="675" spans="1:15" x14ac:dyDescent="0.2">
      <c r="A675" s="1" t="str">
        <f t="shared" si="80"/>
        <v/>
      </c>
      <c r="B675" s="17"/>
      <c r="C675" s="18" t="str">
        <f>IF(B675="","",COUNTIF(INDEX($B:$B,5):B675,B675))</f>
        <v/>
      </c>
      <c r="D675" s="17"/>
      <c r="E675" s="19" t="str">
        <f t="shared" si="81"/>
        <v/>
      </c>
      <c r="F675" s="18" t="str">
        <f t="shared" si="82"/>
        <v/>
      </c>
      <c r="G675" s="6"/>
      <c r="H675" s="20" t="str">
        <f t="shared" si="83"/>
        <v/>
      </c>
      <c r="I675" s="21"/>
      <c r="J675" s="22" t="str">
        <f t="shared" si="84"/>
        <v/>
      </c>
      <c r="K675" s="20" t="str">
        <f t="shared" si="85"/>
        <v/>
      </c>
      <c r="L675" s="20" t="str">
        <f t="shared" si="86"/>
        <v/>
      </c>
      <c r="M675" s="6"/>
      <c r="N675" s="19" t="str">
        <f t="shared" si="87"/>
        <v/>
      </c>
      <c r="O675" s="23" t="str">
        <f>IF(B675="","",TRIM(IF(COUNTIF('Registru comenzi'!$B$5:$B$304,B675)=0,"Comandă inexistentă în registru. ","")&amp;IF(AND(D675&lt;&gt;"",E675=""),"Cod necunoscut. ","")&amp;IF(N(G675)&lt;=0,"Lipsește cantitatea. ","")&amp;IF(N(M675)&gt;N(G675),"Livrat mai mult decât s-a comandat. ","")&amp;IF(N(I675)&gt;0.3,"Discount neobișnuit de mare. ","")))</f>
        <v/>
      </c>
    </row>
    <row r="676" spans="1:15" x14ac:dyDescent="0.2">
      <c r="A676" s="1" t="str">
        <f t="shared" si="80"/>
        <v/>
      </c>
      <c r="B676" s="17"/>
      <c r="C676" s="18" t="str">
        <f>IF(B676="","",COUNTIF(INDEX($B:$B,5):B676,B676))</f>
        <v/>
      </c>
      <c r="D676" s="17"/>
      <c r="E676" s="19" t="str">
        <f t="shared" si="81"/>
        <v/>
      </c>
      <c r="F676" s="18" t="str">
        <f t="shared" si="82"/>
        <v/>
      </c>
      <c r="G676" s="6"/>
      <c r="H676" s="20" t="str">
        <f t="shared" si="83"/>
        <v/>
      </c>
      <c r="I676" s="21"/>
      <c r="J676" s="22" t="str">
        <f t="shared" si="84"/>
        <v/>
      </c>
      <c r="K676" s="20" t="str">
        <f t="shared" si="85"/>
        <v/>
      </c>
      <c r="L676" s="20" t="str">
        <f t="shared" si="86"/>
        <v/>
      </c>
      <c r="M676" s="6"/>
      <c r="N676" s="19" t="str">
        <f t="shared" si="87"/>
        <v/>
      </c>
      <c r="O676" s="23" t="str">
        <f>IF(B676="","",TRIM(IF(COUNTIF('Registru comenzi'!$B$5:$B$304,B676)=0,"Comandă inexistentă în registru. ","")&amp;IF(AND(D676&lt;&gt;"",E676=""),"Cod necunoscut. ","")&amp;IF(N(G676)&lt;=0,"Lipsește cantitatea. ","")&amp;IF(N(M676)&gt;N(G676),"Livrat mai mult decât s-a comandat. ","")&amp;IF(N(I676)&gt;0.3,"Discount neobișnuit de mare. ","")))</f>
        <v/>
      </c>
    </row>
    <row r="677" spans="1:15" x14ac:dyDescent="0.2">
      <c r="A677" s="1" t="str">
        <f t="shared" si="80"/>
        <v/>
      </c>
      <c r="B677" s="17"/>
      <c r="C677" s="18" t="str">
        <f>IF(B677="","",COUNTIF(INDEX($B:$B,5):B677,B677))</f>
        <v/>
      </c>
      <c r="D677" s="17"/>
      <c r="E677" s="19" t="str">
        <f t="shared" si="81"/>
        <v/>
      </c>
      <c r="F677" s="18" t="str">
        <f t="shared" si="82"/>
        <v/>
      </c>
      <c r="G677" s="6"/>
      <c r="H677" s="20" t="str">
        <f t="shared" si="83"/>
        <v/>
      </c>
      <c r="I677" s="21"/>
      <c r="J677" s="22" t="str">
        <f t="shared" si="84"/>
        <v/>
      </c>
      <c r="K677" s="20" t="str">
        <f t="shared" si="85"/>
        <v/>
      </c>
      <c r="L677" s="20" t="str">
        <f t="shared" si="86"/>
        <v/>
      </c>
      <c r="M677" s="6"/>
      <c r="N677" s="19" t="str">
        <f t="shared" si="87"/>
        <v/>
      </c>
      <c r="O677" s="23" t="str">
        <f>IF(B677="","",TRIM(IF(COUNTIF('Registru comenzi'!$B$5:$B$304,B677)=0,"Comandă inexistentă în registru. ","")&amp;IF(AND(D677&lt;&gt;"",E677=""),"Cod necunoscut. ","")&amp;IF(N(G677)&lt;=0,"Lipsește cantitatea. ","")&amp;IF(N(M677)&gt;N(G677),"Livrat mai mult decât s-a comandat. ","")&amp;IF(N(I677)&gt;0.3,"Discount neobișnuit de mare. ","")))</f>
        <v/>
      </c>
    </row>
    <row r="678" spans="1:15" x14ac:dyDescent="0.2">
      <c r="A678" s="1" t="str">
        <f t="shared" si="80"/>
        <v/>
      </c>
      <c r="B678" s="17"/>
      <c r="C678" s="18" t="str">
        <f>IF(B678="","",COUNTIF(INDEX($B:$B,5):B678,B678))</f>
        <v/>
      </c>
      <c r="D678" s="17"/>
      <c r="E678" s="19" t="str">
        <f t="shared" si="81"/>
        <v/>
      </c>
      <c r="F678" s="18" t="str">
        <f t="shared" si="82"/>
        <v/>
      </c>
      <c r="G678" s="6"/>
      <c r="H678" s="20" t="str">
        <f t="shared" si="83"/>
        <v/>
      </c>
      <c r="I678" s="21"/>
      <c r="J678" s="22" t="str">
        <f t="shared" si="84"/>
        <v/>
      </c>
      <c r="K678" s="20" t="str">
        <f t="shared" si="85"/>
        <v/>
      </c>
      <c r="L678" s="20" t="str">
        <f t="shared" si="86"/>
        <v/>
      </c>
      <c r="M678" s="6"/>
      <c r="N678" s="19" t="str">
        <f t="shared" si="87"/>
        <v/>
      </c>
      <c r="O678" s="23" t="str">
        <f>IF(B678="","",TRIM(IF(COUNTIF('Registru comenzi'!$B$5:$B$304,B678)=0,"Comandă inexistentă în registru. ","")&amp;IF(AND(D678&lt;&gt;"",E678=""),"Cod necunoscut. ","")&amp;IF(N(G678)&lt;=0,"Lipsește cantitatea. ","")&amp;IF(N(M678)&gt;N(G678),"Livrat mai mult decât s-a comandat. ","")&amp;IF(N(I678)&gt;0.3,"Discount neobișnuit de mare. ","")))</f>
        <v/>
      </c>
    </row>
    <row r="679" spans="1:15" x14ac:dyDescent="0.2">
      <c r="A679" s="1" t="str">
        <f t="shared" si="80"/>
        <v/>
      </c>
      <c r="B679" s="17"/>
      <c r="C679" s="18" t="str">
        <f>IF(B679="","",COUNTIF(INDEX($B:$B,5):B679,B679))</f>
        <v/>
      </c>
      <c r="D679" s="17"/>
      <c r="E679" s="19" t="str">
        <f t="shared" si="81"/>
        <v/>
      </c>
      <c r="F679" s="18" t="str">
        <f t="shared" si="82"/>
        <v/>
      </c>
      <c r="G679" s="6"/>
      <c r="H679" s="20" t="str">
        <f t="shared" si="83"/>
        <v/>
      </c>
      <c r="I679" s="21"/>
      <c r="J679" s="22" t="str">
        <f t="shared" si="84"/>
        <v/>
      </c>
      <c r="K679" s="20" t="str">
        <f t="shared" si="85"/>
        <v/>
      </c>
      <c r="L679" s="20" t="str">
        <f t="shared" si="86"/>
        <v/>
      </c>
      <c r="M679" s="6"/>
      <c r="N679" s="19" t="str">
        <f t="shared" si="87"/>
        <v/>
      </c>
      <c r="O679" s="23" t="str">
        <f>IF(B679="","",TRIM(IF(COUNTIF('Registru comenzi'!$B$5:$B$304,B679)=0,"Comandă inexistentă în registru. ","")&amp;IF(AND(D679&lt;&gt;"",E679=""),"Cod necunoscut. ","")&amp;IF(N(G679)&lt;=0,"Lipsește cantitatea. ","")&amp;IF(N(M679)&gt;N(G679),"Livrat mai mult decât s-a comandat. ","")&amp;IF(N(I679)&gt;0.3,"Discount neobișnuit de mare. ","")))</f>
        <v/>
      </c>
    </row>
    <row r="680" spans="1:15" x14ac:dyDescent="0.2">
      <c r="A680" s="1" t="str">
        <f t="shared" si="80"/>
        <v/>
      </c>
      <c r="B680" s="17"/>
      <c r="C680" s="18" t="str">
        <f>IF(B680="","",COUNTIF(INDEX($B:$B,5):B680,B680))</f>
        <v/>
      </c>
      <c r="D680" s="17"/>
      <c r="E680" s="19" t="str">
        <f t="shared" si="81"/>
        <v/>
      </c>
      <c r="F680" s="18" t="str">
        <f t="shared" si="82"/>
        <v/>
      </c>
      <c r="G680" s="6"/>
      <c r="H680" s="20" t="str">
        <f t="shared" si="83"/>
        <v/>
      </c>
      <c r="I680" s="21"/>
      <c r="J680" s="22" t="str">
        <f t="shared" si="84"/>
        <v/>
      </c>
      <c r="K680" s="20" t="str">
        <f t="shared" si="85"/>
        <v/>
      </c>
      <c r="L680" s="20" t="str">
        <f t="shared" si="86"/>
        <v/>
      </c>
      <c r="M680" s="6"/>
      <c r="N680" s="19" t="str">
        <f t="shared" si="87"/>
        <v/>
      </c>
      <c r="O680" s="23" t="str">
        <f>IF(B680="","",TRIM(IF(COUNTIF('Registru comenzi'!$B$5:$B$304,B680)=0,"Comandă inexistentă în registru. ","")&amp;IF(AND(D680&lt;&gt;"",E680=""),"Cod necunoscut. ","")&amp;IF(N(G680)&lt;=0,"Lipsește cantitatea. ","")&amp;IF(N(M680)&gt;N(G680),"Livrat mai mult decât s-a comandat. ","")&amp;IF(N(I680)&gt;0.3,"Discount neobișnuit de mare. ","")))</f>
        <v/>
      </c>
    </row>
    <row r="681" spans="1:15" x14ac:dyDescent="0.2">
      <c r="A681" s="1" t="str">
        <f t="shared" si="80"/>
        <v/>
      </c>
      <c r="B681" s="17"/>
      <c r="C681" s="18" t="str">
        <f>IF(B681="","",COUNTIF(INDEX($B:$B,5):B681,B681))</f>
        <v/>
      </c>
      <c r="D681" s="17"/>
      <c r="E681" s="19" t="str">
        <f t="shared" si="81"/>
        <v/>
      </c>
      <c r="F681" s="18" t="str">
        <f t="shared" si="82"/>
        <v/>
      </c>
      <c r="G681" s="6"/>
      <c r="H681" s="20" t="str">
        <f t="shared" si="83"/>
        <v/>
      </c>
      <c r="I681" s="21"/>
      <c r="J681" s="22" t="str">
        <f t="shared" si="84"/>
        <v/>
      </c>
      <c r="K681" s="20" t="str">
        <f t="shared" si="85"/>
        <v/>
      </c>
      <c r="L681" s="20" t="str">
        <f t="shared" si="86"/>
        <v/>
      </c>
      <c r="M681" s="6"/>
      <c r="N681" s="19" t="str">
        <f t="shared" si="87"/>
        <v/>
      </c>
      <c r="O681" s="23" t="str">
        <f>IF(B681="","",TRIM(IF(COUNTIF('Registru comenzi'!$B$5:$B$304,B681)=0,"Comandă inexistentă în registru. ","")&amp;IF(AND(D681&lt;&gt;"",E681=""),"Cod necunoscut. ","")&amp;IF(N(G681)&lt;=0,"Lipsește cantitatea. ","")&amp;IF(N(M681)&gt;N(G681),"Livrat mai mult decât s-a comandat. ","")&amp;IF(N(I681)&gt;0.3,"Discount neobișnuit de mare. ","")))</f>
        <v/>
      </c>
    </row>
    <row r="682" spans="1:15" x14ac:dyDescent="0.2">
      <c r="A682" s="1" t="str">
        <f t="shared" si="80"/>
        <v/>
      </c>
      <c r="B682" s="17"/>
      <c r="C682" s="18" t="str">
        <f>IF(B682="","",COUNTIF(INDEX($B:$B,5):B682,B682))</f>
        <v/>
      </c>
      <c r="D682" s="17"/>
      <c r="E682" s="19" t="str">
        <f t="shared" si="81"/>
        <v/>
      </c>
      <c r="F682" s="18" t="str">
        <f t="shared" si="82"/>
        <v/>
      </c>
      <c r="G682" s="6"/>
      <c r="H682" s="20" t="str">
        <f t="shared" si="83"/>
        <v/>
      </c>
      <c r="I682" s="21"/>
      <c r="J682" s="22" t="str">
        <f t="shared" si="84"/>
        <v/>
      </c>
      <c r="K682" s="20" t="str">
        <f t="shared" si="85"/>
        <v/>
      </c>
      <c r="L682" s="20" t="str">
        <f t="shared" si="86"/>
        <v/>
      </c>
      <c r="M682" s="6"/>
      <c r="N682" s="19" t="str">
        <f t="shared" si="87"/>
        <v/>
      </c>
      <c r="O682" s="23" t="str">
        <f>IF(B682="","",TRIM(IF(COUNTIF('Registru comenzi'!$B$5:$B$304,B682)=0,"Comandă inexistentă în registru. ","")&amp;IF(AND(D682&lt;&gt;"",E682=""),"Cod necunoscut. ","")&amp;IF(N(G682)&lt;=0,"Lipsește cantitatea. ","")&amp;IF(N(M682)&gt;N(G682),"Livrat mai mult decât s-a comandat. ","")&amp;IF(N(I682)&gt;0.3,"Discount neobișnuit de mare. ","")))</f>
        <v/>
      </c>
    </row>
    <row r="683" spans="1:15" x14ac:dyDescent="0.2">
      <c r="A683" s="1" t="str">
        <f t="shared" si="80"/>
        <v/>
      </c>
      <c r="B683" s="17"/>
      <c r="C683" s="18" t="str">
        <f>IF(B683="","",COUNTIF(INDEX($B:$B,5):B683,B683))</f>
        <v/>
      </c>
      <c r="D683" s="17"/>
      <c r="E683" s="19" t="str">
        <f t="shared" si="81"/>
        <v/>
      </c>
      <c r="F683" s="18" t="str">
        <f t="shared" si="82"/>
        <v/>
      </c>
      <c r="G683" s="6"/>
      <c r="H683" s="20" t="str">
        <f t="shared" si="83"/>
        <v/>
      </c>
      <c r="I683" s="21"/>
      <c r="J683" s="22" t="str">
        <f t="shared" si="84"/>
        <v/>
      </c>
      <c r="K683" s="20" t="str">
        <f t="shared" si="85"/>
        <v/>
      </c>
      <c r="L683" s="20" t="str">
        <f t="shared" si="86"/>
        <v/>
      </c>
      <c r="M683" s="6"/>
      <c r="N683" s="19" t="str">
        <f t="shared" si="87"/>
        <v/>
      </c>
      <c r="O683" s="23" t="str">
        <f>IF(B683="","",TRIM(IF(COUNTIF('Registru comenzi'!$B$5:$B$304,B683)=0,"Comandă inexistentă în registru. ","")&amp;IF(AND(D683&lt;&gt;"",E683=""),"Cod necunoscut. ","")&amp;IF(N(G683)&lt;=0,"Lipsește cantitatea. ","")&amp;IF(N(M683)&gt;N(G683),"Livrat mai mult decât s-a comandat. ","")&amp;IF(N(I683)&gt;0.3,"Discount neobișnuit de mare. ","")))</f>
        <v/>
      </c>
    </row>
    <row r="684" spans="1:15" x14ac:dyDescent="0.2">
      <c r="A684" s="1" t="str">
        <f t="shared" si="80"/>
        <v/>
      </c>
      <c r="B684" s="17"/>
      <c r="C684" s="18" t="str">
        <f>IF(B684="","",COUNTIF(INDEX($B:$B,5):B684,B684))</f>
        <v/>
      </c>
      <c r="D684" s="17"/>
      <c r="E684" s="19" t="str">
        <f t="shared" si="81"/>
        <v/>
      </c>
      <c r="F684" s="18" t="str">
        <f t="shared" si="82"/>
        <v/>
      </c>
      <c r="G684" s="6"/>
      <c r="H684" s="20" t="str">
        <f t="shared" si="83"/>
        <v/>
      </c>
      <c r="I684" s="21"/>
      <c r="J684" s="22" t="str">
        <f t="shared" si="84"/>
        <v/>
      </c>
      <c r="K684" s="20" t="str">
        <f t="shared" si="85"/>
        <v/>
      </c>
      <c r="L684" s="20" t="str">
        <f t="shared" si="86"/>
        <v/>
      </c>
      <c r="M684" s="6"/>
      <c r="N684" s="19" t="str">
        <f t="shared" si="87"/>
        <v/>
      </c>
      <c r="O684" s="23" t="str">
        <f>IF(B684="","",TRIM(IF(COUNTIF('Registru comenzi'!$B$5:$B$304,B684)=0,"Comandă inexistentă în registru. ","")&amp;IF(AND(D684&lt;&gt;"",E684=""),"Cod necunoscut. ","")&amp;IF(N(G684)&lt;=0,"Lipsește cantitatea. ","")&amp;IF(N(M684)&gt;N(G684),"Livrat mai mult decât s-a comandat. ","")&amp;IF(N(I684)&gt;0.3,"Discount neobișnuit de mare. ","")))</f>
        <v/>
      </c>
    </row>
    <row r="685" spans="1:15" x14ac:dyDescent="0.2">
      <c r="A685" s="1" t="str">
        <f t="shared" si="80"/>
        <v/>
      </c>
      <c r="B685" s="17"/>
      <c r="C685" s="18" t="str">
        <f>IF(B685="","",COUNTIF(INDEX($B:$B,5):B685,B685))</f>
        <v/>
      </c>
      <c r="D685" s="17"/>
      <c r="E685" s="19" t="str">
        <f t="shared" si="81"/>
        <v/>
      </c>
      <c r="F685" s="18" t="str">
        <f t="shared" si="82"/>
        <v/>
      </c>
      <c r="G685" s="6"/>
      <c r="H685" s="20" t="str">
        <f t="shared" si="83"/>
        <v/>
      </c>
      <c r="I685" s="21"/>
      <c r="J685" s="22" t="str">
        <f t="shared" si="84"/>
        <v/>
      </c>
      <c r="K685" s="20" t="str">
        <f t="shared" si="85"/>
        <v/>
      </c>
      <c r="L685" s="20" t="str">
        <f t="shared" si="86"/>
        <v/>
      </c>
      <c r="M685" s="6"/>
      <c r="N685" s="19" t="str">
        <f t="shared" si="87"/>
        <v/>
      </c>
      <c r="O685" s="23" t="str">
        <f>IF(B685="","",TRIM(IF(COUNTIF('Registru comenzi'!$B$5:$B$304,B685)=0,"Comandă inexistentă în registru. ","")&amp;IF(AND(D685&lt;&gt;"",E685=""),"Cod necunoscut. ","")&amp;IF(N(G685)&lt;=0,"Lipsește cantitatea. ","")&amp;IF(N(M685)&gt;N(G685),"Livrat mai mult decât s-a comandat. ","")&amp;IF(N(I685)&gt;0.3,"Discount neobișnuit de mare. ","")))</f>
        <v/>
      </c>
    </row>
    <row r="686" spans="1:15" x14ac:dyDescent="0.2">
      <c r="A686" s="1" t="str">
        <f t="shared" si="80"/>
        <v/>
      </c>
      <c r="B686" s="17"/>
      <c r="C686" s="18" t="str">
        <f>IF(B686="","",COUNTIF(INDEX($B:$B,5):B686,B686))</f>
        <v/>
      </c>
      <c r="D686" s="17"/>
      <c r="E686" s="19" t="str">
        <f t="shared" si="81"/>
        <v/>
      </c>
      <c r="F686" s="18" t="str">
        <f t="shared" si="82"/>
        <v/>
      </c>
      <c r="G686" s="6"/>
      <c r="H686" s="20" t="str">
        <f t="shared" si="83"/>
        <v/>
      </c>
      <c r="I686" s="21"/>
      <c r="J686" s="22" t="str">
        <f t="shared" si="84"/>
        <v/>
      </c>
      <c r="K686" s="20" t="str">
        <f t="shared" si="85"/>
        <v/>
      </c>
      <c r="L686" s="20" t="str">
        <f t="shared" si="86"/>
        <v/>
      </c>
      <c r="M686" s="6"/>
      <c r="N686" s="19" t="str">
        <f t="shared" si="87"/>
        <v/>
      </c>
      <c r="O686" s="23" t="str">
        <f>IF(B686="","",TRIM(IF(COUNTIF('Registru comenzi'!$B$5:$B$304,B686)=0,"Comandă inexistentă în registru. ","")&amp;IF(AND(D686&lt;&gt;"",E686=""),"Cod necunoscut. ","")&amp;IF(N(G686)&lt;=0,"Lipsește cantitatea. ","")&amp;IF(N(M686)&gt;N(G686),"Livrat mai mult decât s-a comandat. ","")&amp;IF(N(I686)&gt;0.3,"Discount neobișnuit de mare. ","")))</f>
        <v/>
      </c>
    </row>
    <row r="687" spans="1:15" x14ac:dyDescent="0.2">
      <c r="A687" s="1" t="str">
        <f t="shared" si="80"/>
        <v/>
      </c>
      <c r="B687" s="17"/>
      <c r="C687" s="18" t="str">
        <f>IF(B687="","",COUNTIF(INDEX($B:$B,5):B687,B687))</f>
        <v/>
      </c>
      <c r="D687" s="17"/>
      <c r="E687" s="19" t="str">
        <f t="shared" si="81"/>
        <v/>
      </c>
      <c r="F687" s="18" t="str">
        <f t="shared" si="82"/>
        <v/>
      </c>
      <c r="G687" s="6"/>
      <c r="H687" s="20" t="str">
        <f t="shared" si="83"/>
        <v/>
      </c>
      <c r="I687" s="21"/>
      <c r="J687" s="22" t="str">
        <f t="shared" si="84"/>
        <v/>
      </c>
      <c r="K687" s="20" t="str">
        <f t="shared" si="85"/>
        <v/>
      </c>
      <c r="L687" s="20" t="str">
        <f t="shared" si="86"/>
        <v/>
      </c>
      <c r="M687" s="6"/>
      <c r="N687" s="19" t="str">
        <f t="shared" si="87"/>
        <v/>
      </c>
      <c r="O687" s="23" t="str">
        <f>IF(B687="","",TRIM(IF(COUNTIF('Registru comenzi'!$B$5:$B$304,B687)=0,"Comandă inexistentă în registru. ","")&amp;IF(AND(D687&lt;&gt;"",E687=""),"Cod necunoscut. ","")&amp;IF(N(G687)&lt;=0,"Lipsește cantitatea. ","")&amp;IF(N(M687)&gt;N(G687),"Livrat mai mult decât s-a comandat. ","")&amp;IF(N(I687)&gt;0.3,"Discount neobișnuit de mare. ","")))</f>
        <v/>
      </c>
    </row>
    <row r="688" spans="1:15" x14ac:dyDescent="0.2">
      <c r="A688" s="1" t="str">
        <f t="shared" si="80"/>
        <v/>
      </c>
      <c r="B688" s="17"/>
      <c r="C688" s="18" t="str">
        <f>IF(B688="","",COUNTIF(INDEX($B:$B,5):B688,B688))</f>
        <v/>
      </c>
      <c r="D688" s="17"/>
      <c r="E688" s="19" t="str">
        <f t="shared" si="81"/>
        <v/>
      </c>
      <c r="F688" s="18" t="str">
        <f t="shared" si="82"/>
        <v/>
      </c>
      <c r="G688" s="6"/>
      <c r="H688" s="20" t="str">
        <f t="shared" si="83"/>
        <v/>
      </c>
      <c r="I688" s="21"/>
      <c r="J688" s="22" t="str">
        <f t="shared" si="84"/>
        <v/>
      </c>
      <c r="K688" s="20" t="str">
        <f t="shared" si="85"/>
        <v/>
      </c>
      <c r="L688" s="20" t="str">
        <f t="shared" si="86"/>
        <v/>
      </c>
      <c r="M688" s="6"/>
      <c r="N688" s="19" t="str">
        <f t="shared" si="87"/>
        <v/>
      </c>
      <c r="O688" s="23" t="str">
        <f>IF(B688="","",TRIM(IF(COUNTIF('Registru comenzi'!$B$5:$B$304,B688)=0,"Comandă inexistentă în registru. ","")&amp;IF(AND(D688&lt;&gt;"",E688=""),"Cod necunoscut. ","")&amp;IF(N(G688)&lt;=0,"Lipsește cantitatea. ","")&amp;IF(N(M688)&gt;N(G688),"Livrat mai mult decât s-a comandat. ","")&amp;IF(N(I688)&gt;0.3,"Discount neobișnuit de mare. ","")))</f>
        <v/>
      </c>
    </row>
    <row r="689" spans="1:15" x14ac:dyDescent="0.2">
      <c r="A689" s="1" t="str">
        <f t="shared" si="80"/>
        <v/>
      </c>
      <c r="B689" s="17"/>
      <c r="C689" s="18" t="str">
        <f>IF(B689="","",COUNTIF(INDEX($B:$B,5):B689,B689))</f>
        <v/>
      </c>
      <c r="D689" s="17"/>
      <c r="E689" s="19" t="str">
        <f t="shared" si="81"/>
        <v/>
      </c>
      <c r="F689" s="18" t="str">
        <f t="shared" si="82"/>
        <v/>
      </c>
      <c r="G689" s="6"/>
      <c r="H689" s="20" t="str">
        <f t="shared" si="83"/>
        <v/>
      </c>
      <c r="I689" s="21"/>
      <c r="J689" s="22" t="str">
        <f t="shared" si="84"/>
        <v/>
      </c>
      <c r="K689" s="20" t="str">
        <f t="shared" si="85"/>
        <v/>
      </c>
      <c r="L689" s="20" t="str">
        <f t="shared" si="86"/>
        <v/>
      </c>
      <c r="M689" s="6"/>
      <c r="N689" s="19" t="str">
        <f t="shared" si="87"/>
        <v/>
      </c>
      <c r="O689" s="23" t="str">
        <f>IF(B689="","",TRIM(IF(COUNTIF('Registru comenzi'!$B$5:$B$304,B689)=0,"Comandă inexistentă în registru. ","")&amp;IF(AND(D689&lt;&gt;"",E689=""),"Cod necunoscut. ","")&amp;IF(N(G689)&lt;=0,"Lipsește cantitatea. ","")&amp;IF(N(M689)&gt;N(G689),"Livrat mai mult decât s-a comandat. ","")&amp;IF(N(I689)&gt;0.3,"Discount neobișnuit de mare. ","")))</f>
        <v/>
      </c>
    </row>
    <row r="690" spans="1:15" x14ac:dyDescent="0.2">
      <c r="A690" s="1" t="str">
        <f t="shared" si="80"/>
        <v/>
      </c>
      <c r="B690" s="17"/>
      <c r="C690" s="18" t="str">
        <f>IF(B690="","",COUNTIF(INDEX($B:$B,5):B690,B690))</f>
        <v/>
      </c>
      <c r="D690" s="17"/>
      <c r="E690" s="19" t="str">
        <f t="shared" si="81"/>
        <v/>
      </c>
      <c r="F690" s="18" t="str">
        <f t="shared" si="82"/>
        <v/>
      </c>
      <c r="G690" s="6"/>
      <c r="H690" s="20" t="str">
        <f t="shared" si="83"/>
        <v/>
      </c>
      <c r="I690" s="21"/>
      <c r="J690" s="22" t="str">
        <f t="shared" si="84"/>
        <v/>
      </c>
      <c r="K690" s="20" t="str">
        <f t="shared" si="85"/>
        <v/>
      </c>
      <c r="L690" s="20" t="str">
        <f t="shared" si="86"/>
        <v/>
      </c>
      <c r="M690" s="6"/>
      <c r="N690" s="19" t="str">
        <f t="shared" si="87"/>
        <v/>
      </c>
      <c r="O690" s="23" t="str">
        <f>IF(B690="","",TRIM(IF(COUNTIF('Registru comenzi'!$B$5:$B$304,B690)=0,"Comandă inexistentă în registru. ","")&amp;IF(AND(D690&lt;&gt;"",E690=""),"Cod necunoscut. ","")&amp;IF(N(G690)&lt;=0,"Lipsește cantitatea. ","")&amp;IF(N(M690)&gt;N(G690),"Livrat mai mult decât s-a comandat. ","")&amp;IF(N(I690)&gt;0.3,"Discount neobișnuit de mare. ","")))</f>
        <v/>
      </c>
    </row>
    <row r="691" spans="1:15" x14ac:dyDescent="0.2">
      <c r="A691" s="1" t="str">
        <f t="shared" si="80"/>
        <v/>
      </c>
      <c r="B691" s="17"/>
      <c r="C691" s="18" t="str">
        <f>IF(B691="","",COUNTIF(INDEX($B:$B,5):B691,B691))</f>
        <v/>
      </c>
      <c r="D691" s="17"/>
      <c r="E691" s="19" t="str">
        <f t="shared" si="81"/>
        <v/>
      </c>
      <c r="F691" s="18" t="str">
        <f t="shared" si="82"/>
        <v/>
      </c>
      <c r="G691" s="6"/>
      <c r="H691" s="20" t="str">
        <f t="shared" si="83"/>
        <v/>
      </c>
      <c r="I691" s="21"/>
      <c r="J691" s="22" t="str">
        <f t="shared" si="84"/>
        <v/>
      </c>
      <c r="K691" s="20" t="str">
        <f t="shared" si="85"/>
        <v/>
      </c>
      <c r="L691" s="20" t="str">
        <f t="shared" si="86"/>
        <v/>
      </c>
      <c r="M691" s="6"/>
      <c r="N691" s="19" t="str">
        <f t="shared" si="87"/>
        <v/>
      </c>
      <c r="O691" s="23" t="str">
        <f>IF(B691="","",TRIM(IF(COUNTIF('Registru comenzi'!$B$5:$B$304,B691)=0,"Comandă inexistentă în registru. ","")&amp;IF(AND(D691&lt;&gt;"",E691=""),"Cod necunoscut. ","")&amp;IF(N(G691)&lt;=0,"Lipsește cantitatea. ","")&amp;IF(N(M691)&gt;N(G691),"Livrat mai mult decât s-a comandat. ","")&amp;IF(N(I691)&gt;0.3,"Discount neobișnuit de mare. ","")))</f>
        <v/>
      </c>
    </row>
    <row r="692" spans="1:15" x14ac:dyDescent="0.2">
      <c r="A692" s="1" t="str">
        <f t="shared" si="80"/>
        <v/>
      </c>
      <c r="B692" s="17"/>
      <c r="C692" s="18" t="str">
        <f>IF(B692="","",COUNTIF(INDEX($B:$B,5):B692,B692))</f>
        <v/>
      </c>
      <c r="D692" s="17"/>
      <c r="E692" s="19" t="str">
        <f t="shared" si="81"/>
        <v/>
      </c>
      <c r="F692" s="18" t="str">
        <f t="shared" si="82"/>
        <v/>
      </c>
      <c r="G692" s="6"/>
      <c r="H692" s="20" t="str">
        <f t="shared" si="83"/>
        <v/>
      </c>
      <c r="I692" s="21"/>
      <c r="J692" s="22" t="str">
        <f t="shared" si="84"/>
        <v/>
      </c>
      <c r="K692" s="20" t="str">
        <f t="shared" si="85"/>
        <v/>
      </c>
      <c r="L692" s="20" t="str">
        <f t="shared" si="86"/>
        <v/>
      </c>
      <c r="M692" s="6"/>
      <c r="N692" s="19" t="str">
        <f t="shared" si="87"/>
        <v/>
      </c>
      <c r="O692" s="23" t="str">
        <f>IF(B692="","",TRIM(IF(COUNTIF('Registru comenzi'!$B$5:$B$304,B692)=0,"Comandă inexistentă în registru. ","")&amp;IF(AND(D692&lt;&gt;"",E692=""),"Cod necunoscut. ","")&amp;IF(N(G692)&lt;=0,"Lipsește cantitatea. ","")&amp;IF(N(M692)&gt;N(G692),"Livrat mai mult decât s-a comandat. ","")&amp;IF(N(I692)&gt;0.3,"Discount neobișnuit de mare. ","")))</f>
        <v/>
      </c>
    </row>
    <row r="693" spans="1:15" x14ac:dyDescent="0.2">
      <c r="A693" s="1" t="str">
        <f t="shared" si="80"/>
        <v/>
      </c>
      <c r="B693" s="17"/>
      <c r="C693" s="18" t="str">
        <f>IF(B693="","",COUNTIF(INDEX($B:$B,5):B693,B693))</f>
        <v/>
      </c>
      <c r="D693" s="17"/>
      <c r="E693" s="19" t="str">
        <f t="shared" si="81"/>
        <v/>
      </c>
      <c r="F693" s="18" t="str">
        <f t="shared" si="82"/>
        <v/>
      </c>
      <c r="G693" s="6"/>
      <c r="H693" s="20" t="str">
        <f t="shared" si="83"/>
        <v/>
      </c>
      <c r="I693" s="21"/>
      <c r="J693" s="22" t="str">
        <f t="shared" si="84"/>
        <v/>
      </c>
      <c r="K693" s="20" t="str">
        <f t="shared" si="85"/>
        <v/>
      </c>
      <c r="L693" s="20" t="str">
        <f t="shared" si="86"/>
        <v/>
      </c>
      <c r="M693" s="6"/>
      <c r="N693" s="19" t="str">
        <f t="shared" si="87"/>
        <v/>
      </c>
      <c r="O693" s="23" t="str">
        <f>IF(B693="","",TRIM(IF(COUNTIF('Registru comenzi'!$B$5:$B$304,B693)=0,"Comandă inexistentă în registru. ","")&amp;IF(AND(D693&lt;&gt;"",E693=""),"Cod necunoscut. ","")&amp;IF(N(G693)&lt;=0,"Lipsește cantitatea. ","")&amp;IF(N(M693)&gt;N(G693),"Livrat mai mult decât s-a comandat. ","")&amp;IF(N(I693)&gt;0.3,"Discount neobișnuit de mare. ","")))</f>
        <v/>
      </c>
    </row>
    <row r="694" spans="1:15" x14ac:dyDescent="0.2">
      <c r="A694" s="1" t="str">
        <f t="shared" si="80"/>
        <v/>
      </c>
      <c r="B694" s="17"/>
      <c r="C694" s="18" t="str">
        <f>IF(B694="","",COUNTIF(INDEX($B:$B,5):B694,B694))</f>
        <v/>
      </c>
      <c r="D694" s="17"/>
      <c r="E694" s="19" t="str">
        <f t="shared" si="81"/>
        <v/>
      </c>
      <c r="F694" s="18" t="str">
        <f t="shared" si="82"/>
        <v/>
      </c>
      <c r="G694" s="6"/>
      <c r="H694" s="20" t="str">
        <f t="shared" si="83"/>
        <v/>
      </c>
      <c r="I694" s="21"/>
      <c r="J694" s="22" t="str">
        <f t="shared" si="84"/>
        <v/>
      </c>
      <c r="K694" s="20" t="str">
        <f t="shared" si="85"/>
        <v/>
      </c>
      <c r="L694" s="20" t="str">
        <f t="shared" si="86"/>
        <v/>
      </c>
      <c r="M694" s="6"/>
      <c r="N694" s="19" t="str">
        <f t="shared" si="87"/>
        <v/>
      </c>
      <c r="O694" s="23" t="str">
        <f>IF(B694="","",TRIM(IF(COUNTIF('Registru comenzi'!$B$5:$B$304,B694)=0,"Comandă inexistentă în registru. ","")&amp;IF(AND(D694&lt;&gt;"",E694=""),"Cod necunoscut. ","")&amp;IF(N(G694)&lt;=0,"Lipsește cantitatea. ","")&amp;IF(N(M694)&gt;N(G694),"Livrat mai mult decât s-a comandat. ","")&amp;IF(N(I694)&gt;0.3,"Discount neobișnuit de mare. ","")))</f>
        <v/>
      </c>
    </row>
    <row r="695" spans="1:15" x14ac:dyDescent="0.2">
      <c r="A695" s="1" t="str">
        <f t="shared" si="80"/>
        <v/>
      </c>
      <c r="B695" s="17"/>
      <c r="C695" s="18" t="str">
        <f>IF(B695="","",COUNTIF(INDEX($B:$B,5):B695,B695))</f>
        <v/>
      </c>
      <c r="D695" s="17"/>
      <c r="E695" s="19" t="str">
        <f t="shared" si="81"/>
        <v/>
      </c>
      <c r="F695" s="18" t="str">
        <f t="shared" si="82"/>
        <v/>
      </c>
      <c r="G695" s="6"/>
      <c r="H695" s="20" t="str">
        <f t="shared" si="83"/>
        <v/>
      </c>
      <c r="I695" s="21"/>
      <c r="J695" s="22" t="str">
        <f t="shared" si="84"/>
        <v/>
      </c>
      <c r="K695" s="20" t="str">
        <f t="shared" si="85"/>
        <v/>
      </c>
      <c r="L695" s="20" t="str">
        <f t="shared" si="86"/>
        <v/>
      </c>
      <c r="M695" s="6"/>
      <c r="N695" s="19" t="str">
        <f t="shared" si="87"/>
        <v/>
      </c>
      <c r="O695" s="23" t="str">
        <f>IF(B695="","",TRIM(IF(COUNTIF('Registru comenzi'!$B$5:$B$304,B695)=0,"Comandă inexistentă în registru. ","")&amp;IF(AND(D695&lt;&gt;"",E695=""),"Cod necunoscut. ","")&amp;IF(N(G695)&lt;=0,"Lipsește cantitatea. ","")&amp;IF(N(M695)&gt;N(G695),"Livrat mai mult decât s-a comandat. ","")&amp;IF(N(I695)&gt;0.3,"Discount neobișnuit de mare. ","")))</f>
        <v/>
      </c>
    </row>
    <row r="696" spans="1:15" x14ac:dyDescent="0.2">
      <c r="A696" s="1" t="str">
        <f t="shared" si="80"/>
        <v/>
      </c>
      <c r="B696" s="17"/>
      <c r="C696" s="18" t="str">
        <f>IF(B696="","",COUNTIF(INDEX($B:$B,5):B696,B696))</f>
        <v/>
      </c>
      <c r="D696" s="17"/>
      <c r="E696" s="19" t="str">
        <f t="shared" si="81"/>
        <v/>
      </c>
      <c r="F696" s="18" t="str">
        <f t="shared" si="82"/>
        <v/>
      </c>
      <c r="G696" s="6"/>
      <c r="H696" s="20" t="str">
        <f t="shared" si="83"/>
        <v/>
      </c>
      <c r="I696" s="21"/>
      <c r="J696" s="22" t="str">
        <f t="shared" si="84"/>
        <v/>
      </c>
      <c r="K696" s="20" t="str">
        <f t="shared" si="85"/>
        <v/>
      </c>
      <c r="L696" s="20" t="str">
        <f t="shared" si="86"/>
        <v/>
      </c>
      <c r="M696" s="6"/>
      <c r="N696" s="19" t="str">
        <f t="shared" si="87"/>
        <v/>
      </c>
      <c r="O696" s="23" t="str">
        <f>IF(B696="","",TRIM(IF(COUNTIF('Registru comenzi'!$B$5:$B$304,B696)=0,"Comandă inexistentă în registru. ","")&amp;IF(AND(D696&lt;&gt;"",E696=""),"Cod necunoscut. ","")&amp;IF(N(G696)&lt;=0,"Lipsește cantitatea. ","")&amp;IF(N(M696)&gt;N(G696),"Livrat mai mult decât s-a comandat. ","")&amp;IF(N(I696)&gt;0.3,"Discount neobișnuit de mare. ","")))</f>
        <v/>
      </c>
    </row>
    <row r="697" spans="1:15" x14ac:dyDescent="0.2">
      <c r="A697" s="1" t="str">
        <f t="shared" si="80"/>
        <v/>
      </c>
      <c r="B697" s="17"/>
      <c r="C697" s="18" t="str">
        <f>IF(B697="","",COUNTIF(INDEX($B:$B,5):B697,B697))</f>
        <v/>
      </c>
      <c r="D697" s="17"/>
      <c r="E697" s="19" t="str">
        <f t="shared" si="81"/>
        <v/>
      </c>
      <c r="F697" s="18" t="str">
        <f t="shared" si="82"/>
        <v/>
      </c>
      <c r="G697" s="6"/>
      <c r="H697" s="20" t="str">
        <f t="shared" si="83"/>
        <v/>
      </c>
      <c r="I697" s="21"/>
      <c r="J697" s="22" t="str">
        <f t="shared" si="84"/>
        <v/>
      </c>
      <c r="K697" s="20" t="str">
        <f t="shared" si="85"/>
        <v/>
      </c>
      <c r="L697" s="20" t="str">
        <f t="shared" si="86"/>
        <v/>
      </c>
      <c r="M697" s="6"/>
      <c r="N697" s="19" t="str">
        <f t="shared" si="87"/>
        <v/>
      </c>
      <c r="O697" s="23" t="str">
        <f>IF(B697="","",TRIM(IF(COUNTIF('Registru comenzi'!$B$5:$B$304,B697)=0,"Comandă inexistentă în registru. ","")&amp;IF(AND(D697&lt;&gt;"",E697=""),"Cod necunoscut. ","")&amp;IF(N(G697)&lt;=0,"Lipsește cantitatea. ","")&amp;IF(N(M697)&gt;N(G697),"Livrat mai mult decât s-a comandat. ","")&amp;IF(N(I697)&gt;0.3,"Discount neobișnuit de mare. ","")))</f>
        <v/>
      </c>
    </row>
    <row r="698" spans="1:15" x14ac:dyDescent="0.2">
      <c r="A698" s="1" t="str">
        <f t="shared" si="80"/>
        <v/>
      </c>
      <c r="B698" s="17"/>
      <c r="C698" s="18" t="str">
        <f>IF(B698="","",COUNTIF(INDEX($B:$B,5):B698,B698))</f>
        <v/>
      </c>
      <c r="D698" s="17"/>
      <c r="E698" s="19" t="str">
        <f t="shared" si="81"/>
        <v/>
      </c>
      <c r="F698" s="18" t="str">
        <f t="shared" si="82"/>
        <v/>
      </c>
      <c r="G698" s="6"/>
      <c r="H698" s="20" t="str">
        <f t="shared" si="83"/>
        <v/>
      </c>
      <c r="I698" s="21"/>
      <c r="J698" s="22" t="str">
        <f t="shared" si="84"/>
        <v/>
      </c>
      <c r="K698" s="20" t="str">
        <f t="shared" si="85"/>
        <v/>
      </c>
      <c r="L698" s="20" t="str">
        <f t="shared" si="86"/>
        <v/>
      </c>
      <c r="M698" s="6"/>
      <c r="N698" s="19" t="str">
        <f t="shared" si="87"/>
        <v/>
      </c>
      <c r="O698" s="23" t="str">
        <f>IF(B698="","",TRIM(IF(COUNTIF('Registru comenzi'!$B$5:$B$304,B698)=0,"Comandă inexistentă în registru. ","")&amp;IF(AND(D698&lt;&gt;"",E698=""),"Cod necunoscut. ","")&amp;IF(N(G698)&lt;=0,"Lipsește cantitatea. ","")&amp;IF(N(M698)&gt;N(G698),"Livrat mai mult decât s-a comandat. ","")&amp;IF(N(I698)&gt;0.3,"Discount neobișnuit de mare. ","")))</f>
        <v/>
      </c>
    </row>
    <row r="699" spans="1:15" x14ac:dyDescent="0.2">
      <c r="A699" s="1" t="str">
        <f t="shared" si="80"/>
        <v/>
      </c>
      <c r="B699" s="17"/>
      <c r="C699" s="18" t="str">
        <f>IF(B699="","",COUNTIF(INDEX($B:$B,5):B699,B699))</f>
        <v/>
      </c>
      <c r="D699" s="17"/>
      <c r="E699" s="19" t="str">
        <f t="shared" si="81"/>
        <v/>
      </c>
      <c r="F699" s="18" t="str">
        <f t="shared" si="82"/>
        <v/>
      </c>
      <c r="G699" s="6"/>
      <c r="H699" s="20" t="str">
        <f t="shared" si="83"/>
        <v/>
      </c>
      <c r="I699" s="21"/>
      <c r="J699" s="22" t="str">
        <f t="shared" si="84"/>
        <v/>
      </c>
      <c r="K699" s="20" t="str">
        <f t="shared" si="85"/>
        <v/>
      </c>
      <c r="L699" s="20" t="str">
        <f t="shared" si="86"/>
        <v/>
      </c>
      <c r="M699" s="6"/>
      <c r="N699" s="19" t="str">
        <f t="shared" si="87"/>
        <v/>
      </c>
      <c r="O699" s="23" t="str">
        <f>IF(B699="","",TRIM(IF(COUNTIF('Registru comenzi'!$B$5:$B$304,B699)=0,"Comandă inexistentă în registru. ","")&amp;IF(AND(D699&lt;&gt;"",E699=""),"Cod necunoscut. ","")&amp;IF(N(G699)&lt;=0,"Lipsește cantitatea. ","")&amp;IF(N(M699)&gt;N(G699),"Livrat mai mult decât s-a comandat. ","")&amp;IF(N(I699)&gt;0.3,"Discount neobișnuit de mare. ","")))</f>
        <v/>
      </c>
    </row>
    <row r="700" spans="1:15" x14ac:dyDescent="0.2">
      <c r="A700" s="1" t="str">
        <f t="shared" si="80"/>
        <v/>
      </c>
      <c r="B700" s="17"/>
      <c r="C700" s="18" t="str">
        <f>IF(B700="","",COUNTIF(INDEX($B:$B,5):B700,B700))</f>
        <v/>
      </c>
      <c r="D700" s="17"/>
      <c r="E700" s="19" t="str">
        <f t="shared" si="81"/>
        <v/>
      </c>
      <c r="F700" s="18" t="str">
        <f t="shared" si="82"/>
        <v/>
      </c>
      <c r="G700" s="6"/>
      <c r="H700" s="20" t="str">
        <f t="shared" si="83"/>
        <v/>
      </c>
      <c r="I700" s="21"/>
      <c r="J700" s="22" t="str">
        <f t="shared" si="84"/>
        <v/>
      </c>
      <c r="K700" s="20" t="str">
        <f t="shared" si="85"/>
        <v/>
      </c>
      <c r="L700" s="20" t="str">
        <f t="shared" si="86"/>
        <v/>
      </c>
      <c r="M700" s="6"/>
      <c r="N700" s="19" t="str">
        <f t="shared" si="87"/>
        <v/>
      </c>
      <c r="O700" s="23" t="str">
        <f>IF(B700="","",TRIM(IF(COUNTIF('Registru comenzi'!$B$5:$B$304,B700)=0,"Comandă inexistentă în registru. ","")&amp;IF(AND(D700&lt;&gt;"",E700=""),"Cod necunoscut. ","")&amp;IF(N(G700)&lt;=0,"Lipsește cantitatea. ","")&amp;IF(N(M700)&gt;N(G700),"Livrat mai mult decât s-a comandat. ","")&amp;IF(N(I700)&gt;0.3,"Discount neobișnuit de mare. ","")))</f>
        <v/>
      </c>
    </row>
    <row r="701" spans="1:15" x14ac:dyDescent="0.2">
      <c r="A701" s="1" t="str">
        <f t="shared" si="80"/>
        <v/>
      </c>
      <c r="B701" s="17"/>
      <c r="C701" s="18" t="str">
        <f>IF(B701="","",COUNTIF(INDEX($B:$B,5):B701,B701))</f>
        <v/>
      </c>
      <c r="D701" s="17"/>
      <c r="E701" s="19" t="str">
        <f t="shared" si="81"/>
        <v/>
      </c>
      <c r="F701" s="18" t="str">
        <f t="shared" si="82"/>
        <v/>
      </c>
      <c r="G701" s="6"/>
      <c r="H701" s="20" t="str">
        <f t="shared" si="83"/>
        <v/>
      </c>
      <c r="I701" s="21"/>
      <c r="J701" s="22" t="str">
        <f t="shared" si="84"/>
        <v/>
      </c>
      <c r="K701" s="20" t="str">
        <f t="shared" si="85"/>
        <v/>
      </c>
      <c r="L701" s="20" t="str">
        <f t="shared" si="86"/>
        <v/>
      </c>
      <c r="M701" s="6"/>
      <c r="N701" s="19" t="str">
        <f t="shared" si="87"/>
        <v/>
      </c>
      <c r="O701" s="23" t="str">
        <f>IF(B701="","",TRIM(IF(COUNTIF('Registru comenzi'!$B$5:$B$304,B701)=0,"Comandă inexistentă în registru. ","")&amp;IF(AND(D701&lt;&gt;"",E701=""),"Cod necunoscut. ","")&amp;IF(N(G701)&lt;=0,"Lipsește cantitatea. ","")&amp;IF(N(M701)&gt;N(G701),"Livrat mai mult decât s-a comandat. ","")&amp;IF(N(I701)&gt;0.3,"Discount neobișnuit de mare. ","")))</f>
        <v/>
      </c>
    </row>
    <row r="702" spans="1:15" x14ac:dyDescent="0.2">
      <c r="A702" s="1" t="str">
        <f t="shared" si="80"/>
        <v/>
      </c>
      <c r="B702" s="17"/>
      <c r="C702" s="18" t="str">
        <f>IF(B702="","",COUNTIF(INDEX($B:$B,5):B702,B702))</f>
        <v/>
      </c>
      <c r="D702" s="17"/>
      <c r="E702" s="19" t="str">
        <f t="shared" si="81"/>
        <v/>
      </c>
      <c r="F702" s="18" t="str">
        <f t="shared" si="82"/>
        <v/>
      </c>
      <c r="G702" s="6"/>
      <c r="H702" s="20" t="str">
        <f t="shared" si="83"/>
        <v/>
      </c>
      <c r="I702" s="21"/>
      <c r="J702" s="22" t="str">
        <f t="shared" si="84"/>
        <v/>
      </c>
      <c r="K702" s="20" t="str">
        <f t="shared" si="85"/>
        <v/>
      </c>
      <c r="L702" s="20" t="str">
        <f t="shared" si="86"/>
        <v/>
      </c>
      <c r="M702" s="6"/>
      <c r="N702" s="19" t="str">
        <f t="shared" si="87"/>
        <v/>
      </c>
      <c r="O702" s="23" t="str">
        <f>IF(B702="","",TRIM(IF(COUNTIF('Registru comenzi'!$B$5:$B$304,B702)=0,"Comandă inexistentă în registru. ","")&amp;IF(AND(D702&lt;&gt;"",E702=""),"Cod necunoscut. ","")&amp;IF(N(G702)&lt;=0,"Lipsește cantitatea. ","")&amp;IF(N(M702)&gt;N(G702),"Livrat mai mult decât s-a comandat. ","")&amp;IF(N(I702)&gt;0.3,"Discount neobișnuit de mare. ","")))</f>
        <v/>
      </c>
    </row>
    <row r="703" spans="1:15" x14ac:dyDescent="0.2">
      <c r="A703" s="1" t="str">
        <f t="shared" si="80"/>
        <v/>
      </c>
      <c r="B703" s="17"/>
      <c r="C703" s="18" t="str">
        <f>IF(B703="","",COUNTIF(INDEX($B:$B,5):B703,B703))</f>
        <v/>
      </c>
      <c r="D703" s="17"/>
      <c r="E703" s="19" t="str">
        <f t="shared" si="81"/>
        <v/>
      </c>
      <c r="F703" s="18" t="str">
        <f t="shared" si="82"/>
        <v/>
      </c>
      <c r="G703" s="6"/>
      <c r="H703" s="20" t="str">
        <f t="shared" si="83"/>
        <v/>
      </c>
      <c r="I703" s="21"/>
      <c r="J703" s="22" t="str">
        <f t="shared" si="84"/>
        <v/>
      </c>
      <c r="K703" s="20" t="str">
        <f t="shared" si="85"/>
        <v/>
      </c>
      <c r="L703" s="20" t="str">
        <f t="shared" si="86"/>
        <v/>
      </c>
      <c r="M703" s="6"/>
      <c r="N703" s="19" t="str">
        <f t="shared" si="87"/>
        <v/>
      </c>
      <c r="O703" s="23" t="str">
        <f>IF(B703="","",TRIM(IF(COUNTIF('Registru comenzi'!$B$5:$B$304,B703)=0,"Comandă inexistentă în registru. ","")&amp;IF(AND(D703&lt;&gt;"",E703=""),"Cod necunoscut. ","")&amp;IF(N(G703)&lt;=0,"Lipsește cantitatea. ","")&amp;IF(N(M703)&gt;N(G703),"Livrat mai mult decât s-a comandat. ","")&amp;IF(N(I703)&gt;0.3,"Discount neobișnuit de mare. ","")))</f>
        <v/>
      </c>
    </row>
    <row r="704" spans="1:15" x14ac:dyDescent="0.2">
      <c r="A704" s="1" t="str">
        <f t="shared" si="80"/>
        <v/>
      </c>
      <c r="B704" s="17"/>
      <c r="C704" s="18" t="str">
        <f>IF(B704="","",COUNTIF(INDEX($B:$B,5):B704,B704))</f>
        <v/>
      </c>
      <c r="D704" s="17"/>
      <c r="E704" s="19" t="str">
        <f t="shared" si="81"/>
        <v/>
      </c>
      <c r="F704" s="18" t="str">
        <f t="shared" si="82"/>
        <v/>
      </c>
      <c r="G704" s="6"/>
      <c r="H704" s="20" t="str">
        <f t="shared" si="83"/>
        <v/>
      </c>
      <c r="I704" s="21"/>
      <c r="J704" s="22" t="str">
        <f t="shared" si="84"/>
        <v/>
      </c>
      <c r="K704" s="20" t="str">
        <f t="shared" si="85"/>
        <v/>
      </c>
      <c r="L704" s="20" t="str">
        <f t="shared" si="86"/>
        <v/>
      </c>
      <c r="M704" s="6"/>
      <c r="N704" s="19" t="str">
        <f t="shared" si="87"/>
        <v/>
      </c>
      <c r="O704" s="23" t="str">
        <f>IF(B704="","",TRIM(IF(COUNTIF('Registru comenzi'!$B$5:$B$304,B704)=0,"Comandă inexistentă în registru. ","")&amp;IF(AND(D704&lt;&gt;"",E704=""),"Cod necunoscut. ","")&amp;IF(N(G704)&lt;=0,"Lipsește cantitatea. ","")&amp;IF(N(M704)&gt;N(G704),"Livrat mai mult decât s-a comandat. ","")&amp;IF(N(I704)&gt;0.3,"Discount neobișnuit de mare. ","")))</f>
        <v/>
      </c>
    </row>
    <row r="705" spans="1:15" x14ac:dyDescent="0.2">
      <c r="A705" s="1" t="str">
        <f t="shared" si="80"/>
        <v/>
      </c>
      <c r="B705" s="17"/>
      <c r="C705" s="18" t="str">
        <f>IF(B705="","",COUNTIF(INDEX($B:$B,5):B705,B705))</f>
        <v/>
      </c>
      <c r="D705" s="17"/>
      <c r="E705" s="19" t="str">
        <f t="shared" si="81"/>
        <v/>
      </c>
      <c r="F705" s="18" t="str">
        <f t="shared" si="82"/>
        <v/>
      </c>
      <c r="G705" s="6"/>
      <c r="H705" s="20" t="str">
        <f t="shared" si="83"/>
        <v/>
      </c>
      <c r="I705" s="21"/>
      <c r="J705" s="22" t="str">
        <f t="shared" si="84"/>
        <v/>
      </c>
      <c r="K705" s="20" t="str">
        <f t="shared" si="85"/>
        <v/>
      </c>
      <c r="L705" s="20" t="str">
        <f t="shared" si="86"/>
        <v/>
      </c>
      <c r="M705" s="6"/>
      <c r="N705" s="19" t="str">
        <f t="shared" si="87"/>
        <v/>
      </c>
      <c r="O705" s="23" t="str">
        <f>IF(B705="","",TRIM(IF(COUNTIF('Registru comenzi'!$B$5:$B$304,B705)=0,"Comandă inexistentă în registru. ","")&amp;IF(AND(D705&lt;&gt;"",E705=""),"Cod necunoscut. ","")&amp;IF(N(G705)&lt;=0,"Lipsește cantitatea. ","")&amp;IF(N(M705)&gt;N(G705),"Livrat mai mult decât s-a comandat. ","")&amp;IF(N(I705)&gt;0.3,"Discount neobișnuit de mare. ","")))</f>
        <v/>
      </c>
    </row>
    <row r="706" spans="1:15" x14ac:dyDescent="0.2">
      <c r="A706" s="1" t="str">
        <f t="shared" si="80"/>
        <v/>
      </c>
      <c r="B706" s="17"/>
      <c r="C706" s="18" t="str">
        <f>IF(B706="","",COUNTIF(INDEX($B:$B,5):B706,B706))</f>
        <v/>
      </c>
      <c r="D706" s="17"/>
      <c r="E706" s="19" t="str">
        <f t="shared" si="81"/>
        <v/>
      </c>
      <c r="F706" s="18" t="str">
        <f t="shared" si="82"/>
        <v/>
      </c>
      <c r="G706" s="6"/>
      <c r="H706" s="20" t="str">
        <f t="shared" si="83"/>
        <v/>
      </c>
      <c r="I706" s="21"/>
      <c r="J706" s="22" t="str">
        <f t="shared" si="84"/>
        <v/>
      </c>
      <c r="K706" s="20" t="str">
        <f t="shared" si="85"/>
        <v/>
      </c>
      <c r="L706" s="20" t="str">
        <f t="shared" si="86"/>
        <v/>
      </c>
      <c r="M706" s="6"/>
      <c r="N706" s="19" t="str">
        <f t="shared" si="87"/>
        <v/>
      </c>
      <c r="O706" s="23" t="str">
        <f>IF(B706="","",TRIM(IF(COUNTIF('Registru comenzi'!$B$5:$B$304,B706)=0,"Comandă inexistentă în registru. ","")&amp;IF(AND(D706&lt;&gt;"",E706=""),"Cod necunoscut. ","")&amp;IF(N(G706)&lt;=0,"Lipsește cantitatea. ","")&amp;IF(N(M706)&gt;N(G706),"Livrat mai mult decât s-a comandat. ","")&amp;IF(N(I706)&gt;0.3,"Discount neobișnuit de mare. ","")))</f>
        <v/>
      </c>
    </row>
    <row r="707" spans="1:15" x14ac:dyDescent="0.2">
      <c r="A707" s="1" t="str">
        <f t="shared" si="80"/>
        <v/>
      </c>
      <c r="B707" s="17"/>
      <c r="C707" s="18" t="str">
        <f>IF(B707="","",COUNTIF(INDEX($B:$B,5):B707,B707))</f>
        <v/>
      </c>
      <c r="D707" s="17"/>
      <c r="E707" s="19" t="str">
        <f t="shared" si="81"/>
        <v/>
      </c>
      <c r="F707" s="18" t="str">
        <f t="shared" si="82"/>
        <v/>
      </c>
      <c r="G707" s="6"/>
      <c r="H707" s="20" t="str">
        <f t="shared" si="83"/>
        <v/>
      </c>
      <c r="I707" s="21"/>
      <c r="J707" s="22" t="str">
        <f t="shared" si="84"/>
        <v/>
      </c>
      <c r="K707" s="20" t="str">
        <f t="shared" si="85"/>
        <v/>
      </c>
      <c r="L707" s="20" t="str">
        <f t="shared" si="86"/>
        <v/>
      </c>
      <c r="M707" s="6"/>
      <c r="N707" s="19" t="str">
        <f t="shared" si="87"/>
        <v/>
      </c>
      <c r="O707" s="23" t="str">
        <f>IF(B707="","",TRIM(IF(COUNTIF('Registru comenzi'!$B$5:$B$304,B707)=0,"Comandă inexistentă în registru. ","")&amp;IF(AND(D707&lt;&gt;"",E707=""),"Cod necunoscut. ","")&amp;IF(N(G707)&lt;=0,"Lipsește cantitatea. ","")&amp;IF(N(M707)&gt;N(G707),"Livrat mai mult decât s-a comandat. ","")&amp;IF(N(I707)&gt;0.3,"Discount neobișnuit de mare. ","")))</f>
        <v/>
      </c>
    </row>
    <row r="708" spans="1:15" x14ac:dyDescent="0.2">
      <c r="A708" s="1" t="str">
        <f t="shared" si="80"/>
        <v/>
      </c>
      <c r="B708" s="17"/>
      <c r="C708" s="18" t="str">
        <f>IF(B708="","",COUNTIF(INDEX($B:$B,5):B708,B708))</f>
        <v/>
      </c>
      <c r="D708" s="17"/>
      <c r="E708" s="19" t="str">
        <f t="shared" si="81"/>
        <v/>
      </c>
      <c r="F708" s="18" t="str">
        <f t="shared" si="82"/>
        <v/>
      </c>
      <c r="G708" s="6"/>
      <c r="H708" s="20" t="str">
        <f t="shared" si="83"/>
        <v/>
      </c>
      <c r="I708" s="21"/>
      <c r="J708" s="22" t="str">
        <f t="shared" si="84"/>
        <v/>
      </c>
      <c r="K708" s="20" t="str">
        <f t="shared" si="85"/>
        <v/>
      </c>
      <c r="L708" s="20" t="str">
        <f t="shared" si="86"/>
        <v/>
      </c>
      <c r="M708" s="6"/>
      <c r="N708" s="19" t="str">
        <f t="shared" si="87"/>
        <v/>
      </c>
      <c r="O708" s="23" t="str">
        <f>IF(B708="","",TRIM(IF(COUNTIF('Registru comenzi'!$B$5:$B$304,B708)=0,"Comandă inexistentă în registru. ","")&amp;IF(AND(D708&lt;&gt;"",E708=""),"Cod necunoscut. ","")&amp;IF(N(G708)&lt;=0,"Lipsește cantitatea. ","")&amp;IF(N(M708)&gt;N(G708),"Livrat mai mult decât s-a comandat. ","")&amp;IF(N(I708)&gt;0.3,"Discount neobișnuit de mare. ","")))</f>
        <v/>
      </c>
    </row>
    <row r="709" spans="1:15" x14ac:dyDescent="0.2">
      <c r="A709" s="1" t="str">
        <f t="shared" ref="A709:A772" si="88">IF(B709="","",B709&amp;"|"&amp;C709)</f>
        <v/>
      </c>
      <c r="B709" s="17"/>
      <c r="C709" s="18" t="str">
        <f>IF(B709="","",COUNTIF(INDEX($B:$B,5):B709,B709))</f>
        <v/>
      </c>
      <c r="D709" s="17"/>
      <c r="E709" s="19" t="str">
        <f t="shared" ref="E709:E772" si="89">IF(D709="","",IFERROR(VLOOKUP(D709,Catalog,2,FALSE),""))</f>
        <v/>
      </c>
      <c r="F709" s="18" t="str">
        <f t="shared" ref="F709:F772" si="90">IF(D709="","",IFERROR(VLOOKUP(D709,Catalog,3,FALSE),""))</f>
        <v/>
      </c>
      <c r="G709" s="6"/>
      <c r="H709" s="20" t="str">
        <f t="shared" ref="H709:H772" si="91">IF(D709="","",IFERROR(VLOOKUP(D709,Catalog,4,FALSE),""))</f>
        <v/>
      </c>
      <c r="I709" s="21"/>
      <c r="J709" s="22" t="str">
        <f t="shared" ref="J709:J772" si="92">IF(D709="","",IFERROR(VLOOKUP(D709,Catalog,5,FALSE),""))</f>
        <v/>
      </c>
      <c r="K709" s="20" t="str">
        <f t="shared" ref="K709:K772" si="93">IF(OR(G709="",H709=""),"",ROUND(G709*H709*(1-N(I709)),2))</f>
        <v/>
      </c>
      <c r="L709" s="20" t="str">
        <f t="shared" ref="L709:L772" si="94">IF(OR(K709="",J709=""),"",ROUND(K709*J709,2))</f>
        <v/>
      </c>
      <c r="M709" s="6"/>
      <c r="N709" s="19" t="str">
        <f t="shared" ref="N709:N772" si="95">IF(G709="","",G709-N(M709))</f>
        <v/>
      </c>
      <c r="O709" s="23" t="str">
        <f>IF(B709="","",TRIM(IF(COUNTIF('Registru comenzi'!$B$5:$B$304,B709)=0,"Comandă inexistentă în registru. ","")&amp;IF(AND(D709&lt;&gt;"",E709=""),"Cod necunoscut. ","")&amp;IF(N(G709)&lt;=0,"Lipsește cantitatea. ","")&amp;IF(N(M709)&gt;N(G709),"Livrat mai mult decât s-a comandat. ","")&amp;IF(N(I709)&gt;0.3,"Discount neobișnuit de mare. ","")))</f>
        <v/>
      </c>
    </row>
    <row r="710" spans="1:15" x14ac:dyDescent="0.2">
      <c r="A710" s="1" t="str">
        <f t="shared" si="88"/>
        <v/>
      </c>
      <c r="B710" s="17"/>
      <c r="C710" s="18" t="str">
        <f>IF(B710="","",COUNTIF(INDEX($B:$B,5):B710,B710))</f>
        <v/>
      </c>
      <c r="D710" s="17"/>
      <c r="E710" s="19" t="str">
        <f t="shared" si="89"/>
        <v/>
      </c>
      <c r="F710" s="18" t="str">
        <f t="shared" si="90"/>
        <v/>
      </c>
      <c r="G710" s="6"/>
      <c r="H710" s="20" t="str">
        <f t="shared" si="91"/>
        <v/>
      </c>
      <c r="I710" s="21"/>
      <c r="J710" s="22" t="str">
        <f t="shared" si="92"/>
        <v/>
      </c>
      <c r="K710" s="20" t="str">
        <f t="shared" si="93"/>
        <v/>
      </c>
      <c r="L710" s="20" t="str">
        <f t="shared" si="94"/>
        <v/>
      </c>
      <c r="M710" s="6"/>
      <c r="N710" s="19" t="str">
        <f t="shared" si="95"/>
        <v/>
      </c>
      <c r="O710" s="23" t="str">
        <f>IF(B710="","",TRIM(IF(COUNTIF('Registru comenzi'!$B$5:$B$304,B710)=0,"Comandă inexistentă în registru. ","")&amp;IF(AND(D710&lt;&gt;"",E710=""),"Cod necunoscut. ","")&amp;IF(N(G710)&lt;=0,"Lipsește cantitatea. ","")&amp;IF(N(M710)&gt;N(G710),"Livrat mai mult decât s-a comandat. ","")&amp;IF(N(I710)&gt;0.3,"Discount neobișnuit de mare. ","")))</f>
        <v/>
      </c>
    </row>
    <row r="711" spans="1:15" x14ac:dyDescent="0.2">
      <c r="A711" s="1" t="str">
        <f t="shared" si="88"/>
        <v/>
      </c>
      <c r="B711" s="17"/>
      <c r="C711" s="18" t="str">
        <f>IF(B711="","",COUNTIF(INDEX($B:$B,5):B711,B711))</f>
        <v/>
      </c>
      <c r="D711" s="17"/>
      <c r="E711" s="19" t="str">
        <f t="shared" si="89"/>
        <v/>
      </c>
      <c r="F711" s="18" t="str">
        <f t="shared" si="90"/>
        <v/>
      </c>
      <c r="G711" s="6"/>
      <c r="H711" s="20" t="str">
        <f t="shared" si="91"/>
        <v/>
      </c>
      <c r="I711" s="21"/>
      <c r="J711" s="22" t="str">
        <f t="shared" si="92"/>
        <v/>
      </c>
      <c r="K711" s="20" t="str">
        <f t="shared" si="93"/>
        <v/>
      </c>
      <c r="L711" s="20" t="str">
        <f t="shared" si="94"/>
        <v/>
      </c>
      <c r="M711" s="6"/>
      <c r="N711" s="19" t="str">
        <f t="shared" si="95"/>
        <v/>
      </c>
      <c r="O711" s="23" t="str">
        <f>IF(B711="","",TRIM(IF(COUNTIF('Registru comenzi'!$B$5:$B$304,B711)=0,"Comandă inexistentă în registru. ","")&amp;IF(AND(D711&lt;&gt;"",E711=""),"Cod necunoscut. ","")&amp;IF(N(G711)&lt;=0,"Lipsește cantitatea. ","")&amp;IF(N(M711)&gt;N(G711),"Livrat mai mult decât s-a comandat. ","")&amp;IF(N(I711)&gt;0.3,"Discount neobișnuit de mare. ","")))</f>
        <v/>
      </c>
    </row>
    <row r="712" spans="1:15" x14ac:dyDescent="0.2">
      <c r="A712" s="1" t="str">
        <f t="shared" si="88"/>
        <v/>
      </c>
      <c r="B712" s="17"/>
      <c r="C712" s="18" t="str">
        <f>IF(B712="","",COUNTIF(INDEX($B:$B,5):B712,B712))</f>
        <v/>
      </c>
      <c r="D712" s="17"/>
      <c r="E712" s="19" t="str">
        <f t="shared" si="89"/>
        <v/>
      </c>
      <c r="F712" s="18" t="str">
        <f t="shared" si="90"/>
        <v/>
      </c>
      <c r="G712" s="6"/>
      <c r="H712" s="20" t="str">
        <f t="shared" si="91"/>
        <v/>
      </c>
      <c r="I712" s="21"/>
      <c r="J712" s="22" t="str">
        <f t="shared" si="92"/>
        <v/>
      </c>
      <c r="K712" s="20" t="str">
        <f t="shared" si="93"/>
        <v/>
      </c>
      <c r="L712" s="20" t="str">
        <f t="shared" si="94"/>
        <v/>
      </c>
      <c r="M712" s="6"/>
      <c r="N712" s="19" t="str">
        <f t="shared" si="95"/>
        <v/>
      </c>
      <c r="O712" s="23" t="str">
        <f>IF(B712="","",TRIM(IF(COUNTIF('Registru comenzi'!$B$5:$B$304,B712)=0,"Comandă inexistentă în registru. ","")&amp;IF(AND(D712&lt;&gt;"",E712=""),"Cod necunoscut. ","")&amp;IF(N(G712)&lt;=0,"Lipsește cantitatea. ","")&amp;IF(N(M712)&gt;N(G712),"Livrat mai mult decât s-a comandat. ","")&amp;IF(N(I712)&gt;0.3,"Discount neobișnuit de mare. ","")))</f>
        <v/>
      </c>
    </row>
    <row r="713" spans="1:15" x14ac:dyDescent="0.2">
      <c r="A713" s="1" t="str">
        <f t="shared" si="88"/>
        <v/>
      </c>
      <c r="B713" s="17"/>
      <c r="C713" s="18" t="str">
        <f>IF(B713="","",COUNTIF(INDEX($B:$B,5):B713,B713))</f>
        <v/>
      </c>
      <c r="D713" s="17"/>
      <c r="E713" s="19" t="str">
        <f t="shared" si="89"/>
        <v/>
      </c>
      <c r="F713" s="18" t="str">
        <f t="shared" si="90"/>
        <v/>
      </c>
      <c r="G713" s="6"/>
      <c r="H713" s="20" t="str">
        <f t="shared" si="91"/>
        <v/>
      </c>
      <c r="I713" s="21"/>
      <c r="J713" s="22" t="str">
        <f t="shared" si="92"/>
        <v/>
      </c>
      <c r="K713" s="20" t="str">
        <f t="shared" si="93"/>
        <v/>
      </c>
      <c r="L713" s="20" t="str">
        <f t="shared" si="94"/>
        <v/>
      </c>
      <c r="M713" s="6"/>
      <c r="N713" s="19" t="str">
        <f t="shared" si="95"/>
        <v/>
      </c>
      <c r="O713" s="23" t="str">
        <f>IF(B713="","",TRIM(IF(COUNTIF('Registru comenzi'!$B$5:$B$304,B713)=0,"Comandă inexistentă în registru. ","")&amp;IF(AND(D713&lt;&gt;"",E713=""),"Cod necunoscut. ","")&amp;IF(N(G713)&lt;=0,"Lipsește cantitatea. ","")&amp;IF(N(M713)&gt;N(G713),"Livrat mai mult decât s-a comandat. ","")&amp;IF(N(I713)&gt;0.3,"Discount neobișnuit de mare. ","")))</f>
        <v/>
      </c>
    </row>
    <row r="714" spans="1:15" x14ac:dyDescent="0.2">
      <c r="A714" s="1" t="str">
        <f t="shared" si="88"/>
        <v/>
      </c>
      <c r="B714" s="17"/>
      <c r="C714" s="18" t="str">
        <f>IF(B714="","",COUNTIF(INDEX($B:$B,5):B714,B714))</f>
        <v/>
      </c>
      <c r="D714" s="17"/>
      <c r="E714" s="19" t="str">
        <f t="shared" si="89"/>
        <v/>
      </c>
      <c r="F714" s="18" t="str">
        <f t="shared" si="90"/>
        <v/>
      </c>
      <c r="G714" s="6"/>
      <c r="H714" s="20" t="str">
        <f t="shared" si="91"/>
        <v/>
      </c>
      <c r="I714" s="21"/>
      <c r="J714" s="22" t="str">
        <f t="shared" si="92"/>
        <v/>
      </c>
      <c r="K714" s="20" t="str">
        <f t="shared" si="93"/>
        <v/>
      </c>
      <c r="L714" s="20" t="str">
        <f t="shared" si="94"/>
        <v/>
      </c>
      <c r="M714" s="6"/>
      <c r="N714" s="19" t="str">
        <f t="shared" si="95"/>
        <v/>
      </c>
      <c r="O714" s="23" t="str">
        <f>IF(B714="","",TRIM(IF(COUNTIF('Registru comenzi'!$B$5:$B$304,B714)=0,"Comandă inexistentă în registru. ","")&amp;IF(AND(D714&lt;&gt;"",E714=""),"Cod necunoscut. ","")&amp;IF(N(G714)&lt;=0,"Lipsește cantitatea. ","")&amp;IF(N(M714)&gt;N(G714),"Livrat mai mult decât s-a comandat. ","")&amp;IF(N(I714)&gt;0.3,"Discount neobișnuit de mare. ","")))</f>
        <v/>
      </c>
    </row>
    <row r="715" spans="1:15" x14ac:dyDescent="0.2">
      <c r="A715" s="1" t="str">
        <f t="shared" si="88"/>
        <v/>
      </c>
      <c r="B715" s="17"/>
      <c r="C715" s="18" t="str">
        <f>IF(B715="","",COUNTIF(INDEX($B:$B,5):B715,B715))</f>
        <v/>
      </c>
      <c r="D715" s="17"/>
      <c r="E715" s="19" t="str">
        <f t="shared" si="89"/>
        <v/>
      </c>
      <c r="F715" s="18" t="str">
        <f t="shared" si="90"/>
        <v/>
      </c>
      <c r="G715" s="6"/>
      <c r="H715" s="20" t="str">
        <f t="shared" si="91"/>
        <v/>
      </c>
      <c r="I715" s="21"/>
      <c r="J715" s="22" t="str">
        <f t="shared" si="92"/>
        <v/>
      </c>
      <c r="K715" s="20" t="str">
        <f t="shared" si="93"/>
        <v/>
      </c>
      <c r="L715" s="20" t="str">
        <f t="shared" si="94"/>
        <v/>
      </c>
      <c r="M715" s="6"/>
      <c r="N715" s="19" t="str">
        <f t="shared" si="95"/>
        <v/>
      </c>
      <c r="O715" s="23" t="str">
        <f>IF(B715="","",TRIM(IF(COUNTIF('Registru comenzi'!$B$5:$B$304,B715)=0,"Comandă inexistentă în registru. ","")&amp;IF(AND(D715&lt;&gt;"",E715=""),"Cod necunoscut. ","")&amp;IF(N(G715)&lt;=0,"Lipsește cantitatea. ","")&amp;IF(N(M715)&gt;N(G715),"Livrat mai mult decât s-a comandat. ","")&amp;IF(N(I715)&gt;0.3,"Discount neobișnuit de mare. ","")))</f>
        <v/>
      </c>
    </row>
    <row r="716" spans="1:15" x14ac:dyDescent="0.2">
      <c r="A716" s="1" t="str">
        <f t="shared" si="88"/>
        <v/>
      </c>
      <c r="B716" s="17"/>
      <c r="C716" s="18" t="str">
        <f>IF(B716="","",COUNTIF(INDEX($B:$B,5):B716,B716))</f>
        <v/>
      </c>
      <c r="D716" s="17"/>
      <c r="E716" s="19" t="str">
        <f t="shared" si="89"/>
        <v/>
      </c>
      <c r="F716" s="18" t="str">
        <f t="shared" si="90"/>
        <v/>
      </c>
      <c r="G716" s="6"/>
      <c r="H716" s="20" t="str">
        <f t="shared" si="91"/>
        <v/>
      </c>
      <c r="I716" s="21"/>
      <c r="J716" s="22" t="str">
        <f t="shared" si="92"/>
        <v/>
      </c>
      <c r="K716" s="20" t="str">
        <f t="shared" si="93"/>
        <v/>
      </c>
      <c r="L716" s="20" t="str">
        <f t="shared" si="94"/>
        <v/>
      </c>
      <c r="M716" s="6"/>
      <c r="N716" s="19" t="str">
        <f t="shared" si="95"/>
        <v/>
      </c>
      <c r="O716" s="23" t="str">
        <f>IF(B716="","",TRIM(IF(COUNTIF('Registru comenzi'!$B$5:$B$304,B716)=0,"Comandă inexistentă în registru. ","")&amp;IF(AND(D716&lt;&gt;"",E716=""),"Cod necunoscut. ","")&amp;IF(N(G716)&lt;=0,"Lipsește cantitatea. ","")&amp;IF(N(M716)&gt;N(G716),"Livrat mai mult decât s-a comandat. ","")&amp;IF(N(I716)&gt;0.3,"Discount neobișnuit de mare. ","")))</f>
        <v/>
      </c>
    </row>
    <row r="717" spans="1:15" x14ac:dyDescent="0.2">
      <c r="A717" s="1" t="str">
        <f t="shared" si="88"/>
        <v/>
      </c>
      <c r="B717" s="17"/>
      <c r="C717" s="18" t="str">
        <f>IF(B717="","",COUNTIF(INDEX($B:$B,5):B717,B717))</f>
        <v/>
      </c>
      <c r="D717" s="17"/>
      <c r="E717" s="19" t="str">
        <f t="shared" si="89"/>
        <v/>
      </c>
      <c r="F717" s="18" t="str">
        <f t="shared" si="90"/>
        <v/>
      </c>
      <c r="G717" s="6"/>
      <c r="H717" s="20" t="str">
        <f t="shared" si="91"/>
        <v/>
      </c>
      <c r="I717" s="21"/>
      <c r="J717" s="22" t="str">
        <f t="shared" si="92"/>
        <v/>
      </c>
      <c r="K717" s="20" t="str">
        <f t="shared" si="93"/>
        <v/>
      </c>
      <c r="L717" s="20" t="str">
        <f t="shared" si="94"/>
        <v/>
      </c>
      <c r="M717" s="6"/>
      <c r="N717" s="19" t="str">
        <f t="shared" si="95"/>
        <v/>
      </c>
      <c r="O717" s="23" t="str">
        <f>IF(B717="","",TRIM(IF(COUNTIF('Registru comenzi'!$B$5:$B$304,B717)=0,"Comandă inexistentă în registru. ","")&amp;IF(AND(D717&lt;&gt;"",E717=""),"Cod necunoscut. ","")&amp;IF(N(G717)&lt;=0,"Lipsește cantitatea. ","")&amp;IF(N(M717)&gt;N(G717),"Livrat mai mult decât s-a comandat. ","")&amp;IF(N(I717)&gt;0.3,"Discount neobișnuit de mare. ","")))</f>
        <v/>
      </c>
    </row>
    <row r="718" spans="1:15" x14ac:dyDescent="0.2">
      <c r="A718" s="1" t="str">
        <f t="shared" si="88"/>
        <v/>
      </c>
      <c r="B718" s="17"/>
      <c r="C718" s="18" t="str">
        <f>IF(B718="","",COUNTIF(INDEX($B:$B,5):B718,B718))</f>
        <v/>
      </c>
      <c r="D718" s="17"/>
      <c r="E718" s="19" t="str">
        <f t="shared" si="89"/>
        <v/>
      </c>
      <c r="F718" s="18" t="str">
        <f t="shared" si="90"/>
        <v/>
      </c>
      <c r="G718" s="6"/>
      <c r="H718" s="20" t="str">
        <f t="shared" si="91"/>
        <v/>
      </c>
      <c r="I718" s="21"/>
      <c r="J718" s="22" t="str">
        <f t="shared" si="92"/>
        <v/>
      </c>
      <c r="K718" s="20" t="str">
        <f t="shared" si="93"/>
        <v/>
      </c>
      <c r="L718" s="20" t="str">
        <f t="shared" si="94"/>
        <v/>
      </c>
      <c r="M718" s="6"/>
      <c r="N718" s="19" t="str">
        <f t="shared" si="95"/>
        <v/>
      </c>
      <c r="O718" s="23" t="str">
        <f>IF(B718="","",TRIM(IF(COUNTIF('Registru comenzi'!$B$5:$B$304,B718)=0,"Comandă inexistentă în registru. ","")&amp;IF(AND(D718&lt;&gt;"",E718=""),"Cod necunoscut. ","")&amp;IF(N(G718)&lt;=0,"Lipsește cantitatea. ","")&amp;IF(N(M718)&gt;N(G718),"Livrat mai mult decât s-a comandat. ","")&amp;IF(N(I718)&gt;0.3,"Discount neobișnuit de mare. ","")))</f>
        <v/>
      </c>
    </row>
    <row r="719" spans="1:15" x14ac:dyDescent="0.2">
      <c r="A719" s="1" t="str">
        <f t="shared" si="88"/>
        <v/>
      </c>
      <c r="B719" s="17"/>
      <c r="C719" s="18" t="str">
        <f>IF(B719="","",COUNTIF(INDEX($B:$B,5):B719,B719))</f>
        <v/>
      </c>
      <c r="D719" s="17"/>
      <c r="E719" s="19" t="str">
        <f t="shared" si="89"/>
        <v/>
      </c>
      <c r="F719" s="18" t="str">
        <f t="shared" si="90"/>
        <v/>
      </c>
      <c r="G719" s="6"/>
      <c r="H719" s="20" t="str">
        <f t="shared" si="91"/>
        <v/>
      </c>
      <c r="I719" s="21"/>
      <c r="J719" s="22" t="str">
        <f t="shared" si="92"/>
        <v/>
      </c>
      <c r="K719" s="20" t="str">
        <f t="shared" si="93"/>
        <v/>
      </c>
      <c r="L719" s="20" t="str">
        <f t="shared" si="94"/>
        <v/>
      </c>
      <c r="M719" s="6"/>
      <c r="N719" s="19" t="str">
        <f t="shared" si="95"/>
        <v/>
      </c>
      <c r="O719" s="23" t="str">
        <f>IF(B719="","",TRIM(IF(COUNTIF('Registru comenzi'!$B$5:$B$304,B719)=0,"Comandă inexistentă în registru. ","")&amp;IF(AND(D719&lt;&gt;"",E719=""),"Cod necunoscut. ","")&amp;IF(N(G719)&lt;=0,"Lipsește cantitatea. ","")&amp;IF(N(M719)&gt;N(G719),"Livrat mai mult decât s-a comandat. ","")&amp;IF(N(I719)&gt;0.3,"Discount neobișnuit de mare. ","")))</f>
        <v/>
      </c>
    </row>
    <row r="720" spans="1:15" x14ac:dyDescent="0.2">
      <c r="A720" s="1" t="str">
        <f t="shared" si="88"/>
        <v/>
      </c>
      <c r="B720" s="17"/>
      <c r="C720" s="18" t="str">
        <f>IF(B720="","",COUNTIF(INDEX($B:$B,5):B720,B720))</f>
        <v/>
      </c>
      <c r="D720" s="17"/>
      <c r="E720" s="19" t="str">
        <f t="shared" si="89"/>
        <v/>
      </c>
      <c r="F720" s="18" t="str">
        <f t="shared" si="90"/>
        <v/>
      </c>
      <c r="G720" s="6"/>
      <c r="H720" s="20" t="str">
        <f t="shared" si="91"/>
        <v/>
      </c>
      <c r="I720" s="21"/>
      <c r="J720" s="22" t="str">
        <f t="shared" si="92"/>
        <v/>
      </c>
      <c r="K720" s="20" t="str">
        <f t="shared" si="93"/>
        <v/>
      </c>
      <c r="L720" s="20" t="str">
        <f t="shared" si="94"/>
        <v/>
      </c>
      <c r="M720" s="6"/>
      <c r="N720" s="19" t="str">
        <f t="shared" si="95"/>
        <v/>
      </c>
      <c r="O720" s="23" t="str">
        <f>IF(B720="","",TRIM(IF(COUNTIF('Registru comenzi'!$B$5:$B$304,B720)=0,"Comandă inexistentă în registru. ","")&amp;IF(AND(D720&lt;&gt;"",E720=""),"Cod necunoscut. ","")&amp;IF(N(G720)&lt;=0,"Lipsește cantitatea. ","")&amp;IF(N(M720)&gt;N(G720),"Livrat mai mult decât s-a comandat. ","")&amp;IF(N(I720)&gt;0.3,"Discount neobișnuit de mare. ","")))</f>
        <v/>
      </c>
    </row>
    <row r="721" spans="1:15" x14ac:dyDescent="0.2">
      <c r="A721" s="1" t="str">
        <f t="shared" si="88"/>
        <v/>
      </c>
      <c r="B721" s="17"/>
      <c r="C721" s="18" t="str">
        <f>IF(B721="","",COUNTIF(INDEX($B:$B,5):B721,B721))</f>
        <v/>
      </c>
      <c r="D721" s="17"/>
      <c r="E721" s="19" t="str">
        <f t="shared" si="89"/>
        <v/>
      </c>
      <c r="F721" s="18" t="str">
        <f t="shared" si="90"/>
        <v/>
      </c>
      <c r="G721" s="6"/>
      <c r="H721" s="20" t="str">
        <f t="shared" si="91"/>
        <v/>
      </c>
      <c r="I721" s="21"/>
      <c r="J721" s="22" t="str">
        <f t="shared" si="92"/>
        <v/>
      </c>
      <c r="K721" s="20" t="str">
        <f t="shared" si="93"/>
        <v/>
      </c>
      <c r="L721" s="20" t="str">
        <f t="shared" si="94"/>
        <v/>
      </c>
      <c r="M721" s="6"/>
      <c r="N721" s="19" t="str">
        <f t="shared" si="95"/>
        <v/>
      </c>
      <c r="O721" s="23" t="str">
        <f>IF(B721="","",TRIM(IF(COUNTIF('Registru comenzi'!$B$5:$B$304,B721)=0,"Comandă inexistentă în registru. ","")&amp;IF(AND(D721&lt;&gt;"",E721=""),"Cod necunoscut. ","")&amp;IF(N(G721)&lt;=0,"Lipsește cantitatea. ","")&amp;IF(N(M721)&gt;N(G721),"Livrat mai mult decât s-a comandat. ","")&amp;IF(N(I721)&gt;0.3,"Discount neobișnuit de mare. ","")))</f>
        <v/>
      </c>
    </row>
    <row r="722" spans="1:15" x14ac:dyDescent="0.2">
      <c r="A722" s="1" t="str">
        <f t="shared" si="88"/>
        <v/>
      </c>
      <c r="B722" s="17"/>
      <c r="C722" s="18" t="str">
        <f>IF(B722="","",COUNTIF(INDEX($B:$B,5):B722,B722))</f>
        <v/>
      </c>
      <c r="D722" s="17"/>
      <c r="E722" s="19" t="str">
        <f t="shared" si="89"/>
        <v/>
      </c>
      <c r="F722" s="18" t="str">
        <f t="shared" si="90"/>
        <v/>
      </c>
      <c r="G722" s="6"/>
      <c r="H722" s="20" t="str">
        <f t="shared" si="91"/>
        <v/>
      </c>
      <c r="I722" s="21"/>
      <c r="J722" s="22" t="str">
        <f t="shared" si="92"/>
        <v/>
      </c>
      <c r="K722" s="20" t="str">
        <f t="shared" si="93"/>
        <v/>
      </c>
      <c r="L722" s="20" t="str">
        <f t="shared" si="94"/>
        <v/>
      </c>
      <c r="M722" s="6"/>
      <c r="N722" s="19" t="str">
        <f t="shared" si="95"/>
        <v/>
      </c>
      <c r="O722" s="23" t="str">
        <f>IF(B722="","",TRIM(IF(COUNTIF('Registru comenzi'!$B$5:$B$304,B722)=0,"Comandă inexistentă în registru. ","")&amp;IF(AND(D722&lt;&gt;"",E722=""),"Cod necunoscut. ","")&amp;IF(N(G722)&lt;=0,"Lipsește cantitatea. ","")&amp;IF(N(M722)&gt;N(G722),"Livrat mai mult decât s-a comandat. ","")&amp;IF(N(I722)&gt;0.3,"Discount neobișnuit de mare. ","")))</f>
        <v/>
      </c>
    </row>
    <row r="723" spans="1:15" x14ac:dyDescent="0.2">
      <c r="A723" s="1" t="str">
        <f t="shared" si="88"/>
        <v/>
      </c>
      <c r="B723" s="17"/>
      <c r="C723" s="18" t="str">
        <f>IF(B723="","",COUNTIF(INDEX($B:$B,5):B723,B723))</f>
        <v/>
      </c>
      <c r="D723" s="17"/>
      <c r="E723" s="19" t="str">
        <f t="shared" si="89"/>
        <v/>
      </c>
      <c r="F723" s="18" t="str">
        <f t="shared" si="90"/>
        <v/>
      </c>
      <c r="G723" s="6"/>
      <c r="H723" s="20" t="str">
        <f t="shared" si="91"/>
        <v/>
      </c>
      <c r="I723" s="21"/>
      <c r="J723" s="22" t="str">
        <f t="shared" si="92"/>
        <v/>
      </c>
      <c r="K723" s="20" t="str">
        <f t="shared" si="93"/>
        <v/>
      </c>
      <c r="L723" s="20" t="str">
        <f t="shared" si="94"/>
        <v/>
      </c>
      <c r="M723" s="6"/>
      <c r="N723" s="19" t="str">
        <f t="shared" si="95"/>
        <v/>
      </c>
      <c r="O723" s="23" t="str">
        <f>IF(B723="","",TRIM(IF(COUNTIF('Registru comenzi'!$B$5:$B$304,B723)=0,"Comandă inexistentă în registru. ","")&amp;IF(AND(D723&lt;&gt;"",E723=""),"Cod necunoscut. ","")&amp;IF(N(G723)&lt;=0,"Lipsește cantitatea. ","")&amp;IF(N(M723)&gt;N(G723),"Livrat mai mult decât s-a comandat. ","")&amp;IF(N(I723)&gt;0.3,"Discount neobișnuit de mare. ","")))</f>
        <v/>
      </c>
    </row>
    <row r="724" spans="1:15" x14ac:dyDescent="0.2">
      <c r="A724" s="1" t="str">
        <f t="shared" si="88"/>
        <v/>
      </c>
      <c r="B724" s="17"/>
      <c r="C724" s="18" t="str">
        <f>IF(B724="","",COUNTIF(INDEX($B:$B,5):B724,B724))</f>
        <v/>
      </c>
      <c r="D724" s="17"/>
      <c r="E724" s="19" t="str">
        <f t="shared" si="89"/>
        <v/>
      </c>
      <c r="F724" s="18" t="str">
        <f t="shared" si="90"/>
        <v/>
      </c>
      <c r="G724" s="6"/>
      <c r="H724" s="20" t="str">
        <f t="shared" si="91"/>
        <v/>
      </c>
      <c r="I724" s="21"/>
      <c r="J724" s="22" t="str">
        <f t="shared" si="92"/>
        <v/>
      </c>
      <c r="K724" s="20" t="str">
        <f t="shared" si="93"/>
        <v/>
      </c>
      <c r="L724" s="20" t="str">
        <f t="shared" si="94"/>
        <v/>
      </c>
      <c r="M724" s="6"/>
      <c r="N724" s="19" t="str">
        <f t="shared" si="95"/>
        <v/>
      </c>
      <c r="O724" s="23" t="str">
        <f>IF(B724="","",TRIM(IF(COUNTIF('Registru comenzi'!$B$5:$B$304,B724)=0,"Comandă inexistentă în registru. ","")&amp;IF(AND(D724&lt;&gt;"",E724=""),"Cod necunoscut. ","")&amp;IF(N(G724)&lt;=0,"Lipsește cantitatea. ","")&amp;IF(N(M724)&gt;N(G724),"Livrat mai mult decât s-a comandat. ","")&amp;IF(N(I724)&gt;0.3,"Discount neobișnuit de mare. ","")))</f>
        <v/>
      </c>
    </row>
    <row r="725" spans="1:15" x14ac:dyDescent="0.2">
      <c r="A725" s="1" t="str">
        <f t="shared" si="88"/>
        <v/>
      </c>
      <c r="B725" s="17"/>
      <c r="C725" s="18" t="str">
        <f>IF(B725="","",COUNTIF(INDEX($B:$B,5):B725,B725))</f>
        <v/>
      </c>
      <c r="D725" s="17"/>
      <c r="E725" s="19" t="str">
        <f t="shared" si="89"/>
        <v/>
      </c>
      <c r="F725" s="18" t="str">
        <f t="shared" si="90"/>
        <v/>
      </c>
      <c r="G725" s="6"/>
      <c r="H725" s="20" t="str">
        <f t="shared" si="91"/>
        <v/>
      </c>
      <c r="I725" s="21"/>
      <c r="J725" s="22" t="str">
        <f t="shared" si="92"/>
        <v/>
      </c>
      <c r="K725" s="20" t="str">
        <f t="shared" si="93"/>
        <v/>
      </c>
      <c r="L725" s="20" t="str">
        <f t="shared" si="94"/>
        <v/>
      </c>
      <c r="M725" s="6"/>
      <c r="N725" s="19" t="str">
        <f t="shared" si="95"/>
        <v/>
      </c>
      <c r="O725" s="23" t="str">
        <f>IF(B725="","",TRIM(IF(COUNTIF('Registru comenzi'!$B$5:$B$304,B725)=0,"Comandă inexistentă în registru. ","")&amp;IF(AND(D725&lt;&gt;"",E725=""),"Cod necunoscut. ","")&amp;IF(N(G725)&lt;=0,"Lipsește cantitatea. ","")&amp;IF(N(M725)&gt;N(G725),"Livrat mai mult decât s-a comandat. ","")&amp;IF(N(I725)&gt;0.3,"Discount neobișnuit de mare. ","")))</f>
        <v/>
      </c>
    </row>
    <row r="726" spans="1:15" x14ac:dyDescent="0.2">
      <c r="A726" s="1" t="str">
        <f t="shared" si="88"/>
        <v/>
      </c>
      <c r="B726" s="17"/>
      <c r="C726" s="18" t="str">
        <f>IF(B726="","",COUNTIF(INDEX($B:$B,5):B726,B726))</f>
        <v/>
      </c>
      <c r="D726" s="17"/>
      <c r="E726" s="19" t="str">
        <f t="shared" si="89"/>
        <v/>
      </c>
      <c r="F726" s="18" t="str">
        <f t="shared" si="90"/>
        <v/>
      </c>
      <c r="G726" s="6"/>
      <c r="H726" s="20" t="str">
        <f t="shared" si="91"/>
        <v/>
      </c>
      <c r="I726" s="21"/>
      <c r="J726" s="22" t="str">
        <f t="shared" si="92"/>
        <v/>
      </c>
      <c r="K726" s="20" t="str">
        <f t="shared" si="93"/>
        <v/>
      </c>
      <c r="L726" s="20" t="str">
        <f t="shared" si="94"/>
        <v/>
      </c>
      <c r="M726" s="6"/>
      <c r="N726" s="19" t="str">
        <f t="shared" si="95"/>
        <v/>
      </c>
      <c r="O726" s="23" t="str">
        <f>IF(B726="","",TRIM(IF(COUNTIF('Registru comenzi'!$B$5:$B$304,B726)=0,"Comandă inexistentă în registru. ","")&amp;IF(AND(D726&lt;&gt;"",E726=""),"Cod necunoscut. ","")&amp;IF(N(G726)&lt;=0,"Lipsește cantitatea. ","")&amp;IF(N(M726)&gt;N(G726),"Livrat mai mult decât s-a comandat. ","")&amp;IF(N(I726)&gt;0.3,"Discount neobișnuit de mare. ","")))</f>
        <v/>
      </c>
    </row>
    <row r="727" spans="1:15" x14ac:dyDescent="0.2">
      <c r="A727" s="1" t="str">
        <f t="shared" si="88"/>
        <v/>
      </c>
      <c r="B727" s="17"/>
      <c r="C727" s="18" t="str">
        <f>IF(B727="","",COUNTIF(INDEX($B:$B,5):B727,B727))</f>
        <v/>
      </c>
      <c r="D727" s="17"/>
      <c r="E727" s="19" t="str">
        <f t="shared" si="89"/>
        <v/>
      </c>
      <c r="F727" s="18" t="str">
        <f t="shared" si="90"/>
        <v/>
      </c>
      <c r="G727" s="6"/>
      <c r="H727" s="20" t="str">
        <f t="shared" si="91"/>
        <v/>
      </c>
      <c r="I727" s="21"/>
      <c r="J727" s="22" t="str">
        <f t="shared" si="92"/>
        <v/>
      </c>
      <c r="K727" s="20" t="str">
        <f t="shared" si="93"/>
        <v/>
      </c>
      <c r="L727" s="20" t="str">
        <f t="shared" si="94"/>
        <v/>
      </c>
      <c r="M727" s="6"/>
      <c r="N727" s="19" t="str">
        <f t="shared" si="95"/>
        <v/>
      </c>
      <c r="O727" s="23" t="str">
        <f>IF(B727="","",TRIM(IF(COUNTIF('Registru comenzi'!$B$5:$B$304,B727)=0,"Comandă inexistentă în registru. ","")&amp;IF(AND(D727&lt;&gt;"",E727=""),"Cod necunoscut. ","")&amp;IF(N(G727)&lt;=0,"Lipsește cantitatea. ","")&amp;IF(N(M727)&gt;N(G727),"Livrat mai mult decât s-a comandat. ","")&amp;IF(N(I727)&gt;0.3,"Discount neobișnuit de mare. ","")))</f>
        <v/>
      </c>
    </row>
    <row r="728" spans="1:15" x14ac:dyDescent="0.2">
      <c r="A728" s="1" t="str">
        <f t="shared" si="88"/>
        <v/>
      </c>
      <c r="B728" s="17"/>
      <c r="C728" s="18" t="str">
        <f>IF(B728="","",COUNTIF(INDEX($B:$B,5):B728,B728))</f>
        <v/>
      </c>
      <c r="D728" s="17"/>
      <c r="E728" s="19" t="str">
        <f t="shared" si="89"/>
        <v/>
      </c>
      <c r="F728" s="18" t="str">
        <f t="shared" si="90"/>
        <v/>
      </c>
      <c r="G728" s="6"/>
      <c r="H728" s="20" t="str">
        <f t="shared" si="91"/>
        <v/>
      </c>
      <c r="I728" s="21"/>
      <c r="J728" s="22" t="str">
        <f t="shared" si="92"/>
        <v/>
      </c>
      <c r="K728" s="20" t="str">
        <f t="shared" si="93"/>
        <v/>
      </c>
      <c r="L728" s="20" t="str">
        <f t="shared" si="94"/>
        <v/>
      </c>
      <c r="M728" s="6"/>
      <c r="N728" s="19" t="str">
        <f t="shared" si="95"/>
        <v/>
      </c>
      <c r="O728" s="23" t="str">
        <f>IF(B728="","",TRIM(IF(COUNTIF('Registru comenzi'!$B$5:$B$304,B728)=0,"Comandă inexistentă în registru. ","")&amp;IF(AND(D728&lt;&gt;"",E728=""),"Cod necunoscut. ","")&amp;IF(N(G728)&lt;=0,"Lipsește cantitatea. ","")&amp;IF(N(M728)&gt;N(G728),"Livrat mai mult decât s-a comandat. ","")&amp;IF(N(I728)&gt;0.3,"Discount neobișnuit de mare. ","")))</f>
        <v/>
      </c>
    </row>
    <row r="729" spans="1:15" x14ac:dyDescent="0.2">
      <c r="A729" s="1" t="str">
        <f t="shared" si="88"/>
        <v/>
      </c>
      <c r="B729" s="17"/>
      <c r="C729" s="18" t="str">
        <f>IF(B729="","",COUNTIF(INDEX($B:$B,5):B729,B729))</f>
        <v/>
      </c>
      <c r="D729" s="17"/>
      <c r="E729" s="19" t="str">
        <f t="shared" si="89"/>
        <v/>
      </c>
      <c r="F729" s="18" t="str">
        <f t="shared" si="90"/>
        <v/>
      </c>
      <c r="G729" s="6"/>
      <c r="H729" s="20" t="str">
        <f t="shared" si="91"/>
        <v/>
      </c>
      <c r="I729" s="21"/>
      <c r="J729" s="22" t="str">
        <f t="shared" si="92"/>
        <v/>
      </c>
      <c r="K729" s="20" t="str">
        <f t="shared" si="93"/>
        <v/>
      </c>
      <c r="L729" s="20" t="str">
        <f t="shared" si="94"/>
        <v/>
      </c>
      <c r="M729" s="6"/>
      <c r="N729" s="19" t="str">
        <f t="shared" si="95"/>
        <v/>
      </c>
      <c r="O729" s="23" t="str">
        <f>IF(B729="","",TRIM(IF(COUNTIF('Registru comenzi'!$B$5:$B$304,B729)=0,"Comandă inexistentă în registru. ","")&amp;IF(AND(D729&lt;&gt;"",E729=""),"Cod necunoscut. ","")&amp;IF(N(G729)&lt;=0,"Lipsește cantitatea. ","")&amp;IF(N(M729)&gt;N(G729),"Livrat mai mult decât s-a comandat. ","")&amp;IF(N(I729)&gt;0.3,"Discount neobișnuit de mare. ","")))</f>
        <v/>
      </c>
    </row>
    <row r="730" spans="1:15" x14ac:dyDescent="0.2">
      <c r="A730" s="1" t="str">
        <f t="shared" si="88"/>
        <v/>
      </c>
      <c r="B730" s="17"/>
      <c r="C730" s="18" t="str">
        <f>IF(B730="","",COUNTIF(INDEX($B:$B,5):B730,B730))</f>
        <v/>
      </c>
      <c r="D730" s="17"/>
      <c r="E730" s="19" t="str">
        <f t="shared" si="89"/>
        <v/>
      </c>
      <c r="F730" s="18" t="str">
        <f t="shared" si="90"/>
        <v/>
      </c>
      <c r="G730" s="6"/>
      <c r="H730" s="20" t="str">
        <f t="shared" si="91"/>
        <v/>
      </c>
      <c r="I730" s="21"/>
      <c r="J730" s="22" t="str">
        <f t="shared" si="92"/>
        <v/>
      </c>
      <c r="K730" s="20" t="str">
        <f t="shared" si="93"/>
        <v/>
      </c>
      <c r="L730" s="20" t="str">
        <f t="shared" si="94"/>
        <v/>
      </c>
      <c r="M730" s="6"/>
      <c r="N730" s="19" t="str">
        <f t="shared" si="95"/>
        <v/>
      </c>
      <c r="O730" s="23" t="str">
        <f>IF(B730="","",TRIM(IF(COUNTIF('Registru comenzi'!$B$5:$B$304,B730)=0,"Comandă inexistentă în registru. ","")&amp;IF(AND(D730&lt;&gt;"",E730=""),"Cod necunoscut. ","")&amp;IF(N(G730)&lt;=0,"Lipsește cantitatea. ","")&amp;IF(N(M730)&gt;N(G730),"Livrat mai mult decât s-a comandat. ","")&amp;IF(N(I730)&gt;0.3,"Discount neobișnuit de mare. ","")))</f>
        <v/>
      </c>
    </row>
    <row r="731" spans="1:15" x14ac:dyDescent="0.2">
      <c r="A731" s="1" t="str">
        <f t="shared" si="88"/>
        <v/>
      </c>
      <c r="B731" s="17"/>
      <c r="C731" s="18" t="str">
        <f>IF(B731="","",COUNTIF(INDEX($B:$B,5):B731,B731))</f>
        <v/>
      </c>
      <c r="D731" s="17"/>
      <c r="E731" s="19" t="str">
        <f t="shared" si="89"/>
        <v/>
      </c>
      <c r="F731" s="18" t="str">
        <f t="shared" si="90"/>
        <v/>
      </c>
      <c r="G731" s="6"/>
      <c r="H731" s="20" t="str">
        <f t="shared" si="91"/>
        <v/>
      </c>
      <c r="I731" s="21"/>
      <c r="J731" s="22" t="str">
        <f t="shared" si="92"/>
        <v/>
      </c>
      <c r="K731" s="20" t="str">
        <f t="shared" si="93"/>
        <v/>
      </c>
      <c r="L731" s="20" t="str">
        <f t="shared" si="94"/>
        <v/>
      </c>
      <c r="M731" s="6"/>
      <c r="N731" s="19" t="str">
        <f t="shared" si="95"/>
        <v/>
      </c>
      <c r="O731" s="23" t="str">
        <f>IF(B731="","",TRIM(IF(COUNTIF('Registru comenzi'!$B$5:$B$304,B731)=0,"Comandă inexistentă în registru. ","")&amp;IF(AND(D731&lt;&gt;"",E731=""),"Cod necunoscut. ","")&amp;IF(N(G731)&lt;=0,"Lipsește cantitatea. ","")&amp;IF(N(M731)&gt;N(G731),"Livrat mai mult decât s-a comandat. ","")&amp;IF(N(I731)&gt;0.3,"Discount neobișnuit de mare. ","")))</f>
        <v/>
      </c>
    </row>
    <row r="732" spans="1:15" x14ac:dyDescent="0.2">
      <c r="A732" s="1" t="str">
        <f t="shared" si="88"/>
        <v/>
      </c>
      <c r="B732" s="17"/>
      <c r="C732" s="18" t="str">
        <f>IF(B732="","",COUNTIF(INDEX($B:$B,5):B732,B732))</f>
        <v/>
      </c>
      <c r="D732" s="17"/>
      <c r="E732" s="19" t="str">
        <f t="shared" si="89"/>
        <v/>
      </c>
      <c r="F732" s="18" t="str">
        <f t="shared" si="90"/>
        <v/>
      </c>
      <c r="G732" s="6"/>
      <c r="H732" s="20" t="str">
        <f t="shared" si="91"/>
        <v/>
      </c>
      <c r="I732" s="21"/>
      <c r="J732" s="22" t="str">
        <f t="shared" si="92"/>
        <v/>
      </c>
      <c r="K732" s="20" t="str">
        <f t="shared" si="93"/>
        <v/>
      </c>
      <c r="L732" s="20" t="str">
        <f t="shared" si="94"/>
        <v/>
      </c>
      <c r="M732" s="6"/>
      <c r="N732" s="19" t="str">
        <f t="shared" si="95"/>
        <v/>
      </c>
      <c r="O732" s="23" t="str">
        <f>IF(B732="","",TRIM(IF(COUNTIF('Registru comenzi'!$B$5:$B$304,B732)=0,"Comandă inexistentă în registru. ","")&amp;IF(AND(D732&lt;&gt;"",E732=""),"Cod necunoscut. ","")&amp;IF(N(G732)&lt;=0,"Lipsește cantitatea. ","")&amp;IF(N(M732)&gt;N(G732),"Livrat mai mult decât s-a comandat. ","")&amp;IF(N(I732)&gt;0.3,"Discount neobișnuit de mare. ","")))</f>
        <v/>
      </c>
    </row>
    <row r="733" spans="1:15" x14ac:dyDescent="0.2">
      <c r="A733" s="1" t="str">
        <f t="shared" si="88"/>
        <v/>
      </c>
      <c r="B733" s="17"/>
      <c r="C733" s="18" t="str">
        <f>IF(B733="","",COUNTIF(INDEX($B:$B,5):B733,B733))</f>
        <v/>
      </c>
      <c r="D733" s="17"/>
      <c r="E733" s="19" t="str">
        <f t="shared" si="89"/>
        <v/>
      </c>
      <c r="F733" s="18" t="str">
        <f t="shared" si="90"/>
        <v/>
      </c>
      <c r="G733" s="6"/>
      <c r="H733" s="20" t="str">
        <f t="shared" si="91"/>
        <v/>
      </c>
      <c r="I733" s="21"/>
      <c r="J733" s="22" t="str">
        <f t="shared" si="92"/>
        <v/>
      </c>
      <c r="K733" s="20" t="str">
        <f t="shared" si="93"/>
        <v/>
      </c>
      <c r="L733" s="20" t="str">
        <f t="shared" si="94"/>
        <v/>
      </c>
      <c r="M733" s="6"/>
      <c r="N733" s="19" t="str">
        <f t="shared" si="95"/>
        <v/>
      </c>
      <c r="O733" s="23" t="str">
        <f>IF(B733="","",TRIM(IF(COUNTIF('Registru comenzi'!$B$5:$B$304,B733)=0,"Comandă inexistentă în registru. ","")&amp;IF(AND(D733&lt;&gt;"",E733=""),"Cod necunoscut. ","")&amp;IF(N(G733)&lt;=0,"Lipsește cantitatea. ","")&amp;IF(N(M733)&gt;N(G733),"Livrat mai mult decât s-a comandat. ","")&amp;IF(N(I733)&gt;0.3,"Discount neobișnuit de mare. ","")))</f>
        <v/>
      </c>
    </row>
    <row r="734" spans="1:15" x14ac:dyDescent="0.2">
      <c r="A734" s="1" t="str">
        <f t="shared" si="88"/>
        <v/>
      </c>
      <c r="B734" s="17"/>
      <c r="C734" s="18" t="str">
        <f>IF(B734="","",COUNTIF(INDEX($B:$B,5):B734,B734))</f>
        <v/>
      </c>
      <c r="D734" s="17"/>
      <c r="E734" s="19" t="str">
        <f t="shared" si="89"/>
        <v/>
      </c>
      <c r="F734" s="18" t="str">
        <f t="shared" si="90"/>
        <v/>
      </c>
      <c r="G734" s="6"/>
      <c r="H734" s="20" t="str">
        <f t="shared" si="91"/>
        <v/>
      </c>
      <c r="I734" s="21"/>
      <c r="J734" s="22" t="str">
        <f t="shared" si="92"/>
        <v/>
      </c>
      <c r="K734" s="20" t="str">
        <f t="shared" si="93"/>
        <v/>
      </c>
      <c r="L734" s="20" t="str">
        <f t="shared" si="94"/>
        <v/>
      </c>
      <c r="M734" s="6"/>
      <c r="N734" s="19" t="str">
        <f t="shared" si="95"/>
        <v/>
      </c>
      <c r="O734" s="23" t="str">
        <f>IF(B734="","",TRIM(IF(COUNTIF('Registru comenzi'!$B$5:$B$304,B734)=0,"Comandă inexistentă în registru. ","")&amp;IF(AND(D734&lt;&gt;"",E734=""),"Cod necunoscut. ","")&amp;IF(N(G734)&lt;=0,"Lipsește cantitatea. ","")&amp;IF(N(M734)&gt;N(G734),"Livrat mai mult decât s-a comandat. ","")&amp;IF(N(I734)&gt;0.3,"Discount neobișnuit de mare. ","")))</f>
        <v/>
      </c>
    </row>
    <row r="735" spans="1:15" x14ac:dyDescent="0.2">
      <c r="A735" s="1" t="str">
        <f t="shared" si="88"/>
        <v/>
      </c>
      <c r="B735" s="17"/>
      <c r="C735" s="18" t="str">
        <f>IF(B735="","",COUNTIF(INDEX($B:$B,5):B735,B735))</f>
        <v/>
      </c>
      <c r="D735" s="17"/>
      <c r="E735" s="19" t="str">
        <f t="shared" si="89"/>
        <v/>
      </c>
      <c r="F735" s="18" t="str">
        <f t="shared" si="90"/>
        <v/>
      </c>
      <c r="G735" s="6"/>
      <c r="H735" s="20" t="str">
        <f t="shared" si="91"/>
        <v/>
      </c>
      <c r="I735" s="21"/>
      <c r="J735" s="22" t="str">
        <f t="shared" si="92"/>
        <v/>
      </c>
      <c r="K735" s="20" t="str">
        <f t="shared" si="93"/>
        <v/>
      </c>
      <c r="L735" s="20" t="str">
        <f t="shared" si="94"/>
        <v/>
      </c>
      <c r="M735" s="6"/>
      <c r="N735" s="19" t="str">
        <f t="shared" si="95"/>
        <v/>
      </c>
      <c r="O735" s="23" t="str">
        <f>IF(B735="","",TRIM(IF(COUNTIF('Registru comenzi'!$B$5:$B$304,B735)=0,"Comandă inexistentă în registru. ","")&amp;IF(AND(D735&lt;&gt;"",E735=""),"Cod necunoscut. ","")&amp;IF(N(G735)&lt;=0,"Lipsește cantitatea. ","")&amp;IF(N(M735)&gt;N(G735),"Livrat mai mult decât s-a comandat. ","")&amp;IF(N(I735)&gt;0.3,"Discount neobișnuit de mare. ","")))</f>
        <v/>
      </c>
    </row>
    <row r="736" spans="1:15" x14ac:dyDescent="0.2">
      <c r="A736" s="1" t="str">
        <f t="shared" si="88"/>
        <v/>
      </c>
      <c r="B736" s="17"/>
      <c r="C736" s="18" t="str">
        <f>IF(B736="","",COUNTIF(INDEX($B:$B,5):B736,B736))</f>
        <v/>
      </c>
      <c r="D736" s="17"/>
      <c r="E736" s="19" t="str">
        <f t="shared" si="89"/>
        <v/>
      </c>
      <c r="F736" s="18" t="str">
        <f t="shared" si="90"/>
        <v/>
      </c>
      <c r="G736" s="6"/>
      <c r="H736" s="20" t="str">
        <f t="shared" si="91"/>
        <v/>
      </c>
      <c r="I736" s="21"/>
      <c r="J736" s="22" t="str">
        <f t="shared" si="92"/>
        <v/>
      </c>
      <c r="K736" s="20" t="str">
        <f t="shared" si="93"/>
        <v/>
      </c>
      <c r="L736" s="20" t="str">
        <f t="shared" si="94"/>
        <v/>
      </c>
      <c r="M736" s="6"/>
      <c r="N736" s="19" t="str">
        <f t="shared" si="95"/>
        <v/>
      </c>
      <c r="O736" s="23" t="str">
        <f>IF(B736="","",TRIM(IF(COUNTIF('Registru comenzi'!$B$5:$B$304,B736)=0,"Comandă inexistentă în registru. ","")&amp;IF(AND(D736&lt;&gt;"",E736=""),"Cod necunoscut. ","")&amp;IF(N(G736)&lt;=0,"Lipsește cantitatea. ","")&amp;IF(N(M736)&gt;N(G736),"Livrat mai mult decât s-a comandat. ","")&amp;IF(N(I736)&gt;0.3,"Discount neobișnuit de mare. ","")))</f>
        <v/>
      </c>
    </row>
    <row r="737" spans="1:15" x14ac:dyDescent="0.2">
      <c r="A737" s="1" t="str">
        <f t="shared" si="88"/>
        <v/>
      </c>
      <c r="B737" s="17"/>
      <c r="C737" s="18" t="str">
        <f>IF(B737="","",COUNTIF(INDEX($B:$B,5):B737,B737))</f>
        <v/>
      </c>
      <c r="D737" s="17"/>
      <c r="E737" s="19" t="str">
        <f t="shared" si="89"/>
        <v/>
      </c>
      <c r="F737" s="18" t="str">
        <f t="shared" si="90"/>
        <v/>
      </c>
      <c r="G737" s="6"/>
      <c r="H737" s="20" t="str">
        <f t="shared" si="91"/>
        <v/>
      </c>
      <c r="I737" s="21"/>
      <c r="J737" s="22" t="str">
        <f t="shared" si="92"/>
        <v/>
      </c>
      <c r="K737" s="20" t="str">
        <f t="shared" si="93"/>
        <v/>
      </c>
      <c r="L737" s="20" t="str">
        <f t="shared" si="94"/>
        <v/>
      </c>
      <c r="M737" s="6"/>
      <c r="N737" s="19" t="str">
        <f t="shared" si="95"/>
        <v/>
      </c>
      <c r="O737" s="23" t="str">
        <f>IF(B737="","",TRIM(IF(COUNTIF('Registru comenzi'!$B$5:$B$304,B737)=0,"Comandă inexistentă în registru. ","")&amp;IF(AND(D737&lt;&gt;"",E737=""),"Cod necunoscut. ","")&amp;IF(N(G737)&lt;=0,"Lipsește cantitatea. ","")&amp;IF(N(M737)&gt;N(G737),"Livrat mai mult decât s-a comandat. ","")&amp;IF(N(I737)&gt;0.3,"Discount neobișnuit de mare. ","")))</f>
        <v/>
      </c>
    </row>
    <row r="738" spans="1:15" x14ac:dyDescent="0.2">
      <c r="A738" s="1" t="str">
        <f t="shared" si="88"/>
        <v/>
      </c>
      <c r="B738" s="17"/>
      <c r="C738" s="18" t="str">
        <f>IF(B738="","",COUNTIF(INDEX($B:$B,5):B738,B738))</f>
        <v/>
      </c>
      <c r="D738" s="17"/>
      <c r="E738" s="19" t="str">
        <f t="shared" si="89"/>
        <v/>
      </c>
      <c r="F738" s="18" t="str">
        <f t="shared" si="90"/>
        <v/>
      </c>
      <c r="G738" s="6"/>
      <c r="H738" s="20" t="str">
        <f t="shared" si="91"/>
        <v/>
      </c>
      <c r="I738" s="21"/>
      <c r="J738" s="22" t="str">
        <f t="shared" si="92"/>
        <v/>
      </c>
      <c r="K738" s="20" t="str">
        <f t="shared" si="93"/>
        <v/>
      </c>
      <c r="L738" s="20" t="str">
        <f t="shared" si="94"/>
        <v/>
      </c>
      <c r="M738" s="6"/>
      <c r="N738" s="19" t="str">
        <f t="shared" si="95"/>
        <v/>
      </c>
      <c r="O738" s="23" t="str">
        <f>IF(B738="","",TRIM(IF(COUNTIF('Registru comenzi'!$B$5:$B$304,B738)=0,"Comandă inexistentă în registru. ","")&amp;IF(AND(D738&lt;&gt;"",E738=""),"Cod necunoscut. ","")&amp;IF(N(G738)&lt;=0,"Lipsește cantitatea. ","")&amp;IF(N(M738)&gt;N(G738),"Livrat mai mult decât s-a comandat. ","")&amp;IF(N(I738)&gt;0.3,"Discount neobișnuit de mare. ","")))</f>
        <v/>
      </c>
    </row>
    <row r="739" spans="1:15" x14ac:dyDescent="0.2">
      <c r="A739" s="1" t="str">
        <f t="shared" si="88"/>
        <v/>
      </c>
      <c r="B739" s="17"/>
      <c r="C739" s="18" t="str">
        <f>IF(B739="","",COUNTIF(INDEX($B:$B,5):B739,B739))</f>
        <v/>
      </c>
      <c r="D739" s="17"/>
      <c r="E739" s="19" t="str">
        <f t="shared" si="89"/>
        <v/>
      </c>
      <c r="F739" s="18" t="str">
        <f t="shared" si="90"/>
        <v/>
      </c>
      <c r="G739" s="6"/>
      <c r="H739" s="20" t="str">
        <f t="shared" si="91"/>
        <v/>
      </c>
      <c r="I739" s="21"/>
      <c r="J739" s="22" t="str">
        <f t="shared" si="92"/>
        <v/>
      </c>
      <c r="K739" s="20" t="str">
        <f t="shared" si="93"/>
        <v/>
      </c>
      <c r="L739" s="20" t="str">
        <f t="shared" si="94"/>
        <v/>
      </c>
      <c r="M739" s="6"/>
      <c r="N739" s="19" t="str">
        <f t="shared" si="95"/>
        <v/>
      </c>
      <c r="O739" s="23" t="str">
        <f>IF(B739="","",TRIM(IF(COUNTIF('Registru comenzi'!$B$5:$B$304,B739)=0,"Comandă inexistentă în registru. ","")&amp;IF(AND(D739&lt;&gt;"",E739=""),"Cod necunoscut. ","")&amp;IF(N(G739)&lt;=0,"Lipsește cantitatea. ","")&amp;IF(N(M739)&gt;N(G739),"Livrat mai mult decât s-a comandat. ","")&amp;IF(N(I739)&gt;0.3,"Discount neobișnuit de mare. ","")))</f>
        <v/>
      </c>
    </row>
    <row r="740" spans="1:15" x14ac:dyDescent="0.2">
      <c r="A740" s="1" t="str">
        <f t="shared" si="88"/>
        <v/>
      </c>
      <c r="B740" s="17"/>
      <c r="C740" s="18" t="str">
        <f>IF(B740="","",COUNTIF(INDEX($B:$B,5):B740,B740))</f>
        <v/>
      </c>
      <c r="D740" s="17"/>
      <c r="E740" s="19" t="str">
        <f t="shared" si="89"/>
        <v/>
      </c>
      <c r="F740" s="18" t="str">
        <f t="shared" si="90"/>
        <v/>
      </c>
      <c r="G740" s="6"/>
      <c r="H740" s="20" t="str">
        <f t="shared" si="91"/>
        <v/>
      </c>
      <c r="I740" s="21"/>
      <c r="J740" s="22" t="str">
        <f t="shared" si="92"/>
        <v/>
      </c>
      <c r="K740" s="20" t="str">
        <f t="shared" si="93"/>
        <v/>
      </c>
      <c r="L740" s="20" t="str">
        <f t="shared" si="94"/>
        <v/>
      </c>
      <c r="M740" s="6"/>
      <c r="N740" s="19" t="str">
        <f t="shared" si="95"/>
        <v/>
      </c>
      <c r="O740" s="23" t="str">
        <f>IF(B740="","",TRIM(IF(COUNTIF('Registru comenzi'!$B$5:$B$304,B740)=0,"Comandă inexistentă în registru. ","")&amp;IF(AND(D740&lt;&gt;"",E740=""),"Cod necunoscut. ","")&amp;IF(N(G740)&lt;=0,"Lipsește cantitatea. ","")&amp;IF(N(M740)&gt;N(G740),"Livrat mai mult decât s-a comandat. ","")&amp;IF(N(I740)&gt;0.3,"Discount neobișnuit de mare. ","")))</f>
        <v/>
      </c>
    </row>
    <row r="741" spans="1:15" x14ac:dyDescent="0.2">
      <c r="A741" s="1" t="str">
        <f t="shared" si="88"/>
        <v/>
      </c>
      <c r="B741" s="17"/>
      <c r="C741" s="18" t="str">
        <f>IF(B741="","",COUNTIF(INDEX($B:$B,5):B741,B741))</f>
        <v/>
      </c>
      <c r="D741" s="17"/>
      <c r="E741" s="19" t="str">
        <f t="shared" si="89"/>
        <v/>
      </c>
      <c r="F741" s="18" t="str">
        <f t="shared" si="90"/>
        <v/>
      </c>
      <c r="G741" s="6"/>
      <c r="H741" s="20" t="str">
        <f t="shared" si="91"/>
        <v/>
      </c>
      <c r="I741" s="21"/>
      <c r="J741" s="22" t="str">
        <f t="shared" si="92"/>
        <v/>
      </c>
      <c r="K741" s="20" t="str">
        <f t="shared" si="93"/>
        <v/>
      </c>
      <c r="L741" s="20" t="str">
        <f t="shared" si="94"/>
        <v/>
      </c>
      <c r="M741" s="6"/>
      <c r="N741" s="19" t="str">
        <f t="shared" si="95"/>
        <v/>
      </c>
      <c r="O741" s="23" t="str">
        <f>IF(B741="","",TRIM(IF(COUNTIF('Registru comenzi'!$B$5:$B$304,B741)=0,"Comandă inexistentă în registru. ","")&amp;IF(AND(D741&lt;&gt;"",E741=""),"Cod necunoscut. ","")&amp;IF(N(G741)&lt;=0,"Lipsește cantitatea. ","")&amp;IF(N(M741)&gt;N(G741),"Livrat mai mult decât s-a comandat. ","")&amp;IF(N(I741)&gt;0.3,"Discount neobișnuit de mare. ","")))</f>
        <v/>
      </c>
    </row>
    <row r="742" spans="1:15" x14ac:dyDescent="0.2">
      <c r="A742" s="1" t="str">
        <f t="shared" si="88"/>
        <v/>
      </c>
      <c r="B742" s="17"/>
      <c r="C742" s="18" t="str">
        <f>IF(B742="","",COUNTIF(INDEX($B:$B,5):B742,B742))</f>
        <v/>
      </c>
      <c r="D742" s="17"/>
      <c r="E742" s="19" t="str">
        <f t="shared" si="89"/>
        <v/>
      </c>
      <c r="F742" s="18" t="str">
        <f t="shared" si="90"/>
        <v/>
      </c>
      <c r="G742" s="6"/>
      <c r="H742" s="20" t="str">
        <f t="shared" si="91"/>
        <v/>
      </c>
      <c r="I742" s="21"/>
      <c r="J742" s="22" t="str">
        <f t="shared" si="92"/>
        <v/>
      </c>
      <c r="K742" s="20" t="str">
        <f t="shared" si="93"/>
        <v/>
      </c>
      <c r="L742" s="20" t="str">
        <f t="shared" si="94"/>
        <v/>
      </c>
      <c r="M742" s="6"/>
      <c r="N742" s="19" t="str">
        <f t="shared" si="95"/>
        <v/>
      </c>
      <c r="O742" s="23" t="str">
        <f>IF(B742="","",TRIM(IF(COUNTIF('Registru comenzi'!$B$5:$B$304,B742)=0,"Comandă inexistentă în registru. ","")&amp;IF(AND(D742&lt;&gt;"",E742=""),"Cod necunoscut. ","")&amp;IF(N(G742)&lt;=0,"Lipsește cantitatea. ","")&amp;IF(N(M742)&gt;N(G742),"Livrat mai mult decât s-a comandat. ","")&amp;IF(N(I742)&gt;0.3,"Discount neobișnuit de mare. ","")))</f>
        <v/>
      </c>
    </row>
    <row r="743" spans="1:15" x14ac:dyDescent="0.2">
      <c r="A743" s="1" t="str">
        <f t="shared" si="88"/>
        <v/>
      </c>
      <c r="B743" s="17"/>
      <c r="C743" s="18" t="str">
        <f>IF(B743="","",COUNTIF(INDEX($B:$B,5):B743,B743))</f>
        <v/>
      </c>
      <c r="D743" s="17"/>
      <c r="E743" s="19" t="str">
        <f t="shared" si="89"/>
        <v/>
      </c>
      <c r="F743" s="18" t="str">
        <f t="shared" si="90"/>
        <v/>
      </c>
      <c r="G743" s="6"/>
      <c r="H743" s="20" t="str">
        <f t="shared" si="91"/>
        <v/>
      </c>
      <c r="I743" s="21"/>
      <c r="J743" s="22" t="str">
        <f t="shared" si="92"/>
        <v/>
      </c>
      <c r="K743" s="20" t="str">
        <f t="shared" si="93"/>
        <v/>
      </c>
      <c r="L743" s="20" t="str">
        <f t="shared" si="94"/>
        <v/>
      </c>
      <c r="M743" s="6"/>
      <c r="N743" s="19" t="str">
        <f t="shared" si="95"/>
        <v/>
      </c>
      <c r="O743" s="23" t="str">
        <f>IF(B743="","",TRIM(IF(COUNTIF('Registru comenzi'!$B$5:$B$304,B743)=0,"Comandă inexistentă în registru. ","")&amp;IF(AND(D743&lt;&gt;"",E743=""),"Cod necunoscut. ","")&amp;IF(N(G743)&lt;=0,"Lipsește cantitatea. ","")&amp;IF(N(M743)&gt;N(G743),"Livrat mai mult decât s-a comandat. ","")&amp;IF(N(I743)&gt;0.3,"Discount neobișnuit de mare. ","")))</f>
        <v/>
      </c>
    </row>
    <row r="744" spans="1:15" x14ac:dyDescent="0.2">
      <c r="A744" s="1" t="str">
        <f t="shared" si="88"/>
        <v/>
      </c>
      <c r="B744" s="17"/>
      <c r="C744" s="18" t="str">
        <f>IF(B744="","",COUNTIF(INDEX($B:$B,5):B744,B744))</f>
        <v/>
      </c>
      <c r="D744" s="17"/>
      <c r="E744" s="19" t="str">
        <f t="shared" si="89"/>
        <v/>
      </c>
      <c r="F744" s="18" t="str">
        <f t="shared" si="90"/>
        <v/>
      </c>
      <c r="G744" s="6"/>
      <c r="H744" s="20" t="str">
        <f t="shared" si="91"/>
        <v/>
      </c>
      <c r="I744" s="21"/>
      <c r="J744" s="22" t="str">
        <f t="shared" si="92"/>
        <v/>
      </c>
      <c r="K744" s="20" t="str">
        <f t="shared" si="93"/>
        <v/>
      </c>
      <c r="L744" s="20" t="str">
        <f t="shared" si="94"/>
        <v/>
      </c>
      <c r="M744" s="6"/>
      <c r="N744" s="19" t="str">
        <f t="shared" si="95"/>
        <v/>
      </c>
      <c r="O744" s="23" t="str">
        <f>IF(B744="","",TRIM(IF(COUNTIF('Registru comenzi'!$B$5:$B$304,B744)=0,"Comandă inexistentă în registru. ","")&amp;IF(AND(D744&lt;&gt;"",E744=""),"Cod necunoscut. ","")&amp;IF(N(G744)&lt;=0,"Lipsește cantitatea. ","")&amp;IF(N(M744)&gt;N(G744),"Livrat mai mult decât s-a comandat. ","")&amp;IF(N(I744)&gt;0.3,"Discount neobișnuit de mare. ","")))</f>
        <v/>
      </c>
    </row>
    <row r="745" spans="1:15" x14ac:dyDescent="0.2">
      <c r="A745" s="1" t="str">
        <f t="shared" si="88"/>
        <v/>
      </c>
      <c r="B745" s="17"/>
      <c r="C745" s="18" t="str">
        <f>IF(B745="","",COUNTIF(INDEX($B:$B,5):B745,B745))</f>
        <v/>
      </c>
      <c r="D745" s="17"/>
      <c r="E745" s="19" t="str">
        <f t="shared" si="89"/>
        <v/>
      </c>
      <c r="F745" s="18" t="str">
        <f t="shared" si="90"/>
        <v/>
      </c>
      <c r="G745" s="6"/>
      <c r="H745" s="20" t="str">
        <f t="shared" si="91"/>
        <v/>
      </c>
      <c r="I745" s="21"/>
      <c r="J745" s="22" t="str">
        <f t="shared" si="92"/>
        <v/>
      </c>
      <c r="K745" s="20" t="str">
        <f t="shared" si="93"/>
        <v/>
      </c>
      <c r="L745" s="20" t="str">
        <f t="shared" si="94"/>
        <v/>
      </c>
      <c r="M745" s="6"/>
      <c r="N745" s="19" t="str">
        <f t="shared" si="95"/>
        <v/>
      </c>
      <c r="O745" s="23" t="str">
        <f>IF(B745="","",TRIM(IF(COUNTIF('Registru comenzi'!$B$5:$B$304,B745)=0,"Comandă inexistentă în registru. ","")&amp;IF(AND(D745&lt;&gt;"",E745=""),"Cod necunoscut. ","")&amp;IF(N(G745)&lt;=0,"Lipsește cantitatea. ","")&amp;IF(N(M745)&gt;N(G745),"Livrat mai mult decât s-a comandat. ","")&amp;IF(N(I745)&gt;0.3,"Discount neobișnuit de mare. ","")))</f>
        <v/>
      </c>
    </row>
    <row r="746" spans="1:15" x14ac:dyDescent="0.2">
      <c r="A746" s="1" t="str">
        <f t="shared" si="88"/>
        <v/>
      </c>
      <c r="B746" s="17"/>
      <c r="C746" s="18" t="str">
        <f>IF(B746="","",COUNTIF(INDEX($B:$B,5):B746,B746))</f>
        <v/>
      </c>
      <c r="D746" s="17"/>
      <c r="E746" s="19" t="str">
        <f t="shared" si="89"/>
        <v/>
      </c>
      <c r="F746" s="18" t="str">
        <f t="shared" si="90"/>
        <v/>
      </c>
      <c r="G746" s="6"/>
      <c r="H746" s="20" t="str">
        <f t="shared" si="91"/>
        <v/>
      </c>
      <c r="I746" s="21"/>
      <c r="J746" s="22" t="str">
        <f t="shared" si="92"/>
        <v/>
      </c>
      <c r="K746" s="20" t="str">
        <f t="shared" si="93"/>
        <v/>
      </c>
      <c r="L746" s="20" t="str">
        <f t="shared" si="94"/>
        <v/>
      </c>
      <c r="M746" s="6"/>
      <c r="N746" s="19" t="str">
        <f t="shared" si="95"/>
        <v/>
      </c>
      <c r="O746" s="23" t="str">
        <f>IF(B746="","",TRIM(IF(COUNTIF('Registru comenzi'!$B$5:$B$304,B746)=0,"Comandă inexistentă în registru. ","")&amp;IF(AND(D746&lt;&gt;"",E746=""),"Cod necunoscut. ","")&amp;IF(N(G746)&lt;=0,"Lipsește cantitatea. ","")&amp;IF(N(M746)&gt;N(G746),"Livrat mai mult decât s-a comandat. ","")&amp;IF(N(I746)&gt;0.3,"Discount neobișnuit de mare. ","")))</f>
        <v/>
      </c>
    </row>
    <row r="747" spans="1:15" x14ac:dyDescent="0.2">
      <c r="A747" s="1" t="str">
        <f t="shared" si="88"/>
        <v/>
      </c>
      <c r="B747" s="17"/>
      <c r="C747" s="18" t="str">
        <f>IF(B747="","",COUNTIF(INDEX($B:$B,5):B747,B747))</f>
        <v/>
      </c>
      <c r="D747" s="17"/>
      <c r="E747" s="19" t="str">
        <f t="shared" si="89"/>
        <v/>
      </c>
      <c r="F747" s="18" t="str">
        <f t="shared" si="90"/>
        <v/>
      </c>
      <c r="G747" s="6"/>
      <c r="H747" s="20" t="str">
        <f t="shared" si="91"/>
        <v/>
      </c>
      <c r="I747" s="21"/>
      <c r="J747" s="22" t="str">
        <f t="shared" si="92"/>
        <v/>
      </c>
      <c r="K747" s="20" t="str">
        <f t="shared" si="93"/>
        <v/>
      </c>
      <c r="L747" s="20" t="str">
        <f t="shared" si="94"/>
        <v/>
      </c>
      <c r="M747" s="6"/>
      <c r="N747" s="19" t="str">
        <f t="shared" si="95"/>
        <v/>
      </c>
      <c r="O747" s="23" t="str">
        <f>IF(B747="","",TRIM(IF(COUNTIF('Registru comenzi'!$B$5:$B$304,B747)=0,"Comandă inexistentă în registru. ","")&amp;IF(AND(D747&lt;&gt;"",E747=""),"Cod necunoscut. ","")&amp;IF(N(G747)&lt;=0,"Lipsește cantitatea. ","")&amp;IF(N(M747)&gt;N(G747),"Livrat mai mult decât s-a comandat. ","")&amp;IF(N(I747)&gt;0.3,"Discount neobișnuit de mare. ","")))</f>
        <v/>
      </c>
    </row>
    <row r="748" spans="1:15" x14ac:dyDescent="0.2">
      <c r="A748" s="1" t="str">
        <f t="shared" si="88"/>
        <v/>
      </c>
      <c r="B748" s="17"/>
      <c r="C748" s="18" t="str">
        <f>IF(B748="","",COUNTIF(INDEX($B:$B,5):B748,B748))</f>
        <v/>
      </c>
      <c r="D748" s="17"/>
      <c r="E748" s="19" t="str">
        <f t="shared" si="89"/>
        <v/>
      </c>
      <c r="F748" s="18" t="str">
        <f t="shared" si="90"/>
        <v/>
      </c>
      <c r="G748" s="6"/>
      <c r="H748" s="20" t="str">
        <f t="shared" si="91"/>
        <v/>
      </c>
      <c r="I748" s="21"/>
      <c r="J748" s="22" t="str">
        <f t="shared" si="92"/>
        <v/>
      </c>
      <c r="K748" s="20" t="str">
        <f t="shared" si="93"/>
        <v/>
      </c>
      <c r="L748" s="20" t="str">
        <f t="shared" si="94"/>
        <v/>
      </c>
      <c r="M748" s="6"/>
      <c r="N748" s="19" t="str">
        <f t="shared" si="95"/>
        <v/>
      </c>
      <c r="O748" s="23" t="str">
        <f>IF(B748="","",TRIM(IF(COUNTIF('Registru comenzi'!$B$5:$B$304,B748)=0,"Comandă inexistentă în registru. ","")&amp;IF(AND(D748&lt;&gt;"",E748=""),"Cod necunoscut. ","")&amp;IF(N(G748)&lt;=0,"Lipsește cantitatea. ","")&amp;IF(N(M748)&gt;N(G748),"Livrat mai mult decât s-a comandat. ","")&amp;IF(N(I748)&gt;0.3,"Discount neobișnuit de mare. ","")))</f>
        <v/>
      </c>
    </row>
    <row r="749" spans="1:15" x14ac:dyDescent="0.2">
      <c r="A749" s="1" t="str">
        <f t="shared" si="88"/>
        <v/>
      </c>
      <c r="B749" s="17"/>
      <c r="C749" s="18" t="str">
        <f>IF(B749="","",COUNTIF(INDEX($B:$B,5):B749,B749))</f>
        <v/>
      </c>
      <c r="D749" s="17"/>
      <c r="E749" s="19" t="str">
        <f t="shared" si="89"/>
        <v/>
      </c>
      <c r="F749" s="18" t="str">
        <f t="shared" si="90"/>
        <v/>
      </c>
      <c r="G749" s="6"/>
      <c r="H749" s="20" t="str">
        <f t="shared" si="91"/>
        <v/>
      </c>
      <c r="I749" s="21"/>
      <c r="J749" s="22" t="str">
        <f t="shared" si="92"/>
        <v/>
      </c>
      <c r="K749" s="20" t="str">
        <f t="shared" si="93"/>
        <v/>
      </c>
      <c r="L749" s="20" t="str">
        <f t="shared" si="94"/>
        <v/>
      </c>
      <c r="M749" s="6"/>
      <c r="N749" s="19" t="str">
        <f t="shared" si="95"/>
        <v/>
      </c>
      <c r="O749" s="23" t="str">
        <f>IF(B749="","",TRIM(IF(COUNTIF('Registru comenzi'!$B$5:$B$304,B749)=0,"Comandă inexistentă în registru. ","")&amp;IF(AND(D749&lt;&gt;"",E749=""),"Cod necunoscut. ","")&amp;IF(N(G749)&lt;=0,"Lipsește cantitatea. ","")&amp;IF(N(M749)&gt;N(G749),"Livrat mai mult decât s-a comandat. ","")&amp;IF(N(I749)&gt;0.3,"Discount neobișnuit de mare. ","")))</f>
        <v/>
      </c>
    </row>
    <row r="750" spans="1:15" x14ac:dyDescent="0.2">
      <c r="A750" s="1" t="str">
        <f t="shared" si="88"/>
        <v/>
      </c>
      <c r="B750" s="17"/>
      <c r="C750" s="18" t="str">
        <f>IF(B750="","",COUNTIF(INDEX($B:$B,5):B750,B750))</f>
        <v/>
      </c>
      <c r="D750" s="17"/>
      <c r="E750" s="19" t="str">
        <f t="shared" si="89"/>
        <v/>
      </c>
      <c r="F750" s="18" t="str">
        <f t="shared" si="90"/>
        <v/>
      </c>
      <c r="G750" s="6"/>
      <c r="H750" s="20" t="str">
        <f t="shared" si="91"/>
        <v/>
      </c>
      <c r="I750" s="21"/>
      <c r="J750" s="22" t="str">
        <f t="shared" si="92"/>
        <v/>
      </c>
      <c r="K750" s="20" t="str">
        <f t="shared" si="93"/>
        <v/>
      </c>
      <c r="L750" s="20" t="str">
        <f t="shared" si="94"/>
        <v/>
      </c>
      <c r="M750" s="6"/>
      <c r="N750" s="19" t="str">
        <f t="shared" si="95"/>
        <v/>
      </c>
      <c r="O750" s="23" t="str">
        <f>IF(B750="","",TRIM(IF(COUNTIF('Registru comenzi'!$B$5:$B$304,B750)=0,"Comandă inexistentă în registru. ","")&amp;IF(AND(D750&lt;&gt;"",E750=""),"Cod necunoscut. ","")&amp;IF(N(G750)&lt;=0,"Lipsește cantitatea. ","")&amp;IF(N(M750)&gt;N(G750),"Livrat mai mult decât s-a comandat. ","")&amp;IF(N(I750)&gt;0.3,"Discount neobișnuit de mare. ","")))</f>
        <v/>
      </c>
    </row>
    <row r="751" spans="1:15" x14ac:dyDescent="0.2">
      <c r="A751" s="1" t="str">
        <f t="shared" si="88"/>
        <v/>
      </c>
      <c r="B751" s="17"/>
      <c r="C751" s="18" t="str">
        <f>IF(B751="","",COUNTIF(INDEX($B:$B,5):B751,B751))</f>
        <v/>
      </c>
      <c r="D751" s="17"/>
      <c r="E751" s="19" t="str">
        <f t="shared" si="89"/>
        <v/>
      </c>
      <c r="F751" s="18" t="str">
        <f t="shared" si="90"/>
        <v/>
      </c>
      <c r="G751" s="6"/>
      <c r="H751" s="20" t="str">
        <f t="shared" si="91"/>
        <v/>
      </c>
      <c r="I751" s="21"/>
      <c r="J751" s="22" t="str">
        <f t="shared" si="92"/>
        <v/>
      </c>
      <c r="K751" s="20" t="str">
        <f t="shared" si="93"/>
        <v/>
      </c>
      <c r="L751" s="20" t="str">
        <f t="shared" si="94"/>
        <v/>
      </c>
      <c r="M751" s="6"/>
      <c r="N751" s="19" t="str">
        <f t="shared" si="95"/>
        <v/>
      </c>
      <c r="O751" s="23" t="str">
        <f>IF(B751="","",TRIM(IF(COUNTIF('Registru comenzi'!$B$5:$B$304,B751)=0,"Comandă inexistentă în registru. ","")&amp;IF(AND(D751&lt;&gt;"",E751=""),"Cod necunoscut. ","")&amp;IF(N(G751)&lt;=0,"Lipsește cantitatea. ","")&amp;IF(N(M751)&gt;N(G751),"Livrat mai mult decât s-a comandat. ","")&amp;IF(N(I751)&gt;0.3,"Discount neobișnuit de mare. ","")))</f>
        <v/>
      </c>
    </row>
    <row r="752" spans="1:15" x14ac:dyDescent="0.2">
      <c r="A752" s="1" t="str">
        <f t="shared" si="88"/>
        <v/>
      </c>
      <c r="B752" s="17"/>
      <c r="C752" s="18" t="str">
        <f>IF(B752="","",COUNTIF(INDEX($B:$B,5):B752,B752))</f>
        <v/>
      </c>
      <c r="D752" s="17"/>
      <c r="E752" s="19" t="str">
        <f t="shared" si="89"/>
        <v/>
      </c>
      <c r="F752" s="18" t="str">
        <f t="shared" si="90"/>
        <v/>
      </c>
      <c r="G752" s="6"/>
      <c r="H752" s="20" t="str">
        <f t="shared" si="91"/>
        <v/>
      </c>
      <c r="I752" s="21"/>
      <c r="J752" s="22" t="str">
        <f t="shared" si="92"/>
        <v/>
      </c>
      <c r="K752" s="20" t="str">
        <f t="shared" si="93"/>
        <v/>
      </c>
      <c r="L752" s="20" t="str">
        <f t="shared" si="94"/>
        <v/>
      </c>
      <c r="M752" s="6"/>
      <c r="N752" s="19" t="str">
        <f t="shared" si="95"/>
        <v/>
      </c>
      <c r="O752" s="23" t="str">
        <f>IF(B752="","",TRIM(IF(COUNTIF('Registru comenzi'!$B$5:$B$304,B752)=0,"Comandă inexistentă în registru. ","")&amp;IF(AND(D752&lt;&gt;"",E752=""),"Cod necunoscut. ","")&amp;IF(N(G752)&lt;=0,"Lipsește cantitatea. ","")&amp;IF(N(M752)&gt;N(G752),"Livrat mai mult decât s-a comandat. ","")&amp;IF(N(I752)&gt;0.3,"Discount neobișnuit de mare. ","")))</f>
        <v/>
      </c>
    </row>
    <row r="753" spans="1:15" x14ac:dyDescent="0.2">
      <c r="A753" s="1" t="str">
        <f t="shared" si="88"/>
        <v/>
      </c>
      <c r="B753" s="17"/>
      <c r="C753" s="18" t="str">
        <f>IF(B753="","",COUNTIF(INDEX($B:$B,5):B753,B753))</f>
        <v/>
      </c>
      <c r="D753" s="17"/>
      <c r="E753" s="19" t="str">
        <f t="shared" si="89"/>
        <v/>
      </c>
      <c r="F753" s="18" t="str">
        <f t="shared" si="90"/>
        <v/>
      </c>
      <c r="G753" s="6"/>
      <c r="H753" s="20" t="str">
        <f t="shared" si="91"/>
        <v/>
      </c>
      <c r="I753" s="21"/>
      <c r="J753" s="22" t="str">
        <f t="shared" si="92"/>
        <v/>
      </c>
      <c r="K753" s="20" t="str">
        <f t="shared" si="93"/>
        <v/>
      </c>
      <c r="L753" s="20" t="str">
        <f t="shared" si="94"/>
        <v/>
      </c>
      <c r="M753" s="6"/>
      <c r="N753" s="19" t="str">
        <f t="shared" si="95"/>
        <v/>
      </c>
      <c r="O753" s="23" t="str">
        <f>IF(B753="","",TRIM(IF(COUNTIF('Registru comenzi'!$B$5:$B$304,B753)=0,"Comandă inexistentă în registru. ","")&amp;IF(AND(D753&lt;&gt;"",E753=""),"Cod necunoscut. ","")&amp;IF(N(G753)&lt;=0,"Lipsește cantitatea. ","")&amp;IF(N(M753)&gt;N(G753),"Livrat mai mult decât s-a comandat. ","")&amp;IF(N(I753)&gt;0.3,"Discount neobișnuit de mare. ","")))</f>
        <v/>
      </c>
    </row>
    <row r="754" spans="1:15" x14ac:dyDescent="0.2">
      <c r="A754" s="1" t="str">
        <f t="shared" si="88"/>
        <v/>
      </c>
      <c r="B754" s="17"/>
      <c r="C754" s="18" t="str">
        <f>IF(B754="","",COUNTIF(INDEX($B:$B,5):B754,B754))</f>
        <v/>
      </c>
      <c r="D754" s="17"/>
      <c r="E754" s="19" t="str">
        <f t="shared" si="89"/>
        <v/>
      </c>
      <c r="F754" s="18" t="str">
        <f t="shared" si="90"/>
        <v/>
      </c>
      <c r="G754" s="6"/>
      <c r="H754" s="20" t="str">
        <f t="shared" si="91"/>
        <v/>
      </c>
      <c r="I754" s="21"/>
      <c r="J754" s="22" t="str">
        <f t="shared" si="92"/>
        <v/>
      </c>
      <c r="K754" s="20" t="str">
        <f t="shared" si="93"/>
        <v/>
      </c>
      <c r="L754" s="20" t="str">
        <f t="shared" si="94"/>
        <v/>
      </c>
      <c r="M754" s="6"/>
      <c r="N754" s="19" t="str">
        <f t="shared" si="95"/>
        <v/>
      </c>
      <c r="O754" s="23" t="str">
        <f>IF(B754="","",TRIM(IF(COUNTIF('Registru comenzi'!$B$5:$B$304,B754)=0,"Comandă inexistentă în registru. ","")&amp;IF(AND(D754&lt;&gt;"",E754=""),"Cod necunoscut. ","")&amp;IF(N(G754)&lt;=0,"Lipsește cantitatea. ","")&amp;IF(N(M754)&gt;N(G754),"Livrat mai mult decât s-a comandat. ","")&amp;IF(N(I754)&gt;0.3,"Discount neobișnuit de mare. ","")))</f>
        <v/>
      </c>
    </row>
    <row r="755" spans="1:15" x14ac:dyDescent="0.2">
      <c r="A755" s="1" t="str">
        <f t="shared" si="88"/>
        <v/>
      </c>
      <c r="B755" s="17"/>
      <c r="C755" s="18" t="str">
        <f>IF(B755="","",COUNTIF(INDEX($B:$B,5):B755,B755))</f>
        <v/>
      </c>
      <c r="D755" s="17"/>
      <c r="E755" s="19" t="str">
        <f t="shared" si="89"/>
        <v/>
      </c>
      <c r="F755" s="18" t="str">
        <f t="shared" si="90"/>
        <v/>
      </c>
      <c r="G755" s="6"/>
      <c r="H755" s="20" t="str">
        <f t="shared" si="91"/>
        <v/>
      </c>
      <c r="I755" s="21"/>
      <c r="J755" s="22" t="str">
        <f t="shared" si="92"/>
        <v/>
      </c>
      <c r="K755" s="20" t="str">
        <f t="shared" si="93"/>
        <v/>
      </c>
      <c r="L755" s="20" t="str">
        <f t="shared" si="94"/>
        <v/>
      </c>
      <c r="M755" s="6"/>
      <c r="N755" s="19" t="str">
        <f t="shared" si="95"/>
        <v/>
      </c>
      <c r="O755" s="23" t="str">
        <f>IF(B755="","",TRIM(IF(COUNTIF('Registru comenzi'!$B$5:$B$304,B755)=0,"Comandă inexistentă în registru. ","")&amp;IF(AND(D755&lt;&gt;"",E755=""),"Cod necunoscut. ","")&amp;IF(N(G755)&lt;=0,"Lipsește cantitatea. ","")&amp;IF(N(M755)&gt;N(G755),"Livrat mai mult decât s-a comandat. ","")&amp;IF(N(I755)&gt;0.3,"Discount neobișnuit de mare. ","")))</f>
        <v/>
      </c>
    </row>
    <row r="756" spans="1:15" x14ac:dyDescent="0.2">
      <c r="A756" s="1" t="str">
        <f t="shared" si="88"/>
        <v/>
      </c>
      <c r="B756" s="17"/>
      <c r="C756" s="18" t="str">
        <f>IF(B756="","",COUNTIF(INDEX($B:$B,5):B756,B756))</f>
        <v/>
      </c>
      <c r="D756" s="17"/>
      <c r="E756" s="19" t="str">
        <f t="shared" si="89"/>
        <v/>
      </c>
      <c r="F756" s="18" t="str">
        <f t="shared" si="90"/>
        <v/>
      </c>
      <c r="G756" s="6"/>
      <c r="H756" s="20" t="str">
        <f t="shared" si="91"/>
        <v/>
      </c>
      <c r="I756" s="21"/>
      <c r="J756" s="22" t="str">
        <f t="shared" si="92"/>
        <v/>
      </c>
      <c r="K756" s="20" t="str">
        <f t="shared" si="93"/>
        <v/>
      </c>
      <c r="L756" s="20" t="str">
        <f t="shared" si="94"/>
        <v/>
      </c>
      <c r="M756" s="6"/>
      <c r="N756" s="19" t="str">
        <f t="shared" si="95"/>
        <v/>
      </c>
      <c r="O756" s="23" t="str">
        <f>IF(B756="","",TRIM(IF(COUNTIF('Registru comenzi'!$B$5:$B$304,B756)=0,"Comandă inexistentă în registru. ","")&amp;IF(AND(D756&lt;&gt;"",E756=""),"Cod necunoscut. ","")&amp;IF(N(G756)&lt;=0,"Lipsește cantitatea. ","")&amp;IF(N(M756)&gt;N(G756),"Livrat mai mult decât s-a comandat. ","")&amp;IF(N(I756)&gt;0.3,"Discount neobișnuit de mare. ","")))</f>
        <v/>
      </c>
    </row>
    <row r="757" spans="1:15" x14ac:dyDescent="0.2">
      <c r="A757" s="1" t="str">
        <f t="shared" si="88"/>
        <v/>
      </c>
      <c r="B757" s="17"/>
      <c r="C757" s="18" t="str">
        <f>IF(B757="","",COUNTIF(INDEX($B:$B,5):B757,B757))</f>
        <v/>
      </c>
      <c r="D757" s="17"/>
      <c r="E757" s="19" t="str">
        <f t="shared" si="89"/>
        <v/>
      </c>
      <c r="F757" s="18" t="str">
        <f t="shared" si="90"/>
        <v/>
      </c>
      <c r="G757" s="6"/>
      <c r="H757" s="20" t="str">
        <f t="shared" si="91"/>
        <v/>
      </c>
      <c r="I757" s="21"/>
      <c r="J757" s="22" t="str">
        <f t="shared" si="92"/>
        <v/>
      </c>
      <c r="K757" s="20" t="str">
        <f t="shared" si="93"/>
        <v/>
      </c>
      <c r="L757" s="20" t="str">
        <f t="shared" si="94"/>
        <v/>
      </c>
      <c r="M757" s="6"/>
      <c r="N757" s="19" t="str">
        <f t="shared" si="95"/>
        <v/>
      </c>
      <c r="O757" s="23" t="str">
        <f>IF(B757="","",TRIM(IF(COUNTIF('Registru comenzi'!$B$5:$B$304,B757)=0,"Comandă inexistentă în registru. ","")&amp;IF(AND(D757&lt;&gt;"",E757=""),"Cod necunoscut. ","")&amp;IF(N(G757)&lt;=0,"Lipsește cantitatea. ","")&amp;IF(N(M757)&gt;N(G757),"Livrat mai mult decât s-a comandat. ","")&amp;IF(N(I757)&gt;0.3,"Discount neobișnuit de mare. ","")))</f>
        <v/>
      </c>
    </row>
    <row r="758" spans="1:15" x14ac:dyDescent="0.2">
      <c r="A758" s="1" t="str">
        <f t="shared" si="88"/>
        <v/>
      </c>
      <c r="B758" s="17"/>
      <c r="C758" s="18" t="str">
        <f>IF(B758="","",COUNTIF(INDEX($B:$B,5):B758,B758))</f>
        <v/>
      </c>
      <c r="D758" s="17"/>
      <c r="E758" s="19" t="str">
        <f t="shared" si="89"/>
        <v/>
      </c>
      <c r="F758" s="18" t="str">
        <f t="shared" si="90"/>
        <v/>
      </c>
      <c r="G758" s="6"/>
      <c r="H758" s="20" t="str">
        <f t="shared" si="91"/>
        <v/>
      </c>
      <c r="I758" s="21"/>
      <c r="J758" s="22" t="str">
        <f t="shared" si="92"/>
        <v/>
      </c>
      <c r="K758" s="20" t="str">
        <f t="shared" si="93"/>
        <v/>
      </c>
      <c r="L758" s="20" t="str">
        <f t="shared" si="94"/>
        <v/>
      </c>
      <c r="M758" s="6"/>
      <c r="N758" s="19" t="str">
        <f t="shared" si="95"/>
        <v/>
      </c>
      <c r="O758" s="23" t="str">
        <f>IF(B758="","",TRIM(IF(COUNTIF('Registru comenzi'!$B$5:$B$304,B758)=0,"Comandă inexistentă în registru. ","")&amp;IF(AND(D758&lt;&gt;"",E758=""),"Cod necunoscut. ","")&amp;IF(N(G758)&lt;=0,"Lipsește cantitatea. ","")&amp;IF(N(M758)&gt;N(G758),"Livrat mai mult decât s-a comandat. ","")&amp;IF(N(I758)&gt;0.3,"Discount neobișnuit de mare. ","")))</f>
        <v/>
      </c>
    </row>
    <row r="759" spans="1:15" x14ac:dyDescent="0.2">
      <c r="A759" s="1" t="str">
        <f t="shared" si="88"/>
        <v/>
      </c>
      <c r="B759" s="17"/>
      <c r="C759" s="18" t="str">
        <f>IF(B759="","",COUNTIF(INDEX($B:$B,5):B759,B759))</f>
        <v/>
      </c>
      <c r="D759" s="17"/>
      <c r="E759" s="19" t="str">
        <f t="shared" si="89"/>
        <v/>
      </c>
      <c r="F759" s="18" t="str">
        <f t="shared" si="90"/>
        <v/>
      </c>
      <c r="G759" s="6"/>
      <c r="H759" s="20" t="str">
        <f t="shared" si="91"/>
        <v/>
      </c>
      <c r="I759" s="21"/>
      <c r="J759" s="22" t="str">
        <f t="shared" si="92"/>
        <v/>
      </c>
      <c r="K759" s="20" t="str">
        <f t="shared" si="93"/>
        <v/>
      </c>
      <c r="L759" s="20" t="str">
        <f t="shared" si="94"/>
        <v/>
      </c>
      <c r="M759" s="6"/>
      <c r="N759" s="19" t="str">
        <f t="shared" si="95"/>
        <v/>
      </c>
      <c r="O759" s="23" t="str">
        <f>IF(B759="","",TRIM(IF(COUNTIF('Registru comenzi'!$B$5:$B$304,B759)=0,"Comandă inexistentă în registru. ","")&amp;IF(AND(D759&lt;&gt;"",E759=""),"Cod necunoscut. ","")&amp;IF(N(G759)&lt;=0,"Lipsește cantitatea. ","")&amp;IF(N(M759)&gt;N(G759),"Livrat mai mult decât s-a comandat. ","")&amp;IF(N(I759)&gt;0.3,"Discount neobișnuit de mare. ","")))</f>
        <v/>
      </c>
    </row>
    <row r="760" spans="1:15" x14ac:dyDescent="0.2">
      <c r="A760" s="1" t="str">
        <f t="shared" si="88"/>
        <v/>
      </c>
      <c r="B760" s="17"/>
      <c r="C760" s="18" t="str">
        <f>IF(B760="","",COUNTIF(INDEX($B:$B,5):B760,B760))</f>
        <v/>
      </c>
      <c r="D760" s="17"/>
      <c r="E760" s="19" t="str">
        <f t="shared" si="89"/>
        <v/>
      </c>
      <c r="F760" s="18" t="str">
        <f t="shared" si="90"/>
        <v/>
      </c>
      <c r="G760" s="6"/>
      <c r="H760" s="20" t="str">
        <f t="shared" si="91"/>
        <v/>
      </c>
      <c r="I760" s="21"/>
      <c r="J760" s="22" t="str">
        <f t="shared" si="92"/>
        <v/>
      </c>
      <c r="K760" s="20" t="str">
        <f t="shared" si="93"/>
        <v/>
      </c>
      <c r="L760" s="20" t="str">
        <f t="shared" si="94"/>
        <v/>
      </c>
      <c r="M760" s="6"/>
      <c r="N760" s="19" t="str">
        <f t="shared" si="95"/>
        <v/>
      </c>
      <c r="O760" s="23" t="str">
        <f>IF(B760="","",TRIM(IF(COUNTIF('Registru comenzi'!$B$5:$B$304,B760)=0,"Comandă inexistentă în registru. ","")&amp;IF(AND(D760&lt;&gt;"",E760=""),"Cod necunoscut. ","")&amp;IF(N(G760)&lt;=0,"Lipsește cantitatea. ","")&amp;IF(N(M760)&gt;N(G760),"Livrat mai mult decât s-a comandat. ","")&amp;IF(N(I760)&gt;0.3,"Discount neobișnuit de mare. ","")))</f>
        <v/>
      </c>
    </row>
    <row r="761" spans="1:15" x14ac:dyDescent="0.2">
      <c r="A761" s="1" t="str">
        <f t="shared" si="88"/>
        <v/>
      </c>
      <c r="B761" s="17"/>
      <c r="C761" s="18" t="str">
        <f>IF(B761="","",COUNTIF(INDEX($B:$B,5):B761,B761))</f>
        <v/>
      </c>
      <c r="D761" s="17"/>
      <c r="E761" s="19" t="str">
        <f t="shared" si="89"/>
        <v/>
      </c>
      <c r="F761" s="18" t="str">
        <f t="shared" si="90"/>
        <v/>
      </c>
      <c r="G761" s="6"/>
      <c r="H761" s="20" t="str">
        <f t="shared" si="91"/>
        <v/>
      </c>
      <c r="I761" s="21"/>
      <c r="J761" s="22" t="str">
        <f t="shared" si="92"/>
        <v/>
      </c>
      <c r="K761" s="20" t="str">
        <f t="shared" si="93"/>
        <v/>
      </c>
      <c r="L761" s="20" t="str">
        <f t="shared" si="94"/>
        <v/>
      </c>
      <c r="M761" s="6"/>
      <c r="N761" s="19" t="str">
        <f t="shared" si="95"/>
        <v/>
      </c>
      <c r="O761" s="23" t="str">
        <f>IF(B761="","",TRIM(IF(COUNTIF('Registru comenzi'!$B$5:$B$304,B761)=0,"Comandă inexistentă în registru. ","")&amp;IF(AND(D761&lt;&gt;"",E761=""),"Cod necunoscut. ","")&amp;IF(N(G761)&lt;=0,"Lipsește cantitatea. ","")&amp;IF(N(M761)&gt;N(G761),"Livrat mai mult decât s-a comandat. ","")&amp;IF(N(I761)&gt;0.3,"Discount neobișnuit de mare. ","")))</f>
        <v/>
      </c>
    </row>
    <row r="762" spans="1:15" x14ac:dyDescent="0.2">
      <c r="A762" s="1" t="str">
        <f t="shared" si="88"/>
        <v/>
      </c>
      <c r="B762" s="17"/>
      <c r="C762" s="18" t="str">
        <f>IF(B762="","",COUNTIF(INDEX($B:$B,5):B762,B762))</f>
        <v/>
      </c>
      <c r="D762" s="17"/>
      <c r="E762" s="19" t="str">
        <f t="shared" si="89"/>
        <v/>
      </c>
      <c r="F762" s="18" t="str">
        <f t="shared" si="90"/>
        <v/>
      </c>
      <c r="G762" s="6"/>
      <c r="H762" s="20" t="str">
        <f t="shared" si="91"/>
        <v/>
      </c>
      <c r="I762" s="21"/>
      <c r="J762" s="22" t="str">
        <f t="shared" si="92"/>
        <v/>
      </c>
      <c r="K762" s="20" t="str">
        <f t="shared" si="93"/>
        <v/>
      </c>
      <c r="L762" s="20" t="str">
        <f t="shared" si="94"/>
        <v/>
      </c>
      <c r="M762" s="6"/>
      <c r="N762" s="19" t="str">
        <f t="shared" si="95"/>
        <v/>
      </c>
      <c r="O762" s="23" t="str">
        <f>IF(B762="","",TRIM(IF(COUNTIF('Registru comenzi'!$B$5:$B$304,B762)=0,"Comandă inexistentă în registru. ","")&amp;IF(AND(D762&lt;&gt;"",E762=""),"Cod necunoscut. ","")&amp;IF(N(G762)&lt;=0,"Lipsește cantitatea. ","")&amp;IF(N(M762)&gt;N(G762),"Livrat mai mult decât s-a comandat. ","")&amp;IF(N(I762)&gt;0.3,"Discount neobișnuit de mare. ","")))</f>
        <v/>
      </c>
    </row>
    <row r="763" spans="1:15" x14ac:dyDescent="0.2">
      <c r="A763" s="1" t="str">
        <f t="shared" si="88"/>
        <v/>
      </c>
      <c r="B763" s="17"/>
      <c r="C763" s="18" t="str">
        <f>IF(B763="","",COUNTIF(INDEX($B:$B,5):B763,B763))</f>
        <v/>
      </c>
      <c r="D763" s="17"/>
      <c r="E763" s="19" t="str">
        <f t="shared" si="89"/>
        <v/>
      </c>
      <c r="F763" s="18" t="str">
        <f t="shared" si="90"/>
        <v/>
      </c>
      <c r="G763" s="6"/>
      <c r="H763" s="20" t="str">
        <f t="shared" si="91"/>
        <v/>
      </c>
      <c r="I763" s="21"/>
      <c r="J763" s="22" t="str">
        <f t="shared" si="92"/>
        <v/>
      </c>
      <c r="K763" s="20" t="str">
        <f t="shared" si="93"/>
        <v/>
      </c>
      <c r="L763" s="20" t="str">
        <f t="shared" si="94"/>
        <v/>
      </c>
      <c r="M763" s="6"/>
      <c r="N763" s="19" t="str">
        <f t="shared" si="95"/>
        <v/>
      </c>
      <c r="O763" s="23" t="str">
        <f>IF(B763="","",TRIM(IF(COUNTIF('Registru comenzi'!$B$5:$B$304,B763)=0,"Comandă inexistentă în registru. ","")&amp;IF(AND(D763&lt;&gt;"",E763=""),"Cod necunoscut. ","")&amp;IF(N(G763)&lt;=0,"Lipsește cantitatea. ","")&amp;IF(N(M763)&gt;N(G763),"Livrat mai mult decât s-a comandat. ","")&amp;IF(N(I763)&gt;0.3,"Discount neobișnuit de mare. ","")))</f>
        <v/>
      </c>
    </row>
    <row r="764" spans="1:15" x14ac:dyDescent="0.2">
      <c r="A764" s="1" t="str">
        <f t="shared" si="88"/>
        <v/>
      </c>
      <c r="B764" s="17"/>
      <c r="C764" s="18" t="str">
        <f>IF(B764="","",COUNTIF(INDEX($B:$B,5):B764,B764))</f>
        <v/>
      </c>
      <c r="D764" s="17"/>
      <c r="E764" s="19" t="str">
        <f t="shared" si="89"/>
        <v/>
      </c>
      <c r="F764" s="18" t="str">
        <f t="shared" si="90"/>
        <v/>
      </c>
      <c r="G764" s="6"/>
      <c r="H764" s="20" t="str">
        <f t="shared" si="91"/>
        <v/>
      </c>
      <c r="I764" s="21"/>
      <c r="J764" s="22" t="str">
        <f t="shared" si="92"/>
        <v/>
      </c>
      <c r="K764" s="20" t="str">
        <f t="shared" si="93"/>
        <v/>
      </c>
      <c r="L764" s="20" t="str">
        <f t="shared" si="94"/>
        <v/>
      </c>
      <c r="M764" s="6"/>
      <c r="N764" s="19" t="str">
        <f t="shared" si="95"/>
        <v/>
      </c>
      <c r="O764" s="23" t="str">
        <f>IF(B764="","",TRIM(IF(COUNTIF('Registru comenzi'!$B$5:$B$304,B764)=0,"Comandă inexistentă în registru. ","")&amp;IF(AND(D764&lt;&gt;"",E764=""),"Cod necunoscut. ","")&amp;IF(N(G764)&lt;=0,"Lipsește cantitatea. ","")&amp;IF(N(M764)&gt;N(G764),"Livrat mai mult decât s-a comandat. ","")&amp;IF(N(I764)&gt;0.3,"Discount neobișnuit de mare. ","")))</f>
        <v/>
      </c>
    </row>
    <row r="765" spans="1:15" x14ac:dyDescent="0.2">
      <c r="A765" s="1" t="str">
        <f t="shared" si="88"/>
        <v/>
      </c>
      <c r="B765" s="17"/>
      <c r="C765" s="18" t="str">
        <f>IF(B765="","",COUNTIF(INDEX($B:$B,5):B765,B765))</f>
        <v/>
      </c>
      <c r="D765" s="17"/>
      <c r="E765" s="19" t="str">
        <f t="shared" si="89"/>
        <v/>
      </c>
      <c r="F765" s="18" t="str">
        <f t="shared" si="90"/>
        <v/>
      </c>
      <c r="G765" s="6"/>
      <c r="H765" s="20" t="str">
        <f t="shared" si="91"/>
        <v/>
      </c>
      <c r="I765" s="21"/>
      <c r="J765" s="22" t="str">
        <f t="shared" si="92"/>
        <v/>
      </c>
      <c r="K765" s="20" t="str">
        <f t="shared" si="93"/>
        <v/>
      </c>
      <c r="L765" s="20" t="str">
        <f t="shared" si="94"/>
        <v/>
      </c>
      <c r="M765" s="6"/>
      <c r="N765" s="19" t="str">
        <f t="shared" si="95"/>
        <v/>
      </c>
      <c r="O765" s="23" t="str">
        <f>IF(B765="","",TRIM(IF(COUNTIF('Registru comenzi'!$B$5:$B$304,B765)=0,"Comandă inexistentă în registru. ","")&amp;IF(AND(D765&lt;&gt;"",E765=""),"Cod necunoscut. ","")&amp;IF(N(G765)&lt;=0,"Lipsește cantitatea. ","")&amp;IF(N(M765)&gt;N(G765),"Livrat mai mult decât s-a comandat. ","")&amp;IF(N(I765)&gt;0.3,"Discount neobișnuit de mare. ","")))</f>
        <v/>
      </c>
    </row>
    <row r="766" spans="1:15" x14ac:dyDescent="0.2">
      <c r="A766" s="1" t="str">
        <f t="shared" si="88"/>
        <v/>
      </c>
      <c r="B766" s="17"/>
      <c r="C766" s="18" t="str">
        <f>IF(B766="","",COUNTIF(INDEX($B:$B,5):B766,B766))</f>
        <v/>
      </c>
      <c r="D766" s="17"/>
      <c r="E766" s="19" t="str">
        <f t="shared" si="89"/>
        <v/>
      </c>
      <c r="F766" s="18" t="str">
        <f t="shared" si="90"/>
        <v/>
      </c>
      <c r="G766" s="6"/>
      <c r="H766" s="20" t="str">
        <f t="shared" si="91"/>
        <v/>
      </c>
      <c r="I766" s="21"/>
      <c r="J766" s="22" t="str">
        <f t="shared" si="92"/>
        <v/>
      </c>
      <c r="K766" s="20" t="str">
        <f t="shared" si="93"/>
        <v/>
      </c>
      <c r="L766" s="20" t="str">
        <f t="shared" si="94"/>
        <v/>
      </c>
      <c r="M766" s="6"/>
      <c r="N766" s="19" t="str">
        <f t="shared" si="95"/>
        <v/>
      </c>
      <c r="O766" s="23" t="str">
        <f>IF(B766="","",TRIM(IF(COUNTIF('Registru comenzi'!$B$5:$B$304,B766)=0,"Comandă inexistentă în registru. ","")&amp;IF(AND(D766&lt;&gt;"",E766=""),"Cod necunoscut. ","")&amp;IF(N(G766)&lt;=0,"Lipsește cantitatea. ","")&amp;IF(N(M766)&gt;N(G766),"Livrat mai mult decât s-a comandat. ","")&amp;IF(N(I766)&gt;0.3,"Discount neobișnuit de mare. ","")))</f>
        <v/>
      </c>
    </row>
    <row r="767" spans="1:15" x14ac:dyDescent="0.2">
      <c r="A767" s="1" t="str">
        <f t="shared" si="88"/>
        <v/>
      </c>
      <c r="B767" s="17"/>
      <c r="C767" s="18" t="str">
        <f>IF(B767="","",COUNTIF(INDEX($B:$B,5):B767,B767))</f>
        <v/>
      </c>
      <c r="D767" s="17"/>
      <c r="E767" s="19" t="str">
        <f t="shared" si="89"/>
        <v/>
      </c>
      <c r="F767" s="18" t="str">
        <f t="shared" si="90"/>
        <v/>
      </c>
      <c r="G767" s="6"/>
      <c r="H767" s="20" t="str">
        <f t="shared" si="91"/>
        <v/>
      </c>
      <c r="I767" s="21"/>
      <c r="J767" s="22" t="str">
        <f t="shared" si="92"/>
        <v/>
      </c>
      <c r="K767" s="20" t="str">
        <f t="shared" si="93"/>
        <v/>
      </c>
      <c r="L767" s="20" t="str">
        <f t="shared" si="94"/>
        <v/>
      </c>
      <c r="M767" s="6"/>
      <c r="N767" s="19" t="str">
        <f t="shared" si="95"/>
        <v/>
      </c>
      <c r="O767" s="23" t="str">
        <f>IF(B767="","",TRIM(IF(COUNTIF('Registru comenzi'!$B$5:$B$304,B767)=0,"Comandă inexistentă în registru. ","")&amp;IF(AND(D767&lt;&gt;"",E767=""),"Cod necunoscut. ","")&amp;IF(N(G767)&lt;=0,"Lipsește cantitatea. ","")&amp;IF(N(M767)&gt;N(G767),"Livrat mai mult decât s-a comandat. ","")&amp;IF(N(I767)&gt;0.3,"Discount neobișnuit de mare. ","")))</f>
        <v/>
      </c>
    </row>
    <row r="768" spans="1:15" x14ac:dyDescent="0.2">
      <c r="A768" s="1" t="str">
        <f t="shared" si="88"/>
        <v/>
      </c>
      <c r="B768" s="17"/>
      <c r="C768" s="18" t="str">
        <f>IF(B768="","",COUNTIF(INDEX($B:$B,5):B768,B768))</f>
        <v/>
      </c>
      <c r="D768" s="17"/>
      <c r="E768" s="19" t="str">
        <f t="shared" si="89"/>
        <v/>
      </c>
      <c r="F768" s="18" t="str">
        <f t="shared" si="90"/>
        <v/>
      </c>
      <c r="G768" s="6"/>
      <c r="H768" s="20" t="str">
        <f t="shared" si="91"/>
        <v/>
      </c>
      <c r="I768" s="21"/>
      <c r="J768" s="22" t="str">
        <f t="shared" si="92"/>
        <v/>
      </c>
      <c r="K768" s="20" t="str">
        <f t="shared" si="93"/>
        <v/>
      </c>
      <c r="L768" s="20" t="str">
        <f t="shared" si="94"/>
        <v/>
      </c>
      <c r="M768" s="6"/>
      <c r="N768" s="19" t="str">
        <f t="shared" si="95"/>
        <v/>
      </c>
      <c r="O768" s="23" t="str">
        <f>IF(B768="","",TRIM(IF(COUNTIF('Registru comenzi'!$B$5:$B$304,B768)=0,"Comandă inexistentă în registru. ","")&amp;IF(AND(D768&lt;&gt;"",E768=""),"Cod necunoscut. ","")&amp;IF(N(G768)&lt;=0,"Lipsește cantitatea. ","")&amp;IF(N(M768)&gt;N(G768),"Livrat mai mult decât s-a comandat. ","")&amp;IF(N(I768)&gt;0.3,"Discount neobișnuit de mare. ","")))</f>
        <v/>
      </c>
    </row>
    <row r="769" spans="1:15" x14ac:dyDescent="0.2">
      <c r="A769" s="1" t="str">
        <f t="shared" si="88"/>
        <v/>
      </c>
      <c r="B769" s="17"/>
      <c r="C769" s="18" t="str">
        <f>IF(B769="","",COUNTIF(INDEX($B:$B,5):B769,B769))</f>
        <v/>
      </c>
      <c r="D769" s="17"/>
      <c r="E769" s="19" t="str">
        <f t="shared" si="89"/>
        <v/>
      </c>
      <c r="F769" s="18" t="str">
        <f t="shared" si="90"/>
        <v/>
      </c>
      <c r="G769" s="6"/>
      <c r="H769" s="20" t="str">
        <f t="shared" si="91"/>
        <v/>
      </c>
      <c r="I769" s="21"/>
      <c r="J769" s="22" t="str">
        <f t="shared" si="92"/>
        <v/>
      </c>
      <c r="K769" s="20" t="str">
        <f t="shared" si="93"/>
        <v/>
      </c>
      <c r="L769" s="20" t="str">
        <f t="shared" si="94"/>
        <v/>
      </c>
      <c r="M769" s="6"/>
      <c r="N769" s="19" t="str">
        <f t="shared" si="95"/>
        <v/>
      </c>
      <c r="O769" s="23" t="str">
        <f>IF(B769="","",TRIM(IF(COUNTIF('Registru comenzi'!$B$5:$B$304,B769)=0,"Comandă inexistentă în registru. ","")&amp;IF(AND(D769&lt;&gt;"",E769=""),"Cod necunoscut. ","")&amp;IF(N(G769)&lt;=0,"Lipsește cantitatea. ","")&amp;IF(N(M769)&gt;N(G769),"Livrat mai mult decât s-a comandat. ","")&amp;IF(N(I769)&gt;0.3,"Discount neobișnuit de mare. ","")))</f>
        <v/>
      </c>
    </row>
    <row r="770" spans="1:15" x14ac:dyDescent="0.2">
      <c r="A770" s="1" t="str">
        <f t="shared" si="88"/>
        <v/>
      </c>
      <c r="B770" s="17"/>
      <c r="C770" s="18" t="str">
        <f>IF(B770="","",COUNTIF(INDEX($B:$B,5):B770,B770))</f>
        <v/>
      </c>
      <c r="D770" s="17"/>
      <c r="E770" s="19" t="str">
        <f t="shared" si="89"/>
        <v/>
      </c>
      <c r="F770" s="18" t="str">
        <f t="shared" si="90"/>
        <v/>
      </c>
      <c r="G770" s="6"/>
      <c r="H770" s="20" t="str">
        <f t="shared" si="91"/>
        <v/>
      </c>
      <c r="I770" s="21"/>
      <c r="J770" s="22" t="str">
        <f t="shared" si="92"/>
        <v/>
      </c>
      <c r="K770" s="20" t="str">
        <f t="shared" si="93"/>
        <v/>
      </c>
      <c r="L770" s="20" t="str">
        <f t="shared" si="94"/>
        <v/>
      </c>
      <c r="M770" s="6"/>
      <c r="N770" s="19" t="str">
        <f t="shared" si="95"/>
        <v/>
      </c>
      <c r="O770" s="23" t="str">
        <f>IF(B770="","",TRIM(IF(COUNTIF('Registru comenzi'!$B$5:$B$304,B770)=0,"Comandă inexistentă în registru. ","")&amp;IF(AND(D770&lt;&gt;"",E770=""),"Cod necunoscut. ","")&amp;IF(N(G770)&lt;=0,"Lipsește cantitatea. ","")&amp;IF(N(M770)&gt;N(G770),"Livrat mai mult decât s-a comandat. ","")&amp;IF(N(I770)&gt;0.3,"Discount neobișnuit de mare. ","")))</f>
        <v/>
      </c>
    </row>
    <row r="771" spans="1:15" x14ac:dyDescent="0.2">
      <c r="A771" s="1" t="str">
        <f t="shared" si="88"/>
        <v/>
      </c>
      <c r="B771" s="17"/>
      <c r="C771" s="18" t="str">
        <f>IF(B771="","",COUNTIF(INDEX($B:$B,5):B771,B771))</f>
        <v/>
      </c>
      <c r="D771" s="17"/>
      <c r="E771" s="19" t="str">
        <f t="shared" si="89"/>
        <v/>
      </c>
      <c r="F771" s="18" t="str">
        <f t="shared" si="90"/>
        <v/>
      </c>
      <c r="G771" s="6"/>
      <c r="H771" s="20" t="str">
        <f t="shared" si="91"/>
        <v/>
      </c>
      <c r="I771" s="21"/>
      <c r="J771" s="22" t="str">
        <f t="shared" si="92"/>
        <v/>
      </c>
      <c r="K771" s="20" t="str">
        <f t="shared" si="93"/>
        <v/>
      </c>
      <c r="L771" s="20" t="str">
        <f t="shared" si="94"/>
        <v/>
      </c>
      <c r="M771" s="6"/>
      <c r="N771" s="19" t="str">
        <f t="shared" si="95"/>
        <v/>
      </c>
      <c r="O771" s="23" t="str">
        <f>IF(B771="","",TRIM(IF(COUNTIF('Registru comenzi'!$B$5:$B$304,B771)=0,"Comandă inexistentă în registru. ","")&amp;IF(AND(D771&lt;&gt;"",E771=""),"Cod necunoscut. ","")&amp;IF(N(G771)&lt;=0,"Lipsește cantitatea. ","")&amp;IF(N(M771)&gt;N(G771),"Livrat mai mult decât s-a comandat. ","")&amp;IF(N(I771)&gt;0.3,"Discount neobișnuit de mare. ","")))</f>
        <v/>
      </c>
    </row>
    <row r="772" spans="1:15" x14ac:dyDescent="0.2">
      <c r="A772" s="1" t="str">
        <f t="shared" si="88"/>
        <v/>
      </c>
      <c r="B772" s="17"/>
      <c r="C772" s="18" t="str">
        <f>IF(B772="","",COUNTIF(INDEX($B:$B,5):B772,B772))</f>
        <v/>
      </c>
      <c r="D772" s="17"/>
      <c r="E772" s="19" t="str">
        <f t="shared" si="89"/>
        <v/>
      </c>
      <c r="F772" s="18" t="str">
        <f t="shared" si="90"/>
        <v/>
      </c>
      <c r="G772" s="6"/>
      <c r="H772" s="20" t="str">
        <f t="shared" si="91"/>
        <v/>
      </c>
      <c r="I772" s="21"/>
      <c r="J772" s="22" t="str">
        <f t="shared" si="92"/>
        <v/>
      </c>
      <c r="K772" s="20" t="str">
        <f t="shared" si="93"/>
        <v/>
      </c>
      <c r="L772" s="20" t="str">
        <f t="shared" si="94"/>
        <v/>
      </c>
      <c r="M772" s="6"/>
      <c r="N772" s="19" t="str">
        <f t="shared" si="95"/>
        <v/>
      </c>
      <c r="O772" s="23" t="str">
        <f>IF(B772="","",TRIM(IF(COUNTIF('Registru comenzi'!$B$5:$B$304,B772)=0,"Comandă inexistentă în registru. ","")&amp;IF(AND(D772&lt;&gt;"",E772=""),"Cod necunoscut. ","")&amp;IF(N(G772)&lt;=0,"Lipsește cantitatea. ","")&amp;IF(N(M772)&gt;N(G772),"Livrat mai mult decât s-a comandat. ","")&amp;IF(N(I772)&gt;0.3,"Discount neobișnuit de mare. ","")))</f>
        <v/>
      </c>
    </row>
    <row r="773" spans="1:15" x14ac:dyDescent="0.2">
      <c r="A773" s="1" t="str">
        <f t="shared" ref="A773:A836" si="96">IF(B773="","",B773&amp;"|"&amp;C773)</f>
        <v/>
      </c>
      <c r="B773" s="17"/>
      <c r="C773" s="18" t="str">
        <f>IF(B773="","",COUNTIF(INDEX($B:$B,5):B773,B773))</f>
        <v/>
      </c>
      <c r="D773" s="17"/>
      <c r="E773" s="19" t="str">
        <f t="shared" ref="E773:E836" si="97">IF(D773="","",IFERROR(VLOOKUP(D773,Catalog,2,FALSE),""))</f>
        <v/>
      </c>
      <c r="F773" s="18" t="str">
        <f t="shared" ref="F773:F836" si="98">IF(D773="","",IFERROR(VLOOKUP(D773,Catalog,3,FALSE),""))</f>
        <v/>
      </c>
      <c r="G773" s="6"/>
      <c r="H773" s="20" t="str">
        <f t="shared" ref="H773:H836" si="99">IF(D773="","",IFERROR(VLOOKUP(D773,Catalog,4,FALSE),""))</f>
        <v/>
      </c>
      <c r="I773" s="21"/>
      <c r="J773" s="22" t="str">
        <f t="shared" ref="J773:J836" si="100">IF(D773="","",IFERROR(VLOOKUP(D773,Catalog,5,FALSE),""))</f>
        <v/>
      </c>
      <c r="K773" s="20" t="str">
        <f t="shared" ref="K773:K836" si="101">IF(OR(G773="",H773=""),"",ROUND(G773*H773*(1-N(I773)),2))</f>
        <v/>
      </c>
      <c r="L773" s="20" t="str">
        <f t="shared" ref="L773:L836" si="102">IF(OR(K773="",J773=""),"",ROUND(K773*J773,2))</f>
        <v/>
      </c>
      <c r="M773" s="6"/>
      <c r="N773" s="19" t="str">
        <f t="shared" ref="N773:N836" si="103">IF(G773="","",G773-N(M773))</f>
        <v/>
      </c>
      <c r="O773" s="23" t="str">
        <f>IF(B773="","",TRIM(IF(COUNTIF('Registru comenzi'!$B$5:$B$304,B773)=0,"Comandă inexistentă în registru. ","")&amp;IF(AND(D773&lt;&gt;"",E773=""),"Cod necunoscut. ","")&amp;IF(N(G773)&lt;=0,"Lipsește cantitatea. ","")&amp;IF(N(M773)&gt;N(G773),"Livrat mai mult decât s-a comandat. ","")&amp;IF(N(I773)&gt;0.3,"Discount neobișnuit de mare. ","")))</f>
        <v/>
      </c>
    </row>
    <row r="774" spans="1:15" x14ac:dyDescent="0.2">
      <c r="A774" s="1" t="str">
        <f t="shared" si="96"/>
        <v/>
      </c>
      <c r="B774" s="17"/>
      <c r="C774" s="18" t="str">
        <f>IF(B774="","",COUNTIF(INDEX($B:$B,5):B774,B774))</f>
        <v/>
      </c>
      <c r="D774" s="17"/>
      <c r="E774" s="19" t="str">
        <f t="shared" si="97"/>
        <v/>
      </c>
      <c r="F774" s="18" t="str">
        <f t="shared" si="98"/>
        <v/>
      </c>
      <c r="G774" s="6"/>
      <c r="H774" s="20" t="str">
        <f t="shared" si="99"/>
        <v/>
      </c>
      <c r="I774" s="21"/>
      <c r="J774" s="22" t="str">
        <f t="shared" si="100"/>
        <v/>
      </c>
      <c r="K774" s="20" t="str">
        <f t="shared" si="101"/>
        <v/>
      </c>
      <c r="L774" s="20" t="str">
        <f t="shared" si="102"/>
        <v/>
      </c>
      <c r="M774" s="6"/>
      <c r="N774" s="19" t="str">
        <f t="shared" si="103"/>
        <v/>
      </c>
      <c r="O774" s="23" t="str">
        <f>IF(B774="","",TRIM(IF(COUNTIF('Registru comenzi'!$B$5:$B$304,B774)=0,"Comandă inexistentă în registru. ","")&amp;IF(AND(D774&lt;&gt;"",E774=""),"Cod necunoscut. ","")&amp;IF(N(G774)&lt;=0,"Lipsește cantitatea. ","")&amp;IF(N(M774)&gt;N(G774),"Livrat mai mult decât s-a comandat. ","")&amp;IF(N(I774)&gt;0.3,"Discount neobișnuit de mare. ","")))</f>
        <v/>
      </c>
    </row>
    <row r="775" spans="1:15" x14ac:dyDescent="0.2">
      <c r="A775" s="1" t="str">
        <f t="shared" si="96"/>
        <v/>
      </c>
      <c r="B775" s="17"/>
      <c r="C775" s="18" t="str">
        <f>IF(B775="","",COUNTIF(INDEX($B:$B,5):B775,B775))</f>
        <v/>
      </c>
      <c r="D775" s="17"/>
      <c r="E775" s="19" t="str">
        <f t="shared" si="97"/>
        <v/>
      </c>
      <c r="F775" s="18" t="str">
        <f t="shared" si="98"/>
        <v/>
      </c>
      <c r="G775" s="6"/>
      <c r="H775" s="20" t="str">
        <f t="shared" si="99"/>
        <v/>
      </c>
      <c r="I775" s="21"/>
      <c r="J775" s="22" t="str">
        <f t="shared" si="100"/>
        <v/>
      </c>
      <c r="K775" s="20" t="str">
        <f t="shared" si="101"/>
        <v/>
      </c>
      <c r="L775" s="20" t="str">
        <f t="shared" si="102"/>
        <v/>
      </c>
      <c r="M775" s="6"/>
      <c r="N775" s="19" t="str">
        <f t="shared" si="103"/>
        <v/>
      </c>
      <c r="O775" s="23" t="str">
        <f>IF(B775="","",TRIM(IF(COUNTIF('Registru comenzi'!$B$5:$B$304,B775)=0,"Comandă inexistentă în registru. ","")&amp;IF(AND(D775&lt;&gt;"",E775=""),"Cod necunoscut. ","")&amp;IF(N(G775)&lt;=0,"Lipsește cantitatea. ","")&amp;IF(N(M775)&gt;N(G775),"Livrat mai mult decât s-a comandat. ","")&amp;IF(N(I775)&gt;0.3,"Discount neobișnuit de mare. ","")))</f>
        <v/>
      </c>
    </row>
    <row r="776" spans="1:15" x14ac:dyDescent="0.2">
      <c r="A776" s="1" t="str">
        <f t="shared" si="96"/>
        <v/>
      </c>
      <c r="B776" s="17"/>
      <c r="C776" s="18" t="str">
        <f>IF(B776="","",COUNTIF(INDEX($B:$B,5):B776,B776))</f>
        <v/>
      </c>
      <c r="D776" s="17"/>
      <c r="E776" s="19" t="str">
        <f t="shared" si="97"/>
        <v/>
      </c>
      <c r="F776" s="18" t="str">
        <f t="shared" si="98"/>
        <v/>
      </c>
      <c r="G776" s="6"/>
      <c r="H776" s="20" t="str">
        <f t="shared" si="99"/>
        <v/>
      </c>
      <c r="I776" s="21"/>
      <c r="J776" s="22" t="str">
        <f t="shared" si="100"/>
        <v/>
      </c>
      <c r="K776" s="20" t="str">
        <f t="shared" si="101"/>
        <v/>
      </c>
      <c r="L776" s="20" t="str">
        <f t="shared" si="102"/>
        <v/>
      </c>
      <c r="M776" s="6"/>
      <c r="N776" s="19" t="str">
        <f t="shared" si="103"/>
        <v/>
      </c>
      <c r="O776" s="23" t="str">
        <f>IF(B776="","",TRIM(IF(COUNTIF('Registru comenzi'!$B$5:$B$304,B776)=0,"Comandă inexistentă în registru. ","")&amp;IF(AND(D776&lt;&gt;"",E776=""),"Cod necunoscut. ","")&amp;IF(N(G776)&lt;=0,"Lipsește cantitatea. ","")&amp;IF(N(M776)&gt;N(G776),"Livrat mai mult decât s-a comandat. ","")&amp;IF(N(I776)&gt;0.3,"Discount neobișnuit de mare. ","")))</f>
        <v/>
      </c>
    </row>
    <row r="777" spans="1:15" x14ac:dyDescent="0.2">
      <c r="A777" s="1" t="str">
        <f t="shared" si="96"/>
        <v/>
      </c>
      <c r="B777" s="17"/>
      <c r="C777" s="18" t="str">
        <f>IF(B777="","",COUNTIF(INDEX($B:$B,5):B777,B777))</f>
        <v/>
      </c>
      <c r="D777" s="17"/>
      <c r="E777" s="19" t="str">
        <f t="shared" si="97"/>
        <v/>
      </c>
      <c r="F777" s="18" t="str">
        <f t="shared" si="98"/>
        <v/>
      </c>
      <c r="G777" s="6"/>
      <c r="H777" s="20" t="str">
        <f t="shared" si="99"/>
        <v/>
      </c>
      <c r="I777" s="21"/>
      <c r="J777" s="22" t="str">
        <f t="shared" si="100"/>
        <v/>
      </c>
      <c r="K777" s="20" t="str">
        <f t="shared" si="101"/>
        <v/>
      </c>
      <c r="L777" s="20" t="str">
        <f t="shared" si="102"/>
        <v/>
      </c>
      <c r="M777" s="6"/>
      <c r="N777" s="19" t="str">
        <f t="shared" si="103"/>
        <v/>
      </c>
      <c r="O777" s="23" t="str">
        <f>IF(B777="","",TRIM(IF(COUNTIF('Registru comenzi'!$B$5:$B$304,B777)=0,"Comandă inexistentă în registru. ","")&amp;IF(AND(D777&lt;&gt;"",E777=""),"Cod necunoscut. ","")&amp;IF(N(G777)&lt;=0,"Lipsește cantitatea. ","")&amp;IF(N(M777)&gt;N(G777),"Livrat mai mult decât s-a comandat. ","")&amp;IF(N(I777)&gt;0.3,"Discount neobișnuit de mare. ","")))</f>
        <v/>
      </c>
    </row>
    <row r="778" spans="1:15" x14ac:dyDescent="0.2">
      <c r="A778" s="1" t="str">
        <f t="shared" si="96"/>
        <v/>
      </c>
      <c r="B778" s="17"/>
      <c r="C778" s="18" t="str">
        <f>IF(B778="","",COUNTIF(INDEX($B:$B,5):B778,B778))</f>
        <v/>
      </c>
      <c r="D778" s="17"/>
      <c r="E778" s="19" t="str">
        <f t="shared" si="97"/>
        <v/>
      </c>
      <c r="F778" s="18" t="str">
        <f t="shared" si="98"/>
        <v/>
      </c>
      <c r="G778" s="6"/>
      <c r="H778" s="20" t="str">
        <f t="shared" si="99"/>
        <v/>
      </c>
      <c r="I778" s="21"/>
      <c r="J778" s="22" t="str">
        <f t="shared" si="100"/>
        <v/>
      </c>
      <c r="K778" s="20" t="str">
        <f t="shared" si="101"/>
        <v/>
      </c>
      <c r="L778" s="20" t="str">
        <f t="shared" si="102"/>
        <v/>
      </c>
      <c r="M778" s="6"/>
      <c r="N778" s="19" t="str">
        <f t="shared" si="103"/>
        <v/>
      </c>
      <c r="O778" s="23" t="str">
        <f>IF(B778="","",TRIM(IF(COUNTIF('Registru comenzi'!$B$5:$B$304,B778)=0,"Comandă inexistentă în registru. ","")&amp;IF(AND(D778&lt;&gt;"",E778=""),"Cod necunoscut. ","")&amp;IF(N(G778)&lt;=0,"Lipsește cantitatea. ","")&amp;IF(N(M778)&gt;N(G778),"Livrat mai mult decât s-a comandat. ","")&amp;IF(N(I778)&gt;0.3,"Discount neobișnuit de mare. ","")))</f>
        <v/>
      </c>
    </row>
    <row r="779" spans="1:15" x14ac:dyDescent="0.2">
      <c r="A779" s="1" t="str">
        <f t="shared" si="96"/>
        <v/>
      </c>
      <c r="B779" s="17"/>
      <c r="C779" s="18" t="str">
        <f>IF(B779="","",COUNTIF(INDEX($B:$B,5):B779,B779))</f>
        <v/>
      </c>
      <c r="D779" s="17"/>
      <c r="E779" s="19" t="str">
        <f t="shared" si="97"/>
        <v/>
      </c>
      <c r="F779" s="18" t="str">
        <f t="shared" si="98"/>
        <v/>
      </c>
      <c r="G779" s="6"/>
      <c r="H779" s="20" t="str">
        <f t="shared" si="99"/>
        <v/>
      </c>
      <c r="I779" s="21"/>
      <c r="J779" s="22" t="str">
        <f t="shared" si="100"/>
        <v/>
      </c>
      <c r="K779" s="20" t="str">
        <f t="shared" si="101"/>
        <v/>
      </c>
      <c r="L779" s="20" t="str">
        <f t="shared" si="102"/>
        <v/>
      </c>
      <c r="M779" s="6"/>
      <c r="N779" s="19" t="str">
        <f t="shared" si="103"/>
        <v/>
      </c>
      <c r="O779" s="23" t="str">
        <f>IF(B779="","",TRIM(IF(COUNTIF('Registru comenzi'!$B$5:$B$304,B779)=0,"Comandă inexistentă în registru. ","")&amp;IF(AND(D779&lt;&gt;"",E779=""),"Cod necunoscut. ","")&amp;IF(N(G779)&lt;=0,"Lipsește cantitatea. ","")&amp;IF(N(M779)&gt;N(G779),"Livrat mai mult decât s-a comandat. ","")&amp;IF(N(I779)&gt;0.3,"Discount neobișnuit de mare. ","")))</f>
        <v/>
      </c>
    </row>
    <row r="780" spans="1:15" x14ac:dyDescent="0.2">
      <c r="A780" s="1" t="str">
        <f t="shared" si="96"/>
        <v/>
      </c>
      <c r="B780" s="17"/>
      <c r="C780" s="18" t="str">
        <f>IF(B780="","",COUNTIF(INDEX($B:$B,5):B780,B780))</f>
        <v/>
      </c>
      <c r="D780" s="17"/>
      <c r="E780" s="19" t="str">
        <f t="shared" si="97"/>
        <v/>
      </c>
      <c r="F780" s="18" t="str">
        <f t="shared" si="98"/>
        <v/>
      </c>
      <c r="G780" s="6"/>
      <c r="H780" s="20" t="str">
        <f t="shared" si="99"/>
        <v/>
      </c>
      <c r="I780" s="21"/>
      <c r="J780" s="22" t="str">
        <f t="shared" si="100"/>
        <v/>
      </c>
      <c r="K780" s="20" t="str">
        <f t="shared" si="101"/>
        <v/>
      </c>
      <c r="L780" s="20" t="str">
        <f t="shared" si="102"/>
        <v/>
      </c>
      <c r="M780" s="6"/>
      <c r="N780" s="19" t="str">
        <f t="shared" si="103"/>
        <v/>
      </c>
      <c r="O780" s="23" t="str">
        <f>IF(B780="","",TRIM(IF(COUNTIF('Registru comenzi'!$B$5:$B$304,B780)=0,"Comandă inexistentă în registru. ","")&amp;IF(AND(D780&lt;&gt;"",E780=""),"Cod necunoscut. ","")&amp;IF(N(G780)&lt;=0,"Lipsește cantitatea. ","")&amp;IF(N(M780)&gt;N(G780),"Livrat mai mult decât s-a comandat. ","")&amp;IF(N(I780)&gt;0.3,"Discount neobișnuit de mare. ","")))</f>
        <v/>
      </c>
    </row>
    <row r="781" spans="1:15" x14ac:dyDescent="0.2">
      <c r="A781" s="1" t="str">
        <f t="shared" si="96"/>
        <v/>
      </c>
      <c r="B781" s="17"/>
      <c r="C781" s="18" t="str">
        <f>IF(B781="","",COUNTIF(INDEX($B:$B,5):B781,B781))</f>
        <v/>
      </c>
      <c r="D781" s="17"/>
      <c r="E781" s="19" t="str">
        <f t="shared" si="97"/>
        <v/>
      </c>
      <c r="F781" s="18" t="str">
        <f t="shared" si="98"/>
        <v/>
      </c>
      <c r="G781" s="6"/>
      <c r="H781" s="20" t="str">
        <f t="shared" si="99"/>
        <v/>
      </c>
      <c r="I781" s="21"/>
      <c r="J781" s="22" t="str">
        <f t="shared" si="100"/>
        <v/>
      </c>
      <c r="K781" s="20" t="str">
        <f t="shared" si="101"/>
        <v/>
      </c>
      <c r="L781" s="20" t="str">
        <f t="shared" si="102"/>
        <v/>
      </c>
      <c r="M781" s="6"/>
      <c r="N781" s="19" t="str">
        <f t="shared" si="103"/>
        <v/>
      </c>
      <c r="O781" s="23" t="str">
        <f>IF(B781="","",TRIM(IF(COUNTIF('Registru comenzi'!$B$5:$B$304,B781)=0,"Comandă inexistentă în registru. ","")&amp;IF(AND(D781&lt;&gt;"",E781=""),"Cod necunoscut. ","")&amp;IF(N(G781)&lt;=0,"Lipsește cantitatea. ","")&amp;IF(N(M781)&gt;N(G781),"Livrat mai mult decât s-a comandat. ","")&amp;IF(N(I781)&gt;0.3,"Discount neobișnuit de mare. ","")))</f>
        <v/>
      </c>
    </row>
    <row r="782" spans="1:15" x14ac:dyDescent="0.2">
      <c r="A782" s="1" t="str">
        <f t="shared" si="96"/>
        <v/>
      </c>
      <c r="B782" s="17"/>
      <c r="C782" s="18" t="str">
        <f>IF(B782="","",COUNTIF(INDEX($B:$B,5):B782,B782))</f>
        <v/>
      </c>
      <c r="D782" s="17"/>
      <c r="E782" s="19" t="str">
        <f t="shared" si="97"/>
        <v/>
      </c>
      <c r="F782" s="18" t="str">
        <f t="shared" si="98"/>
        <v/>
      </c>
      <c r="G782" s="6"/>
      <c r="H782" s="20" t="str">
        <f t="shared" si="99"/>
        <v/>
      </c>
      <c r="I782" s="21"/>
      <c r="J782" s="22" t="str">
        <f t="shared" si="100"/>
        <v/>
      </c>
      <c r="K782" s="20" t="str">
        <f t="shared" si="101"/>
        <v/>
      </c>
      <c r="L782" s="20" t="str">
        <f t="shared" si="102"/>
        <v/>
      </c>
      <c r="M782" s="6"/>
      <c r="N782" s="19" t="str">
        <f t="shared" si="103"/>
        <v/>
      </c>
      <c r="O782" s="23" t="str">
        <f>IF(B782="","",TRIM(IF(COUNTIF('Registru comenzi'!$B$5:$B$304,B782)=0,"Comandă inexistentă în registru. ","")&amp;IF(AND(D782&lt;&gt;"",E782=""),"Cod necunoscut. ","")&amp;IF(N(G782)&lt;=0,"Lipsește cantitatea. ","")&amp;IF(N(M782)&gt;N(G782),"Livrat mai mult decât s-a comandat. ","")&amp;IF(N(I782)&gt;0.3,"Discount neobișnuit de mare. ","")))</f>
        <v/>
      </c>
    </row>
    <row r="783" spans="1:15" x14ac:dyDescent="0.2">
      <c r="A783" s="1" t="str">
        <f t="shared" si="96"/>
        <v/>
      </c>
      <c r="B783" s="17"/>
      <c r="C783" s="18" t="str">
        <f>IF(B783="","",COUNTIF(INDEX($B:$B,5):B783,B783))</f>
        <v/>
      </c>
      <c r="D783" s="17"/>
      <c r="E783" s="19" t="str">
        <f t="shared" si="97"/>
        <v/>
      </c>
      <c r="F783" s="18" t="str">
        <f t="shared" si="98"/>
        <v/>
      </c>
      <c r="G783" s="6"/>
      <c r="H783" s="20" t="str">
        <f t="shared" si="99"/>
        <v/>
      </c>
      <c r="I783" s="21"/>
      <c r="J783" s="22" t="str">
        <f t="shared" si="100"/>
        <v/>
      </c>
      <c r="K783" s="20" t="str">
        <f t="shared" si="101"/>
        <v/>
      </c>
      <c r="L783" s="20" t="str">
        <f t="shared" si="102"/>
        <v/>
      </c>
      <c r="M783" s="6"/>
      <c r="N783" s="19" t="str">
        <f t="shared" si="103"/>
        <v/>
      </c>
      <c r="O783" s="23" t="str">
        <f>IF(B783="","",TRIM(IF(COUNTIF('Registru comenzi'!$B$5:$B$304,B783)=0,"Comandă inexistentă în registru. ","")&amp;IF(AND(D783&lt;&gt;"",E783=""),"Cod necunoscut. ","")&amp;IF(N(G783)&lt;=0,"Lipsește cantitatea. ","")&amp;IF(N(M783)&gt;N(G783),"Livrat mai mult decât s-a comandat. ","")&amp;IF(N(I783)&gt;0.3,"Discount neobișnuit de mare. ","")))</f>
        <v/>
      </c>
    </row>
    <row r="784" spans="1:15" x14ac:dyDescent="0.2">
      <c r="A784" s="1" t="str">
        <f t="shared" si="96"/>
        <v/>
      </c>
      <c r="B784" s="17"/>
      <c r="C784" s="18" t="str">
        <f>IF(B784="","",COUNTIF(INDEX($B:$B,5):B784,B784))</f>
        <v/>
      </c>
      <c r="D784" s="17"/>
      <c r="E784" s="19" t="str">
        <f t="shared" si="97"/>
        <v/>
      </c>
      <c r="F784" s="18" t="str">
        <f t="shared" si="98"/>
        <v/>
      </c>
      <c r="G784" s="6"/>
      <c r="H784" s="20" t="str">
        <f t="shared" si="99"/>
        <v/>
      </c>
      <c r="I784" s="21"/>
      <c r="J784" s="22" t="str">
        <f t="shared" si="100"/>
        <v/>
      </c>
      <c r="K784" s="20" t="str">
        <f t="shared" si="101"/>
        <v/>
      </c>
      <c r="L784" s="20" t="str">
        <f t="shared" si="102"/>
        <v/>
      </c>
      <c r="M784" s="6"/>
      <c r="N784" s="19" t="str">
        <f t="shared" si="103"/>
        <v/>
      </c>
      <c r="O784" s="23" t="str">
        <f>IF(B784="","",TRIM(IF(COUNTIF('Registru comenzi'!$B$5:$B$304,B784)=0,"Comandă inexistentă în registru. ","")&amp;IF(AND(D784&lt;&gt;"",E784=""),"Cod necunoscut. ","")&amp;IF(N(G784)&lt;=0,"Lipsește cantitatea. ","")&amp;IF(N(M784)&gt;N(G784),"Livrat mai mult decât s-a comandat. ","")&amp;IF(N(I784)&gt;0.3,"Discount neobișnuit de mare. ","")))</f>
        <v/>
      </c>
    </row>
    <row r="785" spans="1:15" x14ac:dyDescent="0.2">
      <c r="A785" s="1" t="str">
        <f t="shared" si="96"/>
        <v/>
      </c>
      <c r="B785" s="17"/>
      <c r="C785" s="18" t="str">
        <f>IF(B785="","",COUNTIF(INDEX($B:$B,5):B785,B785))</f>
        <v/>
      </c>
      <c r="D785" s="17"/>
      <c r="E785" s="19" t="str">
        <f t="shared" si="97"/>
        <v/>
      </c>
      <c r="F785" s="18" t="str">
        <f t="shared" si="98"/>
        <v/>
      </c>
      <c r="G785" s="6"/>
      <c r="H785" s="20" t="str">
        <f t="shared" si="99"/>
        <v/>
      </c>
      <c r="I785" s="21"/>
      <c r="J785" s="22" t="str">
        <f t="shared" si="100"/>
        <v/>
      </c>
      <c r="K785" s="20" t="str">
        <f t="shared" si="101"/>
        <v/>
      </c>
      <c r="L785" s="20" t="str">
        <f t="shared" si="102"/>
        <v/>
      </c>
      <c r="M785" s="6"/>
      <c r="N785" s="19" t="str">
        <f t="shared" si="103"/>
        <v/>
      </c>
      <c r="O785" s="23" t="str">
        <f>IF(B785="","",TRIM(IF(COUNTIF('Registru comenzi'!$B$5:$B$304,B785)=0,"Comandă inexistentă în registru. ","")&amp;IF(AND(D785&lt;&gt;"",E785=""),"Cod necunoscut. ","")&amp;IF(N(G785)&lt;=0,"Lipsește cantitatea. ","")&amp;IF(N(M785)&gt;N(G785),"Livrat mai mult decât s-a comandat. ","")&amp;IF(N(I785)&gt;0.3,"Discount neobișnuit de mare. ","")))</f>
        <v/>
      </c>
    </row>
    <row r="786" spans="1:15" x14ac:dyDescent="0.2">
      <c r="A786" s="1" t="str">
        <f t="shared" si="96"/>
        <v/>
      </c>
      <c r="B786" s="17"/>
      <c r="C786" s="18" t="str">
        <f>IF(B786="","",COUNTIF(INDEX($B:$B,5):B786,B786))</f>
        <v/>
      </c>
      <c r="D786" s="17"/>
      <c r="E786" s="19" t="str">
        <f t="shared" si="97"/>
        <v/>
      </c>
      <c r="F786" s="18" t="str">
        <f t="shared" si="98"/>
        <v/>
      </c>
      <c r="G786" s="6"/>
      <c r="H786" s="20" t="str">
        <f t="shared" si="99"/>
        <v/>
      </c>
      <c r="I786" s="21"/>
      <c r="J786" s="22" t="str">
        <f t="shared" si="100"/>
        <v/>
      </c>
      <c r="K786" s="20" t="str">
        <f t="shared" si="101"/>
        <v/>
      </c>
      <c r="L786" s="20" t="str">
        <f t="shared" si="102"/>
        <v/>
      </c>
      <c r="M786" s="6"/>
      <c r="N786" s="19" t="str">
        <f t="shared" si="103"/>
        <v/>
      </c>
      <c r="O786" s="23" t="str">
        <f>IF(B786="","",TRIM(IF(COUNTIF('Registru comenzi'!$B$5:$B$304,B786)=0,"Comandă inexistentă în registru. ","")&amp;IF(AND(D786&lt;&gt;"",E786=""),"Cod necunoscut. ","")&amp;IF(N(G786)&lt;=0,"Lipsește cantitatea. ","")&amp;IF(N(M786)&gt;N(G786),"Livrat mai mult decât s-a comandat. ","")&amp;IF(N(I786)&gt;0.3,"Discount neobișnuit de mare. ","")))</f>
        <v/>
      </c>
    </row>
    <row r="787" spans="1:15" x14ac:dyDescent="0.2">
      <c r="A787" s="1" t="str">
        <f t="shared" si="96"/>
        <v/>
      </c>
      <c r="B787" s="17"/>
      <c r="C787" s="18" t="str">
        <f>IF(B787="","",COUNTIF(INDEX($B:$B,5):B787,B787))</f>
        <v/>
      </c>
      <c r="D787" s="17"/>
      <c r="E787" s="19" t="str">
        <f t="shared" si="97"/>
        <v/>
      </c>
      <c r="F787" s="18" t="str">
        <f t="shared" si="98"/>
        <v/>
      </c>
      <c r="G787" s="6"/>
      <c r="H787" s="20" t="str">
        <f t="shared" si="99"/>
        <v/>
      </c>
      <c r="I787" s="21"/>
      <c r="J787" s="22" t="str">
        <f t="shared" si="100"/>
        <v/>
      </c>
      <c r="K787" s="20" t="str">
        <f t="shared" si="101"/>
        <v/>
      </c>
      <c r="L787" s="20" t="str">
        <f t="shared" si="102"/>
        <v/>
      </c>
      <c r="M787" s="6"/>
      <c r="N787" s="19" t="str">
        <f t="shared" si="103"/>
        <v/>
      </c>
      <c r="O787" s="23" t="str">
        <f>IF(B787="","",TRIM(IF(COUNTIF('Registru comenzi'!$B$5:$B$304,B787)=0,"Comandă inexistentă în registru. ","")&amp;IF(AND(D787&lt;&gt;"",E787=""),"Cod necunoscut. ","")&amp;IF(N(G787)&lt;=0,"Lipsește cantitatea. ","")&amp;IF(N(M787)&gt;N(G787),"Livrat mai mult decât s-a comandat. ","")&amp;IF(N(I787)&gt;0.3,"Discount neobișnuit de mare. ","")))</f>
        <v/>
      </c>
    </row>
    <row r="788" spans="1:15" x14ac:dyDescent="0.2">
      <c r="A788" s="1" t="str">
        <f t="shared" si="96"/>
        <v/>
      </c>
      <c r="B788" s="17"/>
      <c r="C788" s="18" t="str">
        <f>IF(B788="","",COUNTIF(INDEX($B:$B,5):B788,B788))</f>
        <v/>
      </c>
      <c r="D788" s="17"/>
      <c r="E788" s="19" t="str">
        <f t="shared" si="97"/>
        <v/>
      </c>
      <c r="F788" s="18" t="str">
        <f t="shared" si="98"/>
        <v/>
      </c>
      <c r="G788" s="6"/>
      <c r="H788" s="20" t="str">
        <f t="shared" si="99"/>
        <v/>
      </c>
      <c r="I788" s="21"/>
      <c r="J788" s="22" t="str">
        <f t="shared" si="100"/>
        <v/>
      </c>
      <c r="K788" s="20" t="str">
        <f t="shared" si="101"/>
        <v/>
      </c>
      <c r="L788" s="20" t="str">
        <f t="shared" si="102"/>
        <v/>
      </c>
      <c r="M788" s="6"/>
      <c r="N788" s="19" t="str">
        <f t="shared" si="103"/>
        <v/>
      </c>
      <c r="O788" s="23" t="str">
        <f>IF(B788="","",TRIM(IF(COUNTIF('Registru comenzi'!$B$5:$B$304,B788)=0,"Comandă inexistentă în registru. ","")&amp;IF(AND(D788&lt;&gt;"",E788=""),"Cod necunoscut. ","")&amp;IF(N(G788)&lt;=0,"Lipsește cantitatea. ","")&amp;IF(N(M788)&gt;N(G788),"Livrat mai mult decât s-a comandat. ","")&amp;IF(N(I788)&gt;0.3,"Discount neobișnuit de mare. ","")))</f>
        <v/>
      </c>
    </row>
    <row r="789" spans="1:15" x14ac:dyDescent="0.2">
      <c r="A789" s="1" t="str">
        <f t="shared" si="96"/>
        <v/>
      </c>
      <c r="B789" s="17"/>
      <c r="C789" s="18" t="str">
        <f>IF(B789="","",COUNTIF(INDEX($B:$B,5):B789,B789))</f>
        <v/>
      </c>
      <c r="D789" s="17"/>
      <c r="E789" s="19" t="str">
        <f t="shared" si="97"/>
        <v/>
      </c>
      <c r="F789" s="18" t="str">
        <f t="shared" si="98"/>
        <v/>
      </c>
      <c r="G789" s="6"/>
      <c r="H789" s="20" t="str">
        <f t="shared" si="99"/>
        <v/>
      </c>
      <c r="I789" s="21"/>
      <c r="J789" s="22" t="str">
        <f t="shared" si="100"/>
        <v/>
      </c>
      <c r="K789" s="20" t="str">
        <f t="shared" si="101"/>
        <v/>
      </c>
      <c r="L789" s="20" t="str">
        <f t="shared" si="102"/>
        <v/>
      </c>
      <c r="M789" s="6"/>
      <c r="N789" s="19" t="str">
        <f t="shared" si="103"/>
        <v/>
      </c>
      <c r="O789" s="23" t="str">
        <f>IF(B789="","",TRIM(IF(COUNTIF('Registru comenzi'!$B$5:$B$304,B789)=0,"Comandă inexistentă în registru. ","")&amp;IF(AND(D789&lt;&gt;"",E789=""),"Cod necunoscut. ","")&amp;IF(N(G789)&lt;=0,"Lipsește cantitatea. ","")&amp;IF(N(M789)&gt;N(G789),"Livrat mai mult decât s-a comandat. ","")&amp;IF(N(I789)&gt;0.3,"Discount neobișnuit de mare. ","")))</f>
        <v/>
      </c>
    </row>
    <row r="790" spans="1:15" x14ac:dyDescent="0.2">
      <c r="A790" s="1" t="str">
        <f t="shared" si="96"/>
        <v/>
      </c>
      <c r="B790" s="17"/>
      <c r="C790" s="18" t="str">
        <f>IF(B790="","",COUNTIF(INDEX($B:$B,5):B790,B790))</f>
        <v/>
      </c>
      <c r="D790" s="17"/>
      <c r="E790" s="19" t="str">
        <f t="shared" si="97"/>
        <v/>
      </c>
      <c r="F790" s="18" t="str">
        <f t="shared" si="98"/>
        <v/>
      </c>
      <c r="G790" s="6"/>
      <c r="H790" s="20" t="str">
        <f t="shared" si="99"/>
        <v/>
      </c>
      <c r="I790" s="21"/>
      <c r="J790" s="22" t="str">
        <f t="shared" si="100"/>
        <v/>
      </c>
      <c r="K790" s="20" t="str">
        <f t="shared" si="101"/>
        <v/>
      </c>
      <c r="L790" s="20" t="str">
        <f t="shared" si="102"/>
        <v/>
      </c>
      <c r="M790" s="6"/>
      <c r="N790" s="19" t="str">
        <f t="shared" si="103"/>
        <v/>
      </c>
      <c r="O790" s="23" t="str">
        <f>IF(B790="","",TRIM(IF(COUNTIF('Registru comenzi'!$B$5:$B$304,B790)=0,"Comandă inexistentă în registru. ","")&amp;IF(AND(D790&lt;&gt;"",E790=""),"Cod necunoscut. ","")&amp;IF(N(G790)&lt;=0,"Lipsește cantitatea. ","")&amp;IF(N(M790)&gt;N(G790),"Livrat mai mult decât s-a comandat. ","")&amp;IF(N(I790)&gt;0.3,"Discount neobișnuit de mare. ","")))</f>
        <v/>
      </c>
    </row>
    <row r="791" spans="1:15" x14ac:dyDescent="0.2">
      <c r="A791" s="1" t="str">
        <f t="shared" si="96"/>
        <v/>
      </c>
      <c r="B791" s="17"/>
      <c r="C791" s="18" t="str">
        <f>IF(B791="","",COUNTIF(INDEX($B:$B,5):B791,B791))</f>
        <v/>
      </c>
      <c r="D791" s="17"/>
      <c r="E791" s="19" t="str">
        <f t="shared" si="97"/>
        <v/>
      </c>
      <c r="F791" s="18" t="str">
        <f t="shared" si="98"/>
        <v/>
      </c>
      <c r="G791" s="6"/>
      <c r="H791" s="20" t="str">
        <f t="shared" si="99"/>
        <v/>
      </c>
      <c r="I791" s="21"/>
      <c r="J791" s="22" t="str">
        <f t="shared" si="100"/>
        <v/>
      </c>
      <c r="K791" s="20" t="str">
        <f t="shared" si="101"/>
        <v/>
      </c>
      <c r="L791" s="20" t="str">
        <f t="shared" si="102"/>
        <v/>
      </c>
      <c r="M791" s="6"/>
      <c r="N791" s="19" t="str">
        <f t="shared" si="103"/>
        <v/>
      </c>
      <c r="O791" s="23" t="str">
        <f>IF(B791="","",TRIM(IF(COUNTIF('Registru comenzi'!$B$5:$B$304,B791)=0,"Comandă inexistentă în registru. ","")&amp;IF(AND(D791&lt;&gt;"",E791=""),"Cod necunoscut. ","")&amp;IF(N(G791)&lt;=0,"Lipsește cantitatea. ","")&amp;IF(N(M791)&gt;N(G791),"Livrat mai mult decât s-a comandat. ","")&amp;IF(N(I791)&gt;0.3,"Discount neobișnuit de mare. ","")))</f>
        <v/>
      </c>
    </row>
    <row r="792" spans="1:15" x14ac:dyDescent="0.2">
      <c r="A792" s="1" t="str">
        <f t="shared" si="96"/>
        <v/>
      </c>
      <c r="B792" s="17"/>
      <c r="C792" s="18" t="str">
        <f>IF(B792="","",COUNTIF(INDEX($B:$B,5):B792,B792))</f>
        <v/>
      </c>
      <c r="D792" s="17"/>
      <c r="E792" s="19" t="str">
        <f t="shared" si="97"/>
        <v/>
      </c>
      <c r="F792" s="18" t="str">
        <f t="shared" si="98"/>
        <v/>
      </c>
      <c r="G792" s="6"/>
      <c r="H792" s="20" t="str">
        <f t="shared" si="99"/>
        <v/>
      </c>
      <c r="I792" s="21"/>
      <c r="J792" s="22" t="str">
        <f t="shared" si="100"/>
        <v/>
      </c>
      <c r="K792" s="20" t="str">
        <f t="shared" si="101"/>
        <v/>
      </c>
      <c r="L792" s="20" t="str">
        <f t="shared" si="102"/>
        <v/>
      </c>
      <c r="M792" s="6"/>
      <c r="N792" s="19" t="str">
        <f t="shared" si="103"/>
        <v/>
      </c>
      <c r="O792" s="23" t="str">
        <f>IF(B792="","",TRIM(IF(COUNTIF('Registru comenzi'!$B$5:$B$304,B792)=0,"Comandă inexistentă în registru. ","")&amp;IF(AND(D792&lt;&gt;"",E792=""),"Cod necunoscut. ","")&amp;IF(N(G792)&lt;=0,"Lipsește cantitatea. ","")&amp;IF(N(M792)&gt;N(G792),"Livrat mai mult decât s-a comandat. ","")&amp;IF(N(I792)&gt;0.3,"Discount neobișnuit de mare. ","")))</f>
        <v/>
      </c>
    </row>
    <row r="793" spans="1:15" x14ac:dyDescent="0.2">
      <c r="A793" s="1" t="str">
        <f t="shared" si="96"/>
        <v/>
      </c>
      <c r="B793" s="17"/>
      <c r="C793" s="18" t="str">
        <f>IF(B793="","",COUNTIF(INDEX($B:$B,5):B793,B793))</f>
        <v/>
      </c>
      <c r="D793" s="17"/>
      <c r="E793" s="19" t="str">
        <f t="shared" si="97"/>
        <v/>
      </c>
      <c r="F793" s="18" t="str">
        <f t="shared" si="98"/>
        <v/>
      </c>
      <c r="G793" s="6"/>
      <c r="H793" s="20" t="str">
        <f t="shared" si="99"/>
        <v/>
      </c>
      <c r="I793" s="21"/>
      <c r="J793" s="22" t="str">
        <f t="shared" si="100"/>
        <v/>
      </c>
      <c r="K793" s="20" t="str">
        <f t="shared" si="101"/>
        <v/>
      </c>
      <c r="L793" s="20" t="str">
        <f t="shared" si="102"/>
        <v/>
      </c>
      <c r="M793" s="6"/>
      <c r="N793" s="19" t="str">
        <f t="shared" si="103"/>
        <v/>
      </c>
      <c r="O793" s="23" t="str">
        <f>IF(B793="","",TRIM(IF(COUNTIF('Registru comenzi'!$B$5:$B$304,B793)=0,"Comandă inexistentă în registru. ","")&amp;IF(AND(D793&lt;&gt;"",E793=""),"Cod necunoscut. ","")&amp;IF(N(G793)&lt;=0,"Lipsește cantitatea. ","")&amp;IF(N(M793)&gt;N(G793),"Livrat mai mult decât s-a comandat. ","")&amp;IF(N(I793)&gt;0.3,"Discount neobișnuit de mare. ","")))</f>
        <v/>
      </c>
    </row>
    <row r="794" spans="1:15" x14ac:dyDescent="0.2">
      <c r="A794" s="1" t="str">
        <f t="shared" si="96"/>
        <v/>
      </c>
      <c r="B794" s="17"/>
      <c r="C794" s="18" t="str">
        <f>IF(B794="","",COUNTIF(INDEX($B:$B,5):B794,B794))</f>
        <v/>
      </c>
      <c r="D794" s="17"/>
      <c r="E794" s="19" t="str">
        <f t="shared" si="97"/>
        <v/>
      </c>
      <c r="F794" s="18" t="str">
        <f t="shared" si="98"/>
        <v/>
      </c>
      <c r="G794" s="6"/>
      <c r="H794" s="20" t="str">
        <f t="shared" si="99"/>
        <v/>
      </c>
      <c r="I794" s="21"/>
      <c r="J794" s="22" t="str">
        <f t="shared" si="100"/>
        <v/>
      </c>
      <c r="K794" s="20" t="str">
        <f t="shared" si="101"/>
        <v/>
      </c>
      <c r="L794" s="20" t="str">
        <f t="shared" si="102"/>
        <v/>
      </c>
      <c r="M794" s="6"/>
      <c r="N794" s="19" t="str">
        <f t="shared" si="103"/>
        <v/>
      </c>
      <c r="O794" s="23" t="str">
        <f>IF(B794="","",TRIM(IF(COUNTIF('Registru comenzi'!$B$5:$B$304,B794)=0,"Comandă inexistentă în registru. ","")&amp;IF(AND(D794&lt;&gt;"",E794=""),"Cod necunoscut. ","")&amp;IF(N(G794)&lt;=0,"Lipsește cantitatea. ","")&amp;IF(N(M794)&gt;N(G794),"Livrat mai mult decât s-a comandat. ","")&amp;IF(N(I794)&gt;0.3,"Discount neobișnuit de mare. ","")))</f>
        <v/>
      </c>
    </row>
    <row r="795" spans="1:15" x14ac:dyDescent="0.2">
      <c r="A795" s="1" t="str">
        <f t="shared" si="96"/>
        <v/>
      </c>
      <c r="B795" s="17"/>
      <c r="C795" s="18" t="str">
        <f>IF(B795="","",COUNTIF(INDEX($B:$B,5):B795,B795))</f>
        <v/>
      </c>
      <c r="D795" s="17"/>
      <c r="E795" s="19" t="str">
        <f t="shared" si="97"/>
        <v/>
      </c>
      <c r="F795" s="18" t="str">
        <f t="shared" si="98"/>
        <v/>
      </c>
      <c r="G795" s="6"/>
      <c r="H795" s="20" t="str">
        <f t="shared" si="99"/>
        <v/>
      </c>
      <c r="I795" s="21"/>
      <c r="J795" s="22" t="str">
        <f t="shared" si="100"/>
        <v/>
      </c>
      <c r="K795" s="20" t="str">
        <f t="shared" si="101"/>
        <v/>
      </c>
      <c r="L795" s="20" t="str">
        <f t="shared" si="102"/>
        <v/>
      </c>
      <c r="M795" s="6"/>
      <c r="N795" s="19" t="str">
        <f t="shared" si="103"/>
        <v/>
      </c>
      <c r="O795" s="23" t="str">
        <f>IF(B795="","",TRIM(IF(COUNTIF('Registru comenzi'!$B$5:$B$304,B795)=0,"Comandă inexistentă în registru. ","")&amp;IF(AND(D795&lt;&gt;"",E795=""),"Cod necunoscut. ","")&amp;IF(N(G795)&lt;=0,"Lipsește cantitatea. ","")&amp;IF(N(M795)&gt;N(G795),"Livrat mai mult decât s-a comandat. ","")&amp;IF(N(I795)&gt;0.3,"Discount neobișnuit de mare. ","")))</f>
        <v/>
      </c>
    </row>
    <row r="796" spans="1:15" x14ac:dyDescent="0.2">
      <c r="A796" s="1" t="str">
        <f t="shared" si="96"/>
        <v/>
      </c>
      <c r="B796" s="17"/>
      <c r="C796" s="18" t="str">
        <f>IF(B796="","",COUNTIF(INDEX($B:$B,5):B796,B796))</f>
        <v/>
      </c>
      <c r="D796" s="17"/>
      <c r="E796" s="19" t="str">
        <f t="shared" si="97"/>
        <v/>
      </c>
      <c r="F796" s="18" t="str">
        <f t="shared" si="98"/>
        <v/>
      </c>
      <c r="G796" s="6"/>
      <c r="H796" s="20" t="str">
        <f t="shared" si="99"/>
        <v/>
      </c>
      <c r="I796" s="21"/>
      <c r="J796" s="22" t="str">
        <f t="shared" si="100"/>
        <v/>
      </c>
      <c r="K796" s="20" t="str">
        <f t="shared" si="101"/>
        <v/>
      </c>
      <c r="L796" s="20" t="str">
        <f t="shared" si="102"/>
        <v/>
      </c>
      <c r="M796" s="6"/>
      <c r="N796" s="19" t="str">
        <f t="shared" si="103"/>
        <v/>
      </c>
      <c r="O796" s="23" t="str">
        <f>IF(B796="","",TRIM(IF(COUNTIF('Registru comenzi'!$B$5:$B$304,B796)=0,"Comandă inexistentă în registru. ","")&amp;IF(AND(D796&lt;&gt;"",E796=""),"Cod necunoscut. ","")&amp;IF(N(G796)&lt;=0,"Lipsește cantitatea. ","")&amp;IF(N(M796)&gt;N(G796),"Livrat mai mult decât s-a comandat. ","")&amp;IF(N(I796)&gt;0.3,"Discount neobișnuit de mare. ","")))</f>
        <v/>
      </c>
    </row>
    <row r="797" spans="1:15" x14ac:dyDescent="0.2">
      <c r="A797" s="1" t="str">
        <f t="shared" si="96"/>
        <v/>
      </c>
      <c r="B797" s="17"/>
      <c r="C797" s="18" t="str">
        <f>IF(B797="","",COUNTIF(INDEX($B:$B,5):B797,B797))</f>
        <v/>
      </c>
      <c r="D797" s="17"/>
      <c r="E797" s="19" t="str">
        <f t="shared" si="97"/>
        <v/>
      </c>
      <c r="F797" s="18" t="str">
        <f t="shared" si="98"/>
        <v/>
      </c>
      <c r="G797" s="6"/>
      <c r="H797" s="20" t="str">
        <f t="shared" si="99"/>
        <v/>
      </c>
      <c r="I797" s="21"/>
      <c r="J797" s="22" t="str">
        <f t="shared" si="100"/>
        <v/>
      </c>
      <c r="K797" s="20" t="str">
        <f t="shared" si="101"/>
        <v/>
      </c>
      <c r="L797" s="20" t="str">
        <f t="shared" si="102"/>
        <v/>
      </c>
      <c r="M797" s="6"/>
      <c r="N797" s="19" t="str">
        <f t="shared" si="103"/>
        <v/>
      </c>
      <c r="O797" s="23" t="str">
        <f>IF(B797="","",TRIM(IF(COUNTIF('Registru comenzi'!$B$5:$B$304,B797)=0,"Comandă inexistentă în registru. ","")&amp;IF(AND(D797&lt;&gt;"",E797=""),"Cod necunoscut. ","")&amp;IF(N(G797)&lt;=0,"Lipsește cantitatea. ","")&amp;IF(N(M797)&gt;N(G797),"Livrat mai mult decât s-a comandat. ","")&amp;IF(N(I797)&gt;0.3,"Discount neobișnuit de mare. ","")))</f>
        <v/>
      </c>
    </row>
    <row r="798" spans="1:15" x14ac:dyDescent="0.2">
      <c r="A798" s="1" t="str">
        <f t="shared" si="96"/>
        <v/>
      </c>
      <c r="B798" s="17"/>
      <c r="C798" s="18" t="str">
        <f>IF(B798="","",COUNTIF(INDEX($B:$B,5):B798,B798))</f>
        <v/>
      </c>
      <c r="D798" s="17"/>
      <c r="E798" s="19" t="str">
        <f t="shared" si="97"/>
        <v/>
      </c>
      <c r="F798" s="18" t="str">
        <f t="shared" si="98"/>
        <v/>
      </c>
      <c r="G798" s="6"/>
      <c r="H798" s="20" t="str">
        <f t="shared" si="99"/>
        <v/>
      </c>
      <c r="I798" s="21"/>
      <c r="J798" s="22" t="str">
        <f t="shared" si="100"/>
        <v/>
      </c>
      <c r="K798" s="20" t="str">
        <f t="shared" si="101"/>
        <v/>
      </c>
      <c r="L798" s="20" t="str">
        <f t="shared" si="102"/>
        <v/>
      </c>
      <c r="M798" s="6"/>
      <c r="N798" s="19" t="str">
        <f t="shared" si="103"/>
        <v/>
      </c>
      <c r="O798" s="23" t="str">
        <f>IF(B798="","",TRIM(IF(COUNTIF('Registru comenzi'!$B$5:$B$304,B798)=0,"Comandă inexistentă în registru. ","")&amp;IF(AND(D798&lt;&gt;"",E798=""),"Cod necunoscut. ","")&amp;IF(N(G798)&lt;=0,"Lipsește cantitatea. ","")&amp;IF(N(M798)&gt;N(G798),"Livrat mai mult decât s-a comandat. ","")&amp;IF(N(I798)&gt;0.3,"Discount neobișnuit de mare. ","")))</f>
        <v/>
      </c>
    </row>
    <row r="799" spans="1:15" x14ac:dyDescent="0.2">
      <c r="A799" s="1" t="str">
        <f t="shared" si="96"/>
        <v/>
      </c>
      <c r="B799" s="17"/>
      <c r="C799" s="18" t="str">
        <f>IF(B799="","",COUNTIF(INDEX($B:$B,5):B799,B799))</f>
        <v/>
      </c>
      <c r="D799" s="17"/>
      <c r="E799" s="19" t="str">
        <f t="shared" si="97"/>
        <v/>
      </c>
      <c r="F799" s="18" t="str">
        <f t="shared" si="98"/>
        <v/>
      </c>
      <c r="G799" s="6"/>
      <c r="H799" s="20" t="str">
        <f t="shared" si="99"/>
        <v/>
      </c>
      <c r="I799" s="21"/>
      <c r="J799" s="22" t="str">
        <f t="shared" si="100"/>
        <v/>
      </c>
      <c r="K799" s="20" t="str">
        <f t="shared" si="101"/>
        <v/>
      </c>
      <c r="L799" s="20" t="str">
        <f t="shared" si="102"/>
        <v/>
      </c>
      <c r="M799" s="6"/>
      <c r="N799" s="19" t="str">
        <f t="shared" si="103"/>
        <v/>
      </c>
      <c r="O799" s="23" t="str">
        <f>IF(B799="","",TRIM(IF(COUNTIF('Registru comenzi'!$B$5:$B$304,B799)=0,"Comandă inexistentă în registru. ","")&amp;IF(AND(D799&lt;&gt;"",E799=""),"Cod necunoscut. ","")&amp;IF(N(G799)&lt;=0,"Lipsește cantitatea. ","")&amp;IF(N(M799)&gt;N(G799),"Livrat mai mult decât s-a comandat. ","")&amp;IF(N(I799)&gt;0.3,"Discount neobișnuit de mare. ","")))</f>
        <v/>
      </c>
    </row>
    <row r="800" spans="1:15" x14ac:dyDescent="0.2">
      <c r="A800" s="1" t="str">
        <f t="shared" si="96"/>
        <v/>
      </c>
      <c r="B800" s="17"/>
      <c r="C800" s="18" t="str">
        <f>IF(B800="","",COUNTIF(INDEX($B:$B,5):B800,B800))</f>
        <v/>
      </c>
      <c r="D800" s="17"/>
      <c r="E800" s="19" t="str">
        <f t="shared" si="97"/>
        <v/>
      </c>
      <c r="F800" s="18" t="str">
        <f t="shared" si="98"/>
        <v/>
      </c>
      <c r="G800" s="6"/>
      <c r="H800" s="20" t="str">
        <f t="shared" si="99"/>
        <v/>
      </c>
      <c r="I800" s="21"/>
      <c r="J800" s="22" t="str">
        <f t="shared" si="100"/>
        <v/>
      </c>
      <c r="K800" s="20" t="str">
        <f t="shared" si="101"/>
        <v/>
      </c>
      <c r="L800" s="20" t="str">
        <f t="shared" si="102"/>
        <v/>
      </c>
      <c r="M800" s="6"/>
      <c r="N800" s="19" t="str">
        <f t="shared" si="103"/>
        <v/>
      </c>
      <c r="O800" s="23" t="str">
        <f>IF(B800="","",TRIM(IF(COUNTIF('Registru comenzi'!$B$5:$B$304,B800)=0,"Comandă inexistentă în registru. ","")&amp;IF(AND(D800&lt;&gt;"",E800=""),"Cod necunoscut. ","")&amp;IF(N(G800)&lt;=0,"Lipsește cantitatea. ","")&amp;IF(N(M800)&gt;N(G800),"Livrat mai mult decât s-a comandat. ","")&amp;IF(N(I800)&gt;0.3,"Discount neobișnuit de mare. ","")))</f>
        <v/>
      </c>
    </row>
    <row r="801" spans="1:15" x14ac:dyDescent="0.2">
      <c r="A801" s="1" t="str">
        <f t="shared" si="96"/>
        <v/>
      </c>
      <c r="B801" s="17"/>
      <c r="C801" s="18" t="str">
        <f>IF(B801="","",COUNTIF(INDEX($B:$B,5):B801,B801))</f>
        <v/>
      </c>
      <c r="D801" s="17"/>
      <c r="E801" s="19" t="str">
        <f t="shared" si="97"/>
        <v/>
      </c>
      <c r="F801" s="18" t="str">
        <f t="shared" si="98"/>
        <v/>
      </c>
      <c r="G801" s="6"/>
      <c r="H801" s="20" t="str">
        <f t="shared" si="99"/>
        <v/>
      </c>
      <c r="I801" s="21"/>
      <c r="J801" s="22" t="str">
        <f t="shared" si="100"/>
        <v/>
      </c>
      <c r="K801" s="20" t="str">
        <f t="shared" si="101"/>
        <v/>
      </c>
      <c r="L801" s="20" t="str">
        <f t="shared" si="102"/>
        <v/>
      </c>
      <c r="M801" s="6"/>
      <c r="N801" s="19" t="str">
        <f t="shared" si="103"/>
        <v/>
      </c>
      <c r="O801" s="23" t="str">
        <f>IF(B801="","",TRIM(IF(COUNTIF('Registru comenzi'!$B$5:$B$304,B801)=0,"Comandă inexistentă în registru. ","")&amp;IF(AND(D801&lt;&gt;"",E801=""),"Cod necunoscut. ","")&amp;IF(N(G801)&lt;=0,"Lipsește cantitatea. ","")&amp;IF(N(M801)&gt;N(G801),"Livrat mai mult decât s-a comandat. ","")&amp;IF(N(I801)&gt;0.3,"Discount neobișnuit de mare. ","")))</f>
        <v/>
      </c>
    </row>
    <row r="802" spans="1:15" x14ac:dyDescent="0.2">
      <c r="A802" s="1" t="str">
        <f t="shared" si="96"/>
        <v/>
      </c>
      <c r="B802" s="17"/>
      <c r="C802" s="18" t="str">
        <f>IF(B802="","",COUNTIF(INDEX($B:$B,5):B802,B802))</f>
        <v/>
      </c>
      <c r="D802" s="17"/>
      <c r="E802" s="19" t="str">
        <f t="shared" si="97"/>
        <v/>
      </c>
      <c r="F802" s="18" t="str">
        <f t="shared" si="98"/>
        <v/>
      </c>
      <c r="G802" s="6"/>
      <c r="H802" s="20" t="str">
        <f t="shared" si="99"/>
        <v/>
      </c>
      <c r="I802" s="21"/>
      <c r="J802" s="22" t="str">
        <f t="shared" si="100"/>
        <v/>
      </c>
      <c r="K802" s="20" t="str">
        <f t="shared" si="101"/>
        <v/>
      </c>
      <c r="L802" s="20" t="str">
        <f t="shared" si="102"/>
        <v/>
      </c>
      <c r="M802" s="6"/>
      <c r="N802" s="19" t="str">
        <f t="shared" si="103"/>
        <v/>
      </c>
      <c r="O802" s="23" t="str">
        <f>IF(B802="","",TRIM(IF(COUNTIF('Registru comenzi'!$B$5:$B$304,B802)=0,"Comandă inexistentă în registru. ","")&amp;IF(AND(D802&lt;&gt;"",E802=""),"Cod necunoscut. ","")&amp;IF(N(G802)&lt;=0,"Lipsește cantitatea. ","")&amp;IF(N(M802)&gt;N(G802),"Livrat mai mult decât s-a comandat. ","")&amp;IF(N(I802)&gt;0.3,"Discount neobișnuit de mare. ","")))</f>
        <v/>
      </c>
    </row>
    <row r="803" spans="1:15" x14ac:dyDescent="0.2">
      <c r="A803" s="1" t="str">
        <f t="shared" si="96"/>
        <v/>
      </c>
      <c r="B803" s="17"/>
      <c r="C803" s="18" t="str">
        <f>IF(B803="","",COUNTIF(INDEX($B:$B,5):B803,B803))</f>
        <v/>
      </c>
      <c r="D803" s="17"/>
      <c r="E803" s="19" t="str">
        <f t="shared" si="97"/>
        <v/>
      </c>
      <c r="F803" s="18" t="str">
        <f t="shared" si="98"/>
        <v/>
      </c>
      <c r="G803" s="6"/>
      <c r="H803" s="20" t="str">
        <f t="shared" si="99"/>
        <v/>
      </c>
      <c r="I803" s="21"/>
      <c r="J803" s="22" t="str">
        <f t="shared" si="100"/>
        <v/>
      </c>
      <c r="K803" s="20" t="str">
        <f t="shared" si="101"/>
        <v/>
      </c>
      <c r="L803" s="20" t="str">
        <f t="shared" si="102"/>
        <v/>
      </c>
      <c r="M803" s="6"/>
      <c r="N803" s="19" t="str">
        <f t="shared" si="103"/>
        <v/>
      </c>
      <c r="O803" s="23" t="str">
        <f>IF(B803="","",TRIM(IF(COUNTIF('Registru comenzi'!$B$5:$B$304,B803)=0,"Comandă inexistentă în registru. ","")&amp;IF(AND(D803&lt;&gt;"",E803=""),"Cod necunoscut. ","")&amp;IF(N(G803)&lt;=0,"Lipsește cantitatea. ","")&amp;IF(N(M803)&gt;N(G803),"Livrat mai mult decât s-a comandat. ","")&amp;IF(N(I803)&gt;0.3,"Discount neobișnuit de mare. ","")))</f>
        <v/>
      </c>
    </row>
    <row r="804" spans="1:15" x14ac:dyDescent="0.2">
      <c r="A804" s="1" t="str">
        <f t="shared" si="96"/>
        <v/>
      </c>
      <c r="B804" s="17"/>
      <c r="C804" s="18" t="str">
        <f>IF(B804="","",COUNTIF(INDEX($B:$B,5):B804,B804))</f>
        <v/>
      </c>
      <c r="D804" s="17"/>
      <c r="E804" s="19" t="str">
        <f t="shared" si="97"/>
        <v/>
      </c>
      <c r="F804" s="18" t="str">
        <f t="shared" si="98"/>
        <v/>
      </c>
      <c r="G804" s="6"/>
      <c r="H804" s="20" t="str">
        <f t="shared" si="99"/>
        <v/>
      </c>
      <c r="I804" s="21"/>
      <c r="J804" s="22" t="str">
        <f t="shared" si="100"/>
        <v/>
      </c>
      <c r="K804" s="20" t="str">
        <f t="shared" si="101"/>
        <v/>
      </c>
      <c r="L804" s="20" t="str">
        <f t="shared" si="102"/>
        <v/>
      </c>
      <c r="M804" s="6"/>
      <c r="N804" s="19" t="str">
        <f t="shared" si="103"/>
        <v/>
      </c>
      <c r="O804" s="23" t="str">
        <f>IF(B804="","",TRIM(IF(COUNTIF('Registru comenzi'!$B$5:$B$304,B804)=0,"Comandă inexistentă în registru. ","")&amp;IF(AND(D804&lt;&gt;"",E804=""),"Cod necunoscut. ","")&amp;IF(N(G804)&lt;=0,"Lipsește cantitatea. ","")&amp;IF(N(M804)&gt;N(G804),"Livrat mai mult decât s-a comandat. ","")&amp;IF(N(I804)&gt;0.3,"Discount neobișnuit de mare. ","")))</f>
        <v/>
      </c>
    </row>
    <row r="805" spans="1:15" x14ac:dyDescent="0.2">
      <c r="A805" s="1" t="str">
        <f t="shared" si="96"/>
        <v/>
      </c>
      <c r="B805" s="17"/>
      <c r="C805" s="18" t="str">
        <f>IF(B805="","",COUNTIF(INDEX($B:$B,5):B805,B805))</f>
        <v/>
      </c>
      <c r="D805" s="17"/>
      <c r="E805" s="19" t="str">
        <f t="shared" si="97"/>
        <v/>
      </c>
      <c r="F805" s="18" t="str">
        <f t="shared" si="98"/>
        <v/>
      </c>
      <c r="G805" s="6"/>
      <c r="H805" s="20" t="str">
        <f t="shared" si="99"/>
        <v/>
      </c>
      <c r="I805" s="21"/>
      <c r="J805" s="22" t="str">
        <f t="shared" si="100"/>
        <v/>
      </c>
      <c r="K805" s="20" t="str">
        <f t="shared" si="101"/>
        <v/>
      </c>
      <c r="L805" s="20" t="str">
        <f t="shared" si="102"/>
        <v/>
      </c>
      <c r="M805" s="6"/>
      <c r="N805" s="19" t="str">
        <f t="shared" si="103"/>
        <v/>
      </c>
      <c r="O805" s="23" t="str">
        <f>IF(B805="","",TRIM(IF(COUNTIF('Registru comenzi'!$B$5:$B$304,B805)=0,"Comandă inexistentă în registru. ","")&amp;IF(AND(D805&lt;&gt;"",E805=""),"Cod necunoscut. ","")&amp;IF(N(G805)&lt;=0,"Lipsește cantitatea. ","")&amp;IF(N(M805)&gt;N(G805),"Livrat mai mult decât s-a comandat. ","")&amp;IF(N(I805)&gt;0.3,"Discount neobișnuit de mare. ","")))</f>
        <v/>
      </c>
    </row>
    <row r="806" spans="1:15" x14ac:dyDescent="0.2">
      <c r="A806" s="1" t="str">
        <f t="shared" si="96"/>
        <v/>
      </c>
      <c r="B806" s="17"/>
      <c r="C806" s="18" t="str">
        <f>IF(B806="","",COUNTIF(INDEX($B:$B,5):B806,B806))</f>
        <v/>
      </c>
      <c r="D806" s="17"/>
      <c r="E806" s="19" t="str">
        <f t="shared" si="97"/>
        <v/>
      </c>
      <c r="F806" s="18" t="str">
        <f t="shared" si="98"/>
        <v/>
      </c>
      <c r="G806" s="6"/>
      <c r="H806" s="20" t="str">
        <f t="shared" si="99"/>
        <v/>
      </c>
      <c r="I806" s="21"/>
      <c r="J806" s="22" t="str">
        <f t="shared" si="100"/>
        <v/>
      </c>
      <c r="K806" s="20" t="str">
        <f t="shared" si="101"/>
        <v/>
      </c>
      <c r="L806" s="20" t="str">
        <f t="shared" si="102"/>
        <v/>
      </c>
      <c r="M806" s="6"/>
      <c r="N806" s="19" t="str">
        <f t="shared" si="103"/>
        <v/>
      </c>
      <c r="O806" s="23" t="str">
        <f>IF(B806="","",TRIM(IF(COUNTIF('Registru comenzi'!$B$5:$B$304,B806)=0,"Comandă inexistentă în registru. ","")&amp;IF(AND(D806&lt;&gt;"",E806=""),"Cod necunoscut. ","")&amp;IF(N(G806)&lt;=0,"Lipsește cantitatea. ","")&amp;IF(N(M806)&gt;N(G806),"Livrat mai mult decât s-a comandat. ","")&amp;IF(N(I806)&gt;0.3,"Discount neobișnuit de mare. ","")))</f>
        <v/>
      </c>
    </row>
    <row r="807" spans="1:15" x14ac:dyDescent="0.2">
      <c r="A807" s="1" t="str">
        <f t="shared" si="96"/>
        <v/>
      </c>
      <c r="B807" s="17"/>
      <c r="C807" s="18" t="str">
        <f>IF(B807="","",COUNTIF(INDEX($B:$B,5):B807,B807))</f>
        <v/>
      </c>
      <c r="D807" s="17"/>
      <c r="E807" s="19" t="str">
        <f t="shared" si="97"/>
        <v/>
      </c>
      <c r="F807" s="18" t="str">
        <f t="shared" si="98"/>
        <v/>
      </c>
      <c r="G807" s="6"/>
      <c r="H807" s="20" t="str">
        <f t="shared" si="99"/>
        <v/>
      </c>
      <c r="I807" s="21"/>
      <c r="J807" s="22" t="str">
        <f t="shared" si="100"/>
        <v/>
      </c>
      <c r="K807" s="20" t="str">
        <f t="shared" si="101"/>
        <v/>
      </c>
      <c r="L807" s="20" t="str">
        <f t="shared" si="102"/>
        <v/>
      </c>
      <c r="M807" s="6"/>
      <c r="N807" s="19" t="str">
        <f t="shared" si="103"/>
        <v/>
      </c>
      <c r="O807" s="23" t="str">
        <f>IF(B807="","",TRIM(IF(COUNTIF('Registru comenzi'!$B$5:$B$304,B807)=0,"Comandă inexistentă în registru. ","")&amp;IF(AND(D807&lt;&gt;"",E807=""),"Cod necunoscut. ","")&amp;IF(N(G807)&lt;=0,"Lipsește cantitatea. ","")&amp;IF(N(M807)&gt;N(G807),"Livrat mai mult decât s-a comandat. ","")&amp;IF(N(I807)&gt;0.3,"Discount neobișnuit de mare. ","")))</f>
        <v/>
      </c>
    </row>
    <row r="808" spans="1:15" x14ac:dyDescent="0.2">
      <c r="A808" s="1" t="str">
        <f t="shared" si="96"/>
        <v/>
      </c>
      <c r="B808" s="17"/>
      <c r="C808" s="18" t="str">
        <f>IF(B808="","",COUNTIF(INDEX($B:$B,5):B808,B808))</f>
        <v/>
      </c>
      <c r="D808" s="17"/>
      <c r="E808" s="19" t="str">
        <f t="shared" si="97"/>
        <v/>
      </c>
      <c r="F808" s="18" t="str">
        <f t="shared" si="98"/>
        <v/>
      </c>
      <c r="G808" s="6"/>
      <c r="H808" s="20" t="str">
        <f t="shared" si="99"/>
        <v/>
      </c>
      <c r="I808" s="21"/>
      <c r="J808" s="22" t="str">
        <f t="shared" si="100"/>
        <v/>
      </c>
      <c r="K808" s="20" t="str">
        <f t="shared" si="101"/>
        <v/>
      </c>
      <c r="L808" s="20" t="str">
        <f t="shared" si="102"/>
        <v/>
      </c>
      <c r="M808" s="6"/>
      <c r="N808" s="19" t="str">
        <f t="shared" si="103"/>
        <v/>
      </c>
      <c r="O808" s="23" t="str">
        <f>IF(B808="","",TRIM(IF(COUNTIF('Registru comenzi'!$B$5:$B$304,B808)=0,"Comandă inexistentă în registru. ","")&amp;IF(AND(D808&lt;&gt;"",E808=""),"Cod necunoscut. ","")&amp;IF(N(G808)&lt;=0,"Lipsește cantitatea. ","")&amp;IF(N(M808)&gt;N(G808),"Livrat mai mult decât s-a comandat. ","")&amp;IF(N(I808)&gt;0.3,"Discount neobișnuit de mare. ","")))</f>
        <v/>
      </c>
    </row>
    <row r="809" spans="1:15" x14ac:dyDescent="0.2">
      <c r="A809" s="1" t="str">
        <f t="shared" si="96"/>
        <v/>
      </c>
      <c r="B809" s="17"/>
      <c r="C809" s="18" t="str">
        <f>IF(B809="","",COUNTIF(INDEX($B:$B,5):B809,B809))</f>
        <v/>
      </c>
      <c r="D809" s="17"/>
      <c r="E809" s="19" t="str">
        <f t="shared" si="97"/>
        <v/>
      </c>
      <c r="F809" s="18" t="str">
        <f t="shared" si="98"/>
        <v/>
      </c>
      <c r="G809" s="6"/>
      <c r="H809" s="20" t="str">
        <f t="shared" si="99"/>
        <v/>
      </c>
      <c r="I809" s="21"/>
      <c r="J809" s="22" t="str">
        <f t="shared" si="100"/>
        <v/>
      </c>
      <c r="K809" s="20" t="str">
        <f t="shared" si="101"/>
        <v/>
      </c>
      <c r="L809" s="20" t="str">
        <f t="shared" si="102"/>
        <v/>
      </c>
      <c r="M809" s="6"/>
      <c r="N809" s="19" t="str">
        <f t="shared" si="103"/>
        <v/>
      </c>
      <c r="O809" s="23" t="str">
        <f>IF(B809="","",TRIM(IF(COUNTIF('Registru comenzi'!$B$5:$B$304,B809)=0,"Comandă inexistentă în registru. ","")&amp;IF(AND(D809&lt;&gt;"",E809=""),"Cod necunoscut. ","")&amp;IF(N(G809)&lt;=0,"Lipsește cantitatea. ","")&amp;IF(N(M809)&gt;N(G809),"Livrat mai mult decât s-a comandat. ","")&amp;IF(N(I809)&gt;0.3,"Discount neobișnuit de mare. ","")))</f>
        <v/>
      </c>
    </row>
    <row r="810" spans="1:15" x14ac:dyDescent="0.2">
      <c r="A810" s="1" t="str">
        <f t="shared" si="96"/>
        <v/>
      </c>
      <c r="B810" s="17"/>
      <c r="C810" s="18" t="str">
        <f>IF(B810="","",COUNTIF(INDEX($B:$B,5):B810,B810))</f>
        <v/>
      </c>
      <c r="D810" s="17"/>
      <c r="E810" s="19" t="str">
        <f t="shared" si="97"/>
        <v/>
      </c>
      <c r="F810" s="18" t="str">
        <f t="shared" si="98"/>
        <v/>
      </c>
      <c r="G810" s="6"/>
      <c r="H810" s="20" t="str">
        <f t="shared" si="99"/>
        <v/>
      </c>
      <c r="I810" s="21"/>
      <c r="J810" s="22" t="str">
        <f t="shared" si="100"/>
        <v/>
      </c>
      <c r="K810" s="20" t="str">
        <f t="shared" si="101"/>
        <v/>
      </c>
      <c r="L810" s="20" t="str">
        <f t="shared" si="102"/>
        <v/>
      </c>
      <c r="M810" s="6"/>
      <c r="N810" s="19" t="str">
        <f t="shared" si="103"/>
        <v/>
      </c>
      <c r="O810" s="23" t="str">
        <f>IF(B810="","",TRIM(IF(COUNTIF('Registru comenzi'!$B$5:$B$304,B810)=0,"Comandă inexistentă în registru. ","")&amp;IF(AND(D810&lt;&gt;"",E810=""),"Cod necunoscut. ","")&amp;IF(N(G810)&lt;=0,"Lipsește cantitatea. ","")&amp;IF(N(M810)&gt;N(G810),"Livrat mai mult decât s-a comandat. ","")&amp;IF(N(I810)&gt;0.3,"Discount neobișnuit de mare. ","")))</f>
        <v/>
      </c>
    </row>
    <row r="811" spans="1:15" x14ac:dyDescent="0.2">
      <c r="A811" s="1" t="str">
        <f t="shared" si="96"/>
        <v/>
      </c>
      <c r="B811" s="17"/>
      <c r="C811" s="18" t="str">
        <f>IF(B811="","",COUNTIF(INDEX($B:$B,5):B811,B811))</f>
        <v/>
      </c>
      <c r="D811" s="17"/>
      <c r="E811" s="19" t="str">
        <f t="shared" si="97"/>
        <v/>
      </c>
      <c r="F811" s="18" t="str">
        <f t="shared" si="98"/>
        <v/>
      </c>
      <c r="G811" s="6"/>
      <c r="H811" s="20" t="str">
        <f t="shared" si="99"/>
        <v/>
      </c>
      <c r="I811" s="21"/>
      <c r="J811" s="22" t="str">
        <f t="shared" si="100"/>
        <v/>
      </c>
      <c r="K811" s="20" t="str">
        <f t="shared" si="101"/>
        <v/>
      </c>
      <c r="L811" s="20" t="str">
        <f t="shared" si="102"/>
        <v/>
      </c>
      <c r="M811" s="6"/>
      <c r="N811" s="19" t="str">
        <f t="shared" si="103"/>
        <v/>
      </c>
      <c r="O811" s="23" t="str">
        <f>IF(B811="","",TRIM(IF(COUNTIF('Registru comenzi'!$B$5:$B$304,B811)=0,"Comandă inexistentă în registru. ","")&amp;IF(AND(D811&lt;&gt;"",E811=""),"Cod necunoscut. ","")&amp;IF(N(G811)&lt;=0,"Lipsește cantitatea. ","")&amp;IF(N(M811)&gt;N(G811),"Livrat mai mult decât s-a comandat. ","")&amp;IF(N(I811)&gt;0.3,"Discount neobișnuit de mare. ","")))</f>
        <v/>
      </c>
    </row>
    <row r="812" spans="1:15" x14ac:dyDescent="0.2">
      <c r="A812" s="1" t="str">
        <f t="shared" si="96"/>
        <v/>
      </c>
      <c r="B812" s="17"/>
      <c r="C812" s="18" t="str">
        <f>IF(B812="","",COUNTIF(INDEX($B:$B,5):B812,B812))</f>
        <v/>
      </c>
      <c r="D812" s="17"/>
      <c r="E812" s="19" t="str">
        <f t="shared" si="97"/>
        <v/>
      </c>
      <c r="F812" s="18" t="str">
        <f t="shared" si="98"/>
        <v/>
      </c>
      <c r="G812" s="6"/>
      <c r="H812" s="20" t="str">
        <f t="shared" si="99"/>
        <v/>
      </c>
      <c r="I812" s="21"/>
      <c r="J812" s="22" t="str">
        <f t="shared" si="100"/>
        <v/>
      </c>
      <c r="K812" s="20" t="str">
        <f t="shared" si="101"/>
        <v/>
      </c>
      <c r="L812" s="20" t="str">
        <f t="shared" si="102"/>
        <v/>
      </c>
      <c r="M812" s="6"/>
      <c r="N812" s="19" t="str">
        <f t="shared" si="103"/>
        <v/>
      </c>
      <c r="O812" s="23" t="str">
        <f>IF(B812="","",TRIM(IF(COUNTIF('Registru comenzi'!$B$5:$B$304,B812)=0,"Comandă inexistentă în registru. ","")&amp;IF(AND(D812&lt;&gt;"",E812=""),"Cod necunoscut. ","")&amp;IF(N(G812)&lt;=0,"Lipsește cantitatea. ","")&amp;IF(N(M812)&gt;N(G812),"Livrat mai mult decât s-a comandat. ","")&amp;IF(N(I812)&gt;0.3,"Discount neobișnuit de mare. ","")))</f>
        <v/>
      </c>
    </row>
    <row r="813" spans="1:15" x14ac:dyDescent="0.2">
      <c r="A813" s="1" t="str">
        <f t="shared" si="96"/>
        <v/>
      </c>
      <c r="B813" s="17"/>
      <c r="C813" s="18" t="str">
        <f>IF(B813="","",COUNTIF(INDEX($B:$B,5):B813,B813))</f>
        <v/>
      </c>
      <c r="D813" s="17"/>
      <c r="E813" s="19" t="str">
        <f t="shared" si="97"/>
        <v/>
      </c>
      <c r="F813" s="18" t="str">
        <f t="shared" si="98"/>
        <v/>
      </c>
      <c r="G813" s="6"/>
      <c r="H813" s="20" t="str">
        <f t="shared" si="99"/>
        <v/>
      </c>
      <c r="I813" s="21"/>
      <c r="J813" s="22" t="str">
        <f t="shared" si="100"/>
        <v/>
      </c>
      <c r="K813" s="20" t="str">
        <f t="shared" si="101"/>
        <v/>
      </c>
      <c r="L813" s="20" t="str">
        <f t="shared" si="102"/>
        <v/>
      </c>
      <c r="M813" s="6"/>
      <c r="N813" s="19" t="str">
        <f t="shared" si="103"/>
        <v/>
      </c>
      <c r="O813" s="23" t="str">
        <f>IF(B813="","",TRIM(IF(COUNTIF('Registru comenzi'!$B$5:$B$304,B813)=0,"Comandă inexistentă în registru. ","")&amp;IF(AND(D813&lt;&gt;"",E813=""),"Cod necunoscut. ","")&amp;IF(N(G813)&lt;=0,"Lipsește cantitatea. ","")&amp;IF(N(M813)&gt;N(G813),"Livrat mai mult decât s-a comandat. ","")&amp;IF(N(I813)&gt;0.3,"Discount neobișnuit de mare. ","")))</f>
        <v/>
      </c>
    </row>
    <row r="814" spans="1:15" x14ac:dyDescent="0.2">
      <c r="A814" s="1" t="str">
        <f t="shared" si="96"/>
        <v/>
      </c>
      <c r="B814" s="17"/>
      <c r="C814" s="18" t="str">
        <f>IF(B814="","",COUNTIF(INDEX($B:$B,5):B814,B814))</f>
        <v/>
      </c>
      <c r="D814" s="17"/>
      <c r="E814" s="19" t="str">
        <f t="shared" si="97"/>
        <v/>
      </c>
      <c r="F814" s="18" t="str">
        <f t="shared" si="98"/>
        <v/>
      </c>
      <c r="G814" s="6"/>
      <c r="H814" s="20" t="str">
        <f t="shared" si="99"/>
        <v/>
      </c>
      <c r="I814" s="21"/>
      <c r="J814" s="22" t="str">
        <f t="shared" si="100"/>
        <v/>
      </c>
      <c r="K814" s="20" t="str">
        <f t="shared" si="101"/>
        <v/>
      </c>
      <c r="L814" s="20" t="str">
        <f t="shared" si="102"/>
        <v/>
      </c>
      <c r="M814" s="6"/>
      <c r="N814" s="19" t="str">
        <f t="shared" si="103"/>
        <v/>
      </c>
      <c r="O814" s="23" t="str">
        <f>IF(B814="","",TRIM(IF(COUNTIF('Registru comenzi'!$B$5:$B$304,B814)=0,"Comandă inexistentă în registru. ","")&amp;IF(AND(D814&lt;&gt;"",E814=""),"Cod necunoscut. ","")&amp;IF(N(G814)&lt;=0,"Lipsește cantitatea. ","")&amp;IF(N(M814)&gt;N(G814),"Livrat mai mult decât s-a comandat. ","")&amp;IF(N(I814)&gt;0.3,"Discount neobișnuit de mare. ","")))</f>
        <v/>
      </c>
    </row>
    <row r="815" spans="1:15" x14ac:dyDescent="0.2">
      <c r="A815" s="1" t="str">
        <f t="shared" si="96"/>
        <v/>
      </c>
      <c r="B815" s="17"/>
      <c r="C815" s="18" t="str">
        <f>IF(B815="","",COUNTIF(INDEX($B:$B,5):B815,B815))</f>
        <v/>
      </c>
      <c r="D815" s="17"/>
      <c r="E815" s="19" t="str">
        <f t="shared" si="97"/>
        <v/>
      </c>
      <c r="F815" s="18" t="str">
        <f t="shared" si="98"/>
        <v/>
      </c>
      <c r="G815" s="6"/>
      <c r="H815" s="20" t="str">
        <f t="shared" si="99"/>
        <v/>
      </c>
      <c r="I815" s="21"/>
      <c r="J815" s="22" t="str">
        <f t="shared" si="100"/>
        <v/>
      </c>
      <c r="K815" s="20" t="str">
        <f t="shared" si="101"/>
        <v/>
      </c>
      <c r="L815" s="20" t="str">
        <f t="shared" si="102"/>
        <v/>
      </c>
      <c r="M815" s="6"/>
      <c r="N815" s="19" t="str">
        <f t="shared" si="103"/>
        <v/>
      </c>
      <c r="O815" s="23" t="str">
        <f>IF(B815="","",TRIM(IF(COUNTIF('Registru comenzi'!$B$5:$B$304,B815)=0,"Comandă inexistentă în registru. ","")&amp;IF(AND(D815&lt;&gt;"",E815=""),"Cod necunoscut. ","")&amp;IF(N(G815)&lt;=0,"Lipsește cantitatea. ","")&amp;IF(N(M815)&gt;N(G815),"Livrat mai mult decât s-a comandat. ","")&amp;IF(N(I815)&gt;0.3,"Discount neobișnuit de mare. ","")))</f>
        <v/>
      </c>
    </row>
    <row r="816" spans="1:15" x14ac:dyDescent="0.2">
      <c r="A816" s="1" t="str">
        <f t="shared" si="96"/>
        <v/>
      </c>
      <c r="B816" s="17"/>
      <c r="C816" s="18" t="str">
        <f>IF(B816="","",COUNTIF(INDEX($B:$B,5):B816,B816))</f>
        <v/>
      </c>
      <c r="D816" s="17"/>
      <c r="E816" s="19" t="str">
        <f t="shared" si="97"/>
        <v/>
      </c>
      <c r="F816" s="18" t="str">
        <f t="shared" si="98"/>
        <v/>
      </c>
      <c r="G816" s="6"/>
      <c r="H816" s="20" t="str">
        <f t="shared" si="99"/>
        <v/>
      </c>
      <c r="I816" s="21"/>
      <c r="J816" s="22" t="str">
        <f t="shared" si="100"/>
        <v/>
      </c>
      <c r="K816" s="20" t="str">
        <f t="shared" si="101"/>
        <v/>
      </c>
      <c r="L816" s="20" t="str">
        <f t="shared" si="102"/>
        <v/>
      </c>
      <c r="M816" s="6"/>
      <c r="N816" s="19" t="str">
        <f t="shared" si="103"/>
        <v/>
      </c>
      <c r="O816" s="23" t="str">
        <f>IF(B816="","",TRIM(IF(COUNTIF('Registru comenzi'!$B$5:$B$304,B816)=0,"Comandă inexistentă în registru. ","")&amp;IF(AND(D816&lt;&gt;"",E816=""),"Cod necunoscut. ","")&amp;IF(N(G816)&lt;=0,"Lipsește cantitatea. ","")&amp;IF(N(M816)&gt;N(G816),"Livrat mai mult decât s-a comandat. ","")&amp;IF(N(I816)&gt;0.3,"Discount neobișnuit de mare. ","")))</f>
        <v/>
      </c>
    </row>
    <row r="817" spans="1:15" x14ac:dyDescent="0.2">
      <c r="A817" s="1" t="str">
        <f t="shared" si="96"/>
        <v/>
      </c>
      <c r="B817" s="17"/>
      <c r="C817" s="18" t="str">
        <f>IF(B817="","",COUNTIF(INDEX($B:$B,5):B817,B817))</f>
        <v/>
      </c>
      <c r="D817" s="17"/>
      <c r="E817" s="19" t="str">
        <f t="shared" si="97"/>
        <v/>
      </c>
      <c r="F817" s="18" t="str">
        <f t="shared" si="98"/>
        <v/>
      </c>
      <c r="G817" s="6"/>
      <c r="H817" s="20" t="str">
        <f t="shared" si="99"/>
        <v/>
      </c>
      <c r="I817" s="21"/>
      <c r="J817" s="22" t="str">
        <f t="shared" si="100"/>
        <v/>
      </c>
      <c r="K817" s="20" t="str">
        <f t="shared" si="101"/>
        <v/>
      </c>
      <c r="L817" s="20" t="str">
        <f t="shared" si="102"/>
        <v/>
      </c>
      <c r="M817" s="6"/>
      <c r="N817" s="19" t="str">
        <f t="shared" si="103"/>
        <v/>
      </c>
      <c r="O817" s="23" t="str">
        <f>IF(B817="","",TRIM(IF(COUNTIF('Registru comenzi'!$B$5:$B$304,B817)=0,"Comandă inexistentă în registru. ","")&amp;IF(AND(D817&lt;&gt;"",E817=""),"Cod necunoscut. ","")&amp;IF(N(G817)&lt;=0,"Lipsește cantitatea. ","")&amp;IF(N(M817)&gt;N(G817),"Livrat mai mult decât s-a comandat. ","")&amp;IF(N(I817)&gt;0.3,"Discount neobișnuit de mare. ","")))</f>
        <v/>
      </c>
    </row>
    <row r="818" spans="1:15" x14ac:dyDescent="0.2">
      <c r="A818" s="1" t="str">
        <f t="shared" si="96"/>
        <v/>
      </c>
      <c r="B818" s="17"/>
      <c r="C818" s="18" t="str">
        <f>IF(B818="","",COUNTIF(INDEX($B:$B,5):B818,B818))</f>
        <v/>
      </c>
      <c r="D818" s="17"/>
      <c r="E818" s="19" t="str">
        <f t="shared" si="97"/>
        <v/>
      </c>
      <c r="F818" s="18" t="str">
        <f t="shared" si="98"/>
        <v/>
      </c>
      <c r="G818" s="6"/>
      <c r="H818" s="20" t="str">
        <f t="shared" si="99"/>
        <v/>
      </c>
      <c r="I818" s="21"/>
      <c r="J818" s="22" t="str">
        <f t="shared" si="100"/>
        <v/>
      </c>
      <c r="K818" s="20" t="str">
        <f t="shared" si="101"/>
        <v/>
      </c>
      <c r="L818" s="20" t="str">
        <f t="shared" si="102"/>
        <v/>
      </c>
      <c r="M818" s="6"/>
      <c r="N818" s="19" t="str">
        <f t="shared" si="103"/>
        <v/>
      </c>
      <c r="O818" s="23" t="str">
        <f>IF(B818="","",TRIM(IF(COUNTIF('Registru comenzi'!$B$5:$B$304,B818)=0,"Comandă inexistentă în registru. ","")&amp;IF(AND(D818&lt;&gt;"",E818=""),"Cod necunoscut. ","")&amp;IF(N(G818)&lt;=0,"Lipsește cantitatea. ","")&amp;IF(N(M818)&gt;N(G818),"Livrat mai mult decât s-a comandat. ","")&amp;IF(N(I818)&gt;0.3,"Discount neobișnuit de mare. ","")))</f>
        <v/>
      </c>
    </row>
    <row r="819" spans="1:15" x14ac:dyDescent="0.2">
      <c r="A819" s="1" t="str">
        <f t="shared" si="96"/>
        <v/>
      </c>
      <c r="B819" s="17"/>
      <c r="C819" s="18" t="str">
        <f>IF(B819="","",COUNTIF(INDEX($B:$B,5):B819,B819))</f>
        <v/>
      </c>
      <c r="D819" s="17"/>
      <c r="E819" s="19" t="str">
        <f t="shared" si="97"/>
        <v/>
      </c>
      <c r="F819" s="18" t="str">
        <f t="shared" si="98"/>
        <v/>
      </c>
      <c r="G819" s="6"/>
      <c r="H819" s="20" t="str">
        <f t="shared" si="99"/>
        <v/>
      </c>
      <c r="I819" s="21"/>
      <c r="J819" s="22" t="str">
        <f t="shared" si="100"/>
        <v/>
      </c>
      <c r="K819" s="20" t="str">
        <f t="shared" si="101"/>
        <v/>
      </c>
      <c r="L819" s="20" t="str">
        <f t="shared" si="102"/>
        <v/>
      </c>
      <c r="M819" s="6"/>
      <c r="N819" s="19" t="str">
        <f t="shared" si="103"/>
        <v/>
      </c>
      <c r="O819" s="23" t="str">
        <f>IF(B819="","",TRIM(IF(COUNTIF('Registru comenzi'!$B$5:$B$304,B819)=0,"Comandă inexistentă în registru. ","")&amp;IF(AND(D819&lt;&gt;"",E819=""),"Cod necunoscut. ","")&amp;IF(N(G819)&lt;=0,"Lipsește cantitatea. ","")&amp;IF(N(M819)&gt;N(G819),"Livrat mai mult decât s-a comandat. ","")&amp;IF(N(I819)&gt;0.3,"Discount neobișnuit de mare. ","")))</f>
        <v/>
      </c>
    </row>
    <row r="820" spans="1:15" x14ac:dyDescent="0.2">
      <c r="A820" s="1" t="str">
        <f t="shared" si="96"/>
        <v/>
      </c>
      <c r="B820" s="17"/>
      <c r="C820" s="18" t="str">
        <f>IF(B820="","",COUNTIF(INDEX($B:$B,5):B820,B820))</f>
        <v/>
      </c>
      <c r="D820" s="17"/>
      <c r="E820" s="19" t="str">
        <f t="shared" si="97"/>
        <v/>
      </c>
      <c r="F820" s="18" t="str">
        <f t="shared" si="98"/>
        <v/>
      </c>
      <c r="G820" s="6"/>
      <c r="H820" s="20" t="str">
        <f t="shared" si="99"/>
        <v/>
      </c>
      <c r="I820" s="21"/>
      <c r="J820" s="22" t="str">
        <f t="shared" si="100"/>
        <v/>
      </c>
      <c r="K820" s="20" t="str">
        <f t="shared" si="101"/>
        <v/>
      </c>
      <c r="L820" s="20" t="str">
        <f t="shared" si="102"/>
        <v/>
      </c>
      <c r="M820" s="6"/>
      <c r="N820" s="19" t="str">
        <f t="shared" si="103"/>
        <v/>
      </c>
      <c r="O820" s="23" t="str">
        <f>IF(B820="","",TRIM(IF(COUNTIF('Registru comenzi'!$B$5:$B$304,B820)=0,"Comandă inexistentă în registru. ","")&amp;IF(AND(D820&lt;&gt;"",E820=""),"Cod necunoscut. ","")&amp;IF(N(G820)&lt;=0,"Lipsește cantitatea. ","")&amp;IF(N(M820)&gt;N(G820),"Livrat mai mult decât s-a comandat. ","")&amp;IF(N(I820)&gt;0.3,"Discount neobișnuit de mare. ","")))</f>
        <v/>
      </c>
    </row>
    <row r="821" spans="1:15" x14ac:dyDescent="0.2">
      <c r="A821" s="1" t="str">
        <f t="shared" si="96"/>
        <v/>
      </c>
      <c r="B821" s="17"/>
      <c r="C821" s="18" t="str">
        <f>IF(B821="","",COUNTIF(INDEX($B:$B,5):B821,B821))</f>
        <v/>
      </c>
      <c r="D821" s="17"/>
      <c r="E821" s="19" t="str">
        <f t="shared" si="97"/>
        <v/>
      </c>
      <c r="F821" s="18" t="str">
        <f t="shared" si="98"/>
        <v/>
      </c>
      <c r="G821" s="6"/>
      <c r="H821" s="20" t="str">
        <f t="shared" si="99"/>
        <v/>
      </c>
      <c r="I821" s="21"/>
      <c r="J821" s="22" t="str">
        <f t="shared" si="100"/>
        <v/>
      </c>
      <c r="K821" s="20" t="str">
        <f t="shared" si="101"/>
        <v/>
      </c>
      <c r="L821" s="20" t="str">
        <f t="shared" si="102"/>
        <v/>
      </c>
      <c r="M821" s="6"/>
      <c r="N821" s="19" t="str">
        <f t="shared" si="103"/>
        <v/>
      </c>
      <c r="O821" s="23" t="str">
        <f>IF(B821="","",TRIM(IF(COUNTIF('Registru comenzi'!$B$5:$B$304,B821)=0,"Comandă inexistentă în registru. ","")&amp;IF(AND(D821&lt;&gt;"",E821=""),"Cod necunoscut. ","")&amp;IF(N(G821)&lt;=0,"Lipsește cantitatea. ","")&amp;IF(N(M821)&gt;N(G821),"Livrat mai mult decât s-a comandat. ","")&amp;IF(N(I821)&gt;0.3,"Discount neobișnuit de mare. ","")))</f>
        <v/>
      </c>
    </row>
    <row r="822" spans="1:15" x14ac:dyDescent="0.2">
      <c r="A822" s="1" t="str">
        <f t="shared" si="96"/>
        <v/>
      </c>
      <c r="B822" s="17"/>
      <c r="C822" s="18" t="str">
        <f>IF(B822="","",COUNTIF(INDEX($B:$B,5):B822,B822))</f>
        <v/>
      </c>
      <c r="D822" s="17"/>
      <c r="E822" s="19" t="str">
        <f t="shared" si="97"/>
        <v/>
      </c>
      <c r="F822" s="18" t="str">
        <f t="shared" si="98"/>
        <v/>
      </c>
      <c r="G822" s="6"/>
      <c r="H822" s="20" t="str">
        <f t="shared" si="99"/>
        <v/>
      </c>
      <c r="I822" s="21"/>
      <c r="J822" s="22" t="str">
        <f t="shared" si="100"/>
        <v/>
      </c>
      <c r="K822" s="20" t="str">
        <f t="shared" si="101"/>
        <v/>
      </c>
      <c r="L822" s="20" t="str">
        <f t="shared" si="102"/>
        <v/>
      </c>
      <c r="M822" s="6"/>
      <c r="N822" s="19" t="str">
        <f t="shared" si="103"/>
        <v/>
      </c>
      <c r="O822" s="23" t="str">
        <f>IF(B822="","",TRIM(IF(COUNTIF('Registru comenzi'!$B$5:$B$304,B822)=0,"Comandă inexistentă în registru. ","")&amp;IF(AND(D822&lt;&gt;"",E822=""),"Cod necunoscut. ","")&amp;IF(N(G822)&lt;=0,"Lipsește cantitatea. ","")&amp;IF(N(M822)&gt;N(G822),"Livrat mai mult decât s-a comandat. ","")&amp;IF(N(I822)&gt;0.3,"Discount neobișnuit de mare. ","")))</f>
        <v/>
      </c>
    </row>
    <row r="823" spans="1:15" x14ac:dyDescent="0.2">
      <c r="A823" s="1" t="str">
        <f t="shared" si="96"/>
        <v/>
      </c>
      <c r="B823" s="17"/>
      <c r="C823" s="18" t="str">
        <f>IF(B823="","",COUNTIF(INDEX($B:$B,5):B823,B823))</f>
        <v/>
      </c>
      <c r="D823" s="17"/>
      <c r="E823" s="19" t="str">
        <f t="shared" si="97"/>
        <v/>
      </c>
      <c r="F823" s="18" t="str">
        <f t="shared" si="98"/>
        <v/>
      </c>
      <c r="G823" s="6"/>
      <c r="H823" s="20" t="str">
        <f t="shared" si="99"/>
        <v/>
      </c>
      <c r="I823" s="21"/>
      <c r="J823" s="22" t="str">
        <f t="shared" si="100"/>
        <v/>
      </c>
      <c r="K823" s="20" t="str">
        <f t="shared" si="101"/>
        <v/>
      </c>
      <c r="L823" s="20" t="str">
        <f t="shared" si="102"/>
        <v/>
      </c>
      <c r="M823" s="6"/>
      <c r="N823" s="19" t="str">
        <f t="shared" si="103"/>
        <v/>
      </c>
      <c r="O823" s="23" t="str">
        <f>IF(B823="","",TRIM(IF(COUNTIF('Registru comenzi'!$B$5:$B$304,B823)=0,"Comandă inexistentă în registru. ","")&amp;IF(AND(D823&lt;&gt;"",E823=""),"Cod necunoscut. ","")&amp;IF(N(G823)&lt;=0,"Lipsește cantitatea. ","")&amp;IF(N(M823)&gt;N(G823),"Livrat mai mult decât s-a comandat. ","")&amp;IF(N(I823)&gt;0.3,"Discount neobișnuit de mare. ","")))</f>
        <v/>
      </c>
    </row>
    <row r="824" spans="1:15" x14ac:dyDescent="0.2">
      <c r="A824" s="1" t="str">
        <f t="shared" si="96"/>
        <v/>
      </c>
      <c r="B824" s="17"/>
      <c r="C824" s="18" t="str">
        <f>IF(B824="","",COUNTIF(INDEX($B:$B,5):B824,B824))</f>
        <v/>
      </c>
      <c r="D824" s="17"/>
      <c r="E824" s="19" t="str">
        <f t="shared" si="97"/>
        <v/>
      </c>
      <c r="F824" s="18" t="str">
        <f t="shared" si="98"/>
        <v/>
      </c>
      <c r="G824" s="6"/>
      <c r="H824" s="20" t="str">
        <f t="shared" si="99"/>
        <v/>
      </c>
      <c r="I824" s="21"/>
      <c r="J824" s="22" t="str">
        <f t="shared" si="100"/>
        <v/>
      </c>
      <c r="K824" s="20" t="str">
        <f t="shared" si="101"/>
        <v/>
      </c>
      <c r="L824" s="20" t="str">
        <f t="shared" si="102"/>
        <v/>
      </c>
      <c r="M824" s="6"/>
      <c r="N824" s="19" t="str">
        <f t="shared" si="103"/>
        <v/>
      </c>
      <c r="O824" s="23" t="str">
        <f>IF(B824="","",TRIM(IF(COUNTIF('Registru comenzi'!$B$5:$B$304,B824)=0,"Comandă inexistentă în registru. ","")&amp;IF(AND(D824&lt;&gt;"",E824=""),"Cod necunoscut. ","")&amp;IF(N(G824)&lt;=0,"Lipsește cantitatea. ","")&amp;IF(N(M824)&gt;N(G824),"Livrat mai mult decât s-a comandat. ","")&amp;IF(N(I824)&gt;0.3,"Discount neobișnuit de mare. ","")))</f>
        <v/>
      </c>
    </row>
    <row r="825" spans="1:15" x14ac:dyDescent="0.2">
      <c r="A825" s="1" t="str">
        <f t="shared" si="96"/>
        <v/>
      </c>
      <c r="B825" s="17"/>
      <c r="C825" s="18" t="str">
        <f>IF(B825="","",COUNTIF(INDEX($B:$B,5):B825,B825))</f>
        <v/>
      </c>
      <c r="D825" s="17"/>
      <c r="E825" s="19" t="str">
        <f t="shared" si="97"/>
        <v/>
      </c>
      <c r="F825" s="18" t="str">
        <f t="shared" si="98"/>
        <v/>
      </c>
      <c r="G825" s="6"/>
      <c r="H825" s="20" t="str">
        <f t="shared" si="99"/>
        <v/>
      </c>
      <c r="I825" s="21"/>
      <c r="J825" s="22" t="str">
        <f t="shared" si="100"/>
        <v/>
      </c>
      <c r="K825" s="20" t="str">
        <f t="shared" si="101"/>
        <v/>
      </c>
      <c r="L825" s="20" t="str">
        <f t="shared" si="102"/>
        <v/>
      </c>
      <c r="M825" s="6"/>
      <c r="N825" s="19" t="str">
        <f t="shared" si="103"/>
        <v/>
      </c>
      <c r="O825" s="23" t="str">
        <f>IF(B825="","",TRIM(IF(COUNTIF('Registru comenzi'!$B$5:$B$304,B825)=0,"Comandă inexistentă în registru. ","")&amp;IF(AND(D825&lt;&gt;"",E825=""),"Cod necunoscut. ","")&amp;IF(N(G825)&lt;=0,"Lipsește cantitatea. ","")&amp;IF(N(M825)&gt;N(G825),"Livrat mai mult decât s-a comandat. ","")&amp;IF(N(I825)&gt;0.3,"Discount neobișnuit de mare. ","")))</f>
        <v/>
      </c>
    </row>
    <row r="826" spans="1:15" x14ac:dyDescent="0.2">
      <c r="A826" s="1" t="str">
        <f t="shared" si="96"/>
        <v/>
      </c>
      <c r="B826" s="17"/>
      <c r="C826" s="18" t="str">
        <f>IF(B826="","",COUNTIF(INDEX($B:$B,5):B826,B826))</f>
        <v/>
      </c>
      <c r="D826" s="17"/>
      <c r="E826" s="19" t="str">
        <f t="shared" si="97"/>
        <v/>
      </c>
      <c r="F826" s="18" t="str">
        <f t="shared" si="98"/>
        <v/>
      </c>
      <c r="G826" s="6"/>
      <c r="H826" s="20" t="str">
        <f t="shared" si="99"/>
        <v/>
      </c>
      <c r="I826" s="21"/>
      <c r="J826" s="22" t="str">
        <f t="shared" si="100"/>
        <v/>
      </c>
      <c r="K826" s="20" t="str">
        <f t="shared" si="101"/>
        <v/>
      </c>
      <c r="L826" s="20" t="str">
        <f t="shared" si="102"/>
        <v/>
      </c>
      <c r="M826" s="6"/>
      <c r="N826" s="19" t="str">
        <f t="shared" si="103"/>
        <v/>
      </c>
      <c r="O826" s="23" t="str">
        <f>IF(B826="","",TRIM(IF(COUNTIF('Registru comenzi'!$B$5:$B$304,B826)=0,"Comandă inexistentă în registru. ","")&amp;IF(AND(D826&lt;&gt;"",E826=""),"Cod necunoscut. ","")&amp;IF(N(G826)&lt;=0,"Lipsește cantitatea. ","")&amp;IF(N(M826)&gt;N(G826),"Livrat mai mult decât s-a comandat. ","")&amp;IF(N(I826)&gt;0.3,"Discount neobișnuit de mare. ","")))</f>
        <v/>
      </c>
    </row>
    <row r="827" spans="1:15" x14ac:dyDescent="0.2">
      <c r="A827" s="1" t="str">
        <f t="shared" si="96"/>
        <v/>
      </c>
      <c r="B827" s="17"/>
      <c r="C827" s="18" t="str">
        <f>IF(B827="","",COUNTIF(INDEX($B:$B,5):B827,B827))</f>
        <v/>
      </c>
      <c r="D827" s="17"/>
      <c r="E827" s="19" t="str">
        <f t="shared" si="97"/>
        <v/>
      </c>
      <c r="F827" s="18" t="str">
        <f t="shared" si="98"/>
        <v/>
      </c>
      <c r="G827" s="6"/>
      <c r="H827" s="20" t="str">
        <f t="shared" si="99"/>
        <v/>
      </c>
      <c r="I827" s="21"/>
      <c r="J827" s="22" t="str">
        <f t="shared" si="100"/>
        <v/>
      </c>
      <c r="K827" s="20" t="str">
        <f t="shared" si="101"/>
        <v/>
      </c>
      <c r="L827" s="20" t="str">
        <f t="shared" si="102"/>
        <v/>
      </c>
      <c r="M827" s="6"/>
      <c r="N827" s="19" t="str">
        <f t="shared" si="103"/>
        <v/>
      </c>
      <c r="O827" s="23" t="str">
        <f>IF(B827="","",TRIM(IF(COUNTIF('Registru comenzi'!$B$5:$B$304,B827)=0,"Comandă inexistentă în registru. ","")&amp;IF(AND(D827&lt;&gt;"",E827=""),"Cod necunoscut. ","")&amp;IF(N(G827)&lt;=0,"Lipsește cantitatea. ","")&amp;IF(N(M827)&gt;N(G827),"Livrat mai mult decât s-a comandat. ","")&amp;IF(N(I827)&gt;0.3,"Discount neobișnuit de mare. ","")))</f>
        <v/>
      </c>
    </row>
    <row r="828" spans="1:15" x14ac:dyDescent="0.2">
      <c r="A828" s="1" t="str">
        <f t="shared" si="96"/>
        <v/>
      </c>
      <c r="B828" s="17"/>
      <c r="C828" s="18" t="str">
        <f>IF(B828="","",COUNTIF(INDEX($B:$B,5):B828,B828))</f>
        <v/>
      </c>
      <c r="D828" s="17"/>
      <c r="E828" s="19" t="str">
        <f t="shared" si="97"/>
        <v/>
      </c>
      <c r="F828" s="18" t="str">
        <f t="shared" si="98"/>
        <v/>
      </c>
      <c r="G828" s="6"/>
      <c r="H828" s="20" t="str">
        <f t="shared" si="99"/>
        <v/>
      </c>
      <c r="I828" s="21"/>
      <c r="J828" s="22" t="str">
        <f t="shared" si="100"/>
        <v/>
      </c>
      <c r="K828" s="20" t="str">
        <f t="shared" si="101"/>
        <v/>
      </c>
      <c r="L828" s="20" t="str">
        <f t="shared" si="102"/>
        <v/>
      </c>
      <c r="M828" s="6"/>
      <c r="N828" s="19" t="str">
        <f t="shared" si="103"/>
        <v/>
      </c>
      <c r="O828" s="23" t="str">
        <f>IF(B828="","",TRIM(IF(COUNTIF('Registru comenzi'!$B$5:$B$304,B828)=0,"Comandă inexistentă în registru. ","")&amp;IF(AND(D828&lt;&gt;"",E828=""),"Cod necunoscut. ","")&amp;IF(N(G828)&lt;=0,"Lipsește cantitatea. ","")&amp;IF(N(M828)&gt;N(G828),"Livrat mai mult decât s-a comandat. ","")&amp;IF(N(I828)&gt;0.3,"Discount neobișnuit de mare. ","")))</f>
        <v/>
      </c>
    </row>
    <row r="829" spans="1:15" x14ac:dyDescent="0.2">
      <c r="A829" s="1" t="str">
        <f t="shared" si="96"/>
        <v/>
      </c>
      <c r="B829" s="17"/>
      <c r="C829" s="18" t="str">
        <f>IF(B829="","",COUNTIF(INDEX($B:$B,5):B829,B829))</f>
        <v/>
      </c>
      <c r="D829" s="17"/>
      <c r="E829" s="19" t="str">
        <f t="shared" si="97"/>
        <v/>
      </c>
      <c r="F829" s="18" t="str">
        <f t="shared" si="98"/>
        <v/>
      </c>
      <c r="G829" s="6"/>
      <c r="H829" s="20" t="str">
        <f t="shared" si="99"/>
        <v/>
      </c>
      <c r="I829" s="21"/>
      <c r="J829" s="22" t="str">
        <f t="shared" si="100"/>
        <v/>
      </c>
      <c r="K829" s="20" t="str">
        <f t="shared" si="101"/>
        <v/>
      </c>
      <c r="L829" s="20" t="str">
        <f t="shared" si="102"/>
        <v/>
      </c>
      <c r="M829" s="6"/>
      <c r="N829" s="19" t="str">
        <f t="shared" si="103"/>
        <v/>
      </c>
      <c r="O829" s="23" t="str">
        <f>IF(B829="","",TRIM(IF(COUNTIF('Registru comenzi'!$B$5:$B$304,B829)=0,"Comandă inexistentă în registru. ","")&amp;IF(AND(D829&lt;&gt;"",E829=""),"Cod necunoscut. ","")&amp;IF(N(G829)&lt;=0,"Lipsește cantitatea. ","")&amp;IF(N(M829)&gt;N(G829),"Livrat mai mult decât s-a comandat. ","")&amp;IF(N(I829)&gt;0.3,"Discount neobișnuit de mare. ","")))</f>
        <v/>
      </c>
    </row>
    <row r="830" spans="1:15" x14ac:dyDescent="0.2">
      <c r="A830" s="1" t="str">
        <f t="shared" si="96"/>
        <v/>
      </c>
      <c r="B830" s="17"/>
      <c r="C830" s="18" t="str">
        <f>IF(B830="","",COUNTIF(INDEX($B:$B,5):B830,B830))</f>
        <v/>
      </c>
      <c r="D830" s="17"/>
      <c r="E830" s="19" t="str">
        <f t="shared" si="97"/>
        <v/>
      </c>
      <c r="F830" s="18" t="str">
        <f t="shared" si="98"/>
        <v/>
      </c>
      <c r="G830" s="6"/>
      <c r="H830" s="20" t="str">
        <f t="shared" si="99"/>
        <v/>
      </c>
      <c r="I830" s="21"/>
      <c r="J830" s="22" t="str">
        <f t="shared" si="100"/>
        <v/>
      </c>
      <c r="K830" s="20" t="str">
        <f t="shared" si="101"/>
        <v/>
      </c>
      <c r="L830" s="20" t="str">
        <f t="shared" si="102"/>
        <v/>
      </c>
      <c r="M830" s="6"/>
      <c r="N830" s="19" t="str">
        <f t="shared" si="103"/>
        <v/>
      </c>
      <c r="O830" s="23" t="str">
        <f>IF(B830="","",TRIM(IF(COUNTIF('Registru comenzi'!$B$5:$B$304,B830)=0,"Comandă inexistentă în registru. ","")&amp;IF(AND(D830&lt;&gt;"",E830=""),"Cod necunoscut. ","")&amp;IF(N(G830)&lt;=0,"Lipsește cantitatea. ","")&amp;IF(N(M830)&gt;N(G830),"Livrat mai mult decât s-a comandat. ","")&amp;IF(N(I830)&gt;0.3,"Discount neobișnuit de mare. ","")))</f>
        <v/>
      </c>
    </row>
    <row r="831" spans="1:15" x14ac:dyDescent="0.2">
      <c r="A831" s="1" t="str">
        <f t="shared" si="96"/>
        <v/>
      </c>
      <c r="B831" s="17"/>
      <c r="C831" s="18" t="str">
        <f>IF(B831="","",COUNTIF(INDEX($B:$B,5):B831,B831))</f>
        <v/>
      </c>
      <c r="D831" s="17"/>
      <c r="E831" s="19" t="str">
        <f t="shared" si="97"/>
        <v/>
      </c>
      <c r="F831" s="18" t="str">
        <f t="shared" si="98"/>
        <v/>
      </c>
      <c r="G831" s="6"/>
      <c r="H831" s="20" t="str">
        <f t="shared" si="99"/>
        <v/>
      </c>
      <c r="I831" s="21"/>
      <c r="J831" s="22" t="str">
        <f t="shared" si="100"/>
        <v/>
      </c>
      <c r="K831" s="20" t="str">
        <f t="shared" si="101"/>
        <v/>
      </c>
      <c r="L831" s="20" t="str">
        <f t="shared" si="102"/>
        <v/>
      </c>
      <c r="M831" s="6"/>
      <c r="N831" s="19" t="str">
        <f t="shared" si="103"/>
        <v/>
      </c>
      <c r="O831" s="23" t="str">
        <f>IF(B831="","",TRIM(IF(COUNTIF('Registru comenzi'!$B$5:$B$304,B831)=0,"Comandă inexistentă în registru. ","")&amp;IF(AND(D831&lt;&gt;"",E831=""),"Cod necunoscut. ","")&amp;IF(N(G831)&lt;=0,"Lipsește cantitatea. ","")&amp;IF(N(M831)&gt;N(G831),"Livrat mai mult decât s-a comandat. ","")&amp;IF(N(I831)&gt;0.3,"Discount neobișnuit de mare. ","")))</f>
        <v/>
      </c>
    </row>
    <row r="832" spans="1:15" x14ac:dyDescent="0.2">
      <c r="A832" s="1" t="str">
        <f t="shared" si="96"/>
        <v/>
      </c>
      <c r="B832" s="17"/>
      <c r="C832" s="18" t="str">
        <f>IF(B832="","",COUNTIF(INDEX($B:$B,5):B832,B832))</f>
        <v/>
      </c>
      <c r="D832" s="17"/>
      <c r="E832" s="19" t="str">
        <f t="shared" si="97"/>
        <v/>
      </c>
      <c r="F832" s="18" t="str">
        <f t="shared" si="98"/>
        <v/>
      </c>
      <c r="G832" s="6"/>
      <c r="H832" s="20" t="str">
        <f t="shared" si="99"/>
        <v/>
      </c>
      <c r="I832" s="21"/>
      <c r="J832" s="22" t="str">
        <f t="shared" si="100"/>
        <v/>
      </c>
      <c r="K832" s="20" t="str">
        <f t="shared" si="101"/>
        <v/>
      </c>
      <c r="L832" s="20" t="str">
        <f t="shared" si="102"/>
        <v/>
      </c>
      <c r="M832" s="6"/>
      <c r="N832" s="19" t="str">
        <f t="shared" si="103"/>
        <v/>
      </c>
      <c r="O832" s="23" t="str">
        <f>IF(B832="","",TRIM(IF(COUNTIF('Registru comenzi'!$B$5:$B$304,B832)=0,"Comandă inexistentă în registru. ","")&amp;IF(AND(D832&lt;&gt;"",E832=""),"Cod necunoscut. ","")&amp;IF(N(G832)&lt;=0,"Lipsește cantitatea. ","")&amp;IF(N(M832)&gt;N(G832),"Livrat mai mult decât s-a comandat. ","")&amp;IF(N(I832)&gt;0.3,"Discount neobișnuit de mare. ","")))</f>
        <v/>
      </c>
    </row>
    <row r="833" spans="1:15" x14ac:dyDescent="0.2">
      <c r="A833" s="1" t="str">
        <f t="shared" si="96"/>
        <v/>
      </c>
      <c r="B833" s="17"/>
      <c r="C833" s="18" t="str">
        <f>IF(B833="","",COUNTIF(INDEX($B:$B,5):B833,B833))</f>
        <v/>
      </c>
      <c r="D833" s="17"/>
      <c r="E833" s="19" t="str">
        <f t="shared" si="97"/>
        <v/>
      </c>
      <c r="F833" s="18" t="str">
        <f t="shared" si="98"/>
        <v/>
      </c>
      <c r="G833" s="6"/>
      <c r="H833" s="20" t="str">
        <f t="shared" si="99"/>
        <v/>
      </c>
      <c r="I833" s="21"/>
      <c r="J833" s="22" t="str">
        <f t="shared" si="100"/>
        <v/>
      </c>
      <c r="K833" s="20" t="str">
        <f t="shared" si="101"/>
        <v/>
      </c>
      <c r="L833" s="20" t="str">
        <f t="shared" si="102"/>
        <v/>
      </c>
      <c r="M833" s="6"/>
      <c r="N833" s="19" t="str">
        <f t="shared" si="103"/>
        <v/>
      </c>
      <c r="O833" s="23" t="str">
        <f>IF(B833="","",TRIM(IF(COUNTIF('Registru comenzi'!$B$5:$B$304,B833)=0,"Comandă inexistentă în registru. ","")&amp;IF(AND(D833&lt;&gt;"",E833=""),"Cod necunoscut. ","")&amp;IF(N(G833)&lt;=0,"Lipsește cantitatea. ","")&amp;IF(N(M833)&gt;N(G833),"Livrat mai mult decât s-a comandat. ","")&amp;IF(N(I833)&gt;0.3,"Discount neobișnuit de mare. ","")))</f>
        <v/>
      </c>
    </row>
    <row r="834" spans="1:15" x14ac:dyDescent="0.2">
      <c r="A834" s="1" t="str">
        <f t="shared" si="96"/>
        <v/>
      </c>
      <c r="B834" s="17"/>
      <c r="C834" s="18" t="str">
        <f>IF(B834="","",COUNTIF(INDEX($B:$B,5):B834,B834))</f>
        <v/>
      </c>
      <c r="D834" s="17"/>
      <c r="E834" s="19" t="str">
        <f t="shared" si="97"/>
        <v/>
      </c>
      <c r="F834" s="18" t="str">
        <f t="shared" si="98"/>
        <v/>
      </c>
      <c r="G834" s="6"/>
      <c r="H834" s="20" t="str">
        <f t="shared" si="99"/>
        <v/>
      </c>
      <c r="I834" s="21"/>
      <c r="J834" s="22" t="str">
        <f t="shared" si="100"/>
        <v/>
      </c>
      <c r="K834" s="20" t="str">
        <f t="shared" si="101"/>
        <v/>
      </c>
      <c r="L834" s="20" t="str">
        <f t="shared" si="102"/>
        <v/>
      </c>
      <c r="M834" s="6"/>
      <c r="N834" s="19" t="str">
        <f t="shared" si="103"/>
        <v/>
      </c>
      <c r="O834" s="23" t="str">
        <f>IF(B834="","",TRIM(IF(COUNTIF('Registru comenzi'!$B$5:$B$304,B834)=0,"Comandă inexistentă în registru. ","")&amp;IF(AND(D834&lt;&gt;"",E834=""),"Cod necunoscut. ","")&amp;IF(N(G834)&lt;=0,"Lipsește cantitatea. ","")&amp;IF(N(M834)&gt;N(G834),"Livrat mai mult decât s-a comandat. ","")&amp;IF(N(I834)&gt;0.3,"Discount neobișnuit de mare. ","")))</f>
        <v/>
      </c>
    </row>
    <row r="835" spans="1:15" x14ac:dyDescent="0.2">
      <c r="A835" s="1" t="str">
        <f t="shared" si="96"/>
        <v/>
      </c>
      <c r="B835" s="17"/>
      <c r="C835" s="18" t="str">
        <f>IF(B835="","",COUNTIF(INDEX($B:$B,5):B835,B835))</f>
        <v/>
      </c>
      <c r="D835" s="17"/>
      <c r="E835" s="19" t="str">
        <f t="shared" si="97"/>
        <v/>
      </c>
      <c r="F835" s="18" t="str">
        <f t="shared" si="98"/>
        <v/>
      </c>
      <c r="G835" s="6"/>
      <c r="H835" s="20" t="str">
        <f t="shared" si="99"/>
        <v/>
      </c>
      <c r="I835" s="21"/>
      <c r="J835" s="22" t="str">
        <f t="shared" si="100"/>
        <v/>
      </c>
      <c r="K835" s="20" t="str">
        <f t="shared" si="101"/>
        <v/>
      </c>
      <c r="L835" s="20" t="str">
        <f t="shared" si="102"/>
        <v/>
      </c>
      <c r="M835" s="6"/>
      <c r="N835" s="19" t="str">
        <f t="shared" si="103"/>
        <v/>
      </c>
      <c r="O835" s="23" t="str">
        <f>IF(B835="","",TRIM(IF(COUNTIF('Registru comenzi'!$B$5:$B$304,B835)=0,"Comandă inexistentă în registru. ","")&amp;IF(AND(D835&lt;&gt;"",E835=""),"Cod necunoscut. ","")&amp;IF(N(G835)&lt;=0,"Lipsește cantitatea. ","")&amp;IF(N(M835)&gt;N(G835),"Livrat mai mult decât s-a comandat. ","")&amp;IF(N(I835)&gt;0.3,"Discount neobișnuit de mare. ","")))</f>
        <v/>
      </c>
    </row>
    <row r="836" spans="1:15" x14ac:dyDescent="0.2">
      <c r="A836" s="1" t="str">
        <f t="shared" si="96"/>
        <v/>
      </c>
      <c r="B836" s="17"/>
      <c r="C836" s="18" t="str">
        <f>IF(B836="","",COUNTIF(INDEX($B:$B,5):B836,B836))</f>
        <v/>
      </c>
      <c r="D836" s="17"/>
      <c r="E836" s="19" t="str">
        <f t="shared" si="97"/>
        <v/>
      </c>
      <c r="F836" s="18" t="str">
        <f t="shared" si="98"/>
        <v/>
      </c>
      <c r="G836" s="6"/>
      <c r="H836" s="20" t="str">
        <f t="shared" si="99"/>
        <v/>
      </c>
      <c r="I836" s="21"/>
      <c r="J836" s="22" t="str">
        <f t="shared" si="100"/>
        <v/>
      </c>
      <c r="K836" s="20" t="str">
        <f t="shared" si="101"/>
        <v/>
      </c>
      <c r="L836" s="20" t="str">
        <f t="shared" si="102"/>
        <v/>
      </c>
      <c r="M836" s="6"/>
      <c r="N836" s="19" t="str">
        <f t="shared" si="103"/>
        <v/>
      </c>
      <c r="O836" s="23" t="str">
        <f>IF(B836="","",TRIM(IF(COUNTIF('Registru comenzi'!$B$5:$B$304,B836)=0,"Comandă inexistentă în registru. ","")&amp;IF(AND(D836&lt;&gt;"",E836=""),"Cod necunoscut. ","")&amp;IF(N(G836)&lt;=0,"Lipsește cantitatea. ","")&amp;IF(N(M836)&gt;N(G836),"Livrat mai mult decât s-a comandat. ","")&amp;IF(N(I836)&gt;0.3,"Discount neobișnuit de mare. ","")))</f>
        <v/>
      </c>
    </row>
    <row r="837" spans="1:15" x14ac:dyDescent="0.2">
      <c r="A837" s="1" t="str">
        <f t="shared" ref="A837:A900" si="104">IF(B837="","",B837&amp;"|"&amp;C837)</f>
        <v/>
      </c>
      <c r="B837" s="17"/>
      <c r="C837" s="18" t="str">
        <f>IF(B837="","",COUNTIF(INDEX($B:$B,5):B837,B837))</f>
        <v/>
      </c>
      <c r="D837" s="17"/>
      <c r="E837" s="19" t="str">
        <f t="shared" ref="E837:E900" si="105">IF(D837="","",IFERROR(VLOOKUP(D837,Catalog,2,FALSE),""))</f>
        <v/>
      </c>
      <c r="F837" s="18" t="str">
        <f t="shared" ref="F837:F900" si="106">IF(D837="","",IFERROR(VLOOKUP(D837,Catalog,3,FALSE),""))</f>
        <v/>
      </c>
      <c r="G837" s="6"/>
      <c r="H837" s="20" t="str">
        <f t="shared" ref="H837:H900" si="107">IF(D837="","",IFERROR(VLOOKUP(D837,Catalog,4,FALSE),""))</f>
        <v/>
      </c>
      <c r="I837" s="21"/>
      <c r="J837" s="22" t="str">
        <f t="shared" ref="J837:J900" si="108">IF(D837="","",IFERROR(VLOOKUP(D837,Catalog,5,FALSE),""))</f>
        <v/>
      </c>
      <c r="K837" s="20" t="str">
        <f t="shared" ref="K837:K900" si="109">IF(OR(G837="",H837=""),"",ROUND(G837*H837*(1-N(I837)),2))</f>
        <v/>
      </c>
      <c r="L837" s="20" t="str">
        <f t="shared" ref="L837:L900" si="110">IF(OR(K837="",J837=""),"",ROUND(K837*J837,2))</f>
        <v/>
      </c>
      <c r="M837" s="6"/>
      <c r="N837" s="19" t="str">
        <f t="shared" ref="N837:N900" si="111">IF(G837="","",G837-N(M837))</f>
        <v/>
      </c>
      <c r="O837" s="23" t="str">
        <f>IF(B837="","",TRIM(IF(COUNTIF('Registru comenzi'!$B$5:$B$304,B837)=0,"Comandă inexistentă în registru. ","")&amp;IF(AND(D837&lt;&gt;"",E837=""),"Cod necunoscut. ","")&amp;IF(N(G837)&lt;=0,"Lipsește cantitatea. ","")&amp;IF(N(M837)&gt;N(G837),"Livrat mai mult decât s-a comandat. ","")&amp;IF(N(I837)&gt;0.3,"Discount neobișnuit de mare. ","")))</f>
        <v/>
      </c>
    </row>
    <row r="838" spans="1:15" x14ac:dyDescent="0.2">
      <c r="A838" s="1" t="str">
        <f t="shared" si="104"/>
        <v/>
      </c>
      <c r="B838" s="17"/>
      <c r="C838" s="18" t="str">
        <f>IF(B838="","",COUNTIF(INDEX($B:$B,5):B838,B838))</f>
        <v/>
      </c>
      <c r="D838" s="17"/>
      <c r="E838" s="19" t="str">
        <f t="shared" si="105"/>
        <v/>
      </c>
      <c r="F838" s="18" t="str">
        <f t="shared" si="106"/>
        <v/>
      </c>
      <c r="G838" s="6"/>
      <c r="H838" s="20" t="str">
        <f t="shared" si="107"/>
        <v/>
      </c>
      <c r="I838" s="21"/>
      <c r="J838" s="22" t="str">
        <f t="shared" si="108"/>
        <v/>
      </c>
      <c r="K838" s="20" t="str">
        <f t="shared" si="109"/>
        <v/>
      </c>
      <c r="L838" s="20" t="str">
        <f t="shared" si="110"/>
        <v/>
      </c>
      <c r="M838" s="6"/>
      <c r="N838" s="19" t="str">
        <f t="shared" si="111"/>
        <v/>
      </c>
      <c r="O838" s="23" t="str">
        <f>IF(B838="","",TRIM(IF(COUNTIF('Registru comenzi'!$B$5:$B$304,B838)=0,"Comandă inexistentă în registru. ","")&amp;IF(AND(D838&lt;&gt;"",E838=""),"Cod necunoscut. ","")&amp;IF(N(G838)&lt;=0,"Lipsește cantitatea. ","")&amp;IF(N(M838)&gt;N(G838),"Livrat mai mult decât s-a comandat. ","")&amp;IF(N(I838)&gt;0.3,"Discount neobișnuit de mare. ","")))</f>
        <v/>
      </c>
    </row>
    <row r="839" spans="1:15" x14ac:dyDescent="0.2">
      <c r="A839" s="1" t="str">
        <f t="shared" si="104"/>
        <v/>
      </c>
      <c r="B839" s="17"/>
      <c r="C839" s="18" t="str">
        <f>IF(B839="","",COUNTIF(INDEX($B:$B,5):B839,B839))</f>
        <v/>
      </c>
      <c r="D839" s="17"/>
      <c r="E839" s="19" t="str">
        <f t="shared" si="105"/>
        <v/>
      </c>
      <c r="F839" s="18" t="str">
        <f t="shared" si="106"/>
        <v/>
      </c>
      <c r="G839" s="6"/>
      <c r="H839" s="20" t="str">
        <f t="shared" si="107"/>
        <v/>
      </c>
      <c r="I839" s="21"/>
      <c r="J839" s="22" t="str">
        <f t="shared" si="108"/>
        <v/>
      </c>
      <c r="K839" s="20" t="str">
        <f t="shared" si="109"/>
        <v/>
      </c>
      <c r="L839" s="20" t="str">
        <f t="shared" si="110"/>
        <v/>
      </c>
      <c r="M839" s="6"/>
      <c r="N839" s="19" t="str">
        <f t="shared" si="111"/>
        <v/>
      </c>
      <c r="O839" s="23" t="str">
        <f>IF(B839="","",TRIM(IF(COUNTIF('Registru comenzi'!$B$5:$B$304,B839)=0,"Comandă inexistentă în registru. ","")&amp;IF(AND(D839&lt;&gt;"",E839=""),"Cod necunoscut. ","")&amp;IF(N(G839)&lt;=0,"Lipsește cantitatea. ","")&amp;IF(N(M839)&gt;N(G839),"Livrat mai mult decât s-a comandat. ","")&amp;IF(N(I839)&gt;0.3,"Discount neobișnuit de mare. ","")))</f>
        <v/>
      </c>
    </row>
    <row r="840" spans="1:15" x14ac:dyDescent="0.2">
      <c r="A840" s="1" t="str">
        <f t="shared" si="104"/>
        <v/>
      </c>
      <c r="B840" s="17"/>
      <c r="C840" s="18" t="str">
        <f>IF(B840="","",COUNTIF(INDEX($B:$B,5):B840,B840))</f>
        <v/>
      </c>
      <c r="D840" s="17"/>
      <c r="E840" s="19" t="str">
        <f t="shared" si="105"/>
        <v/>
      </c>
      <c r="F840" s="18" t="str">
        <f t="shared" si="106"/>
        <v/>
      </c>
      <c r="G840" s="6"/>
      <c r="H840" s="20" t="str">
        <f t="shared" si="107"/>
        <v/>
      </c>
      <c r="I840" s="21"/>
      <c r="J840" s="22" t="str">
        <f t="shared" si="108"/>
        <v/>
      </c>
      <c r="K840" s="20" t="str">
        <f t="shared" si="109"/>
        <v/>
      </c>
      <c r="L840" s="20" t="str">
        <f t="shared" si="110"/>
        <v/>
      </c>
      <c r="M840" s="6"/>
      <c r="N840" s="19" t="str">
        <f t="shared" si="111"/>
        <v/>
      </c>
      <c r="O840" s="23" t="str">
        <f>IF(B840="","",TRIM(IF(COUNTIF('Registru comenzi'!$B$5:$B$304,B840)=0,"Comandă inexistentă în registru. ","")&amp;IF(AND(D840&lt;&gt;"",E840=""),"Cod necunoscut. ","")&amp;IF(N(G840)&lt;=0,"Lipsește cantitatea. ","")&amp;IF(N(M840)&gt;N(G840),"Livrat mai mult decât s-a comandat. ","")&amp;IF(N(I840)&gt;0.3,"Discount neobișnuit de mare. ","")))</f>
        <v/>
      </c>
    </row>
    <row r="841" spans="1:15" x14ac:dyDescent="0.2">
      <c r="A841" s="1" t="str">
        <f t="shared" si="104"/>
        <v/>
      </c>
      <c r="B841" s="17"/>
      <c r="C841" s="18" t="str">
        <f>IF(B841="","",COUNTIF(INDEX($B:$B,5):B841,B841))</f>
        <v/>
      </c>
      <c r="D841" s="17"/>
      <c r="E841" s="19" t="str">
        <f t="shared" si="105"/>
        <v/>
      </c>
      <c r="F841" s="18" t="str">
        <f t="shared" si="106"/>
        <v/>
      </c>
      <c r="G841" s="6"/>
      <c r="H841" s="20" t="str">
        <f t="shared" si="107"/>
        <v/>
      </c>
      <c r="I841" s="21"/>
      <c r="J841" s="22" t="str">
        <f t="shared" si="108"/>
        <v/>
      </c>
      <c r="K841" s="20" t="str">
        <f t="shared" si="109"/>
        <v/>
      </c>
      <c r="L841" s="20" t="str">
        <f t="shared" si="110"/>
        <v/>
      </c>
      <c r="M841" s="6"/>
      <c r="N841" s="19" t="str">
        <f t="shared" si="111"/>
        <v/>
      </c>
      <c r="O841" s="23" t="str">
        <f>IF(B841="","",TRIM(IF(COUNTIF('Registru comenzi'!$B$5:$B$304,B841)=0,"Comandă inexistentă în registru. ","")&amp;IF(AND(D841&lt;&gt;"",E841=""),"Cod necunoscut. ","")&amp;IF(N(G841)&lt;=0,"Lipsește cantitatea. ","")&amp;IF(N(M841)&gt;N(G841),"Livrat mai mult decât s-a comandat. ","")&amp;IF(N(I841)&gt;0.3,"Discount neobișnuit de mare. ","")))</f>
        <v/>
      </c>
    </row>
    <row r="842" spans="1:15" x14ac:dyDescent="0.2">
      <c r="A842" s="1" t="str">
        <f t="shared" si="104"/>
        <v/>
      </c>
      <c r="B842" s="17"/>
      <c r="C842" s="18" t="str">
        <f>IF(B842="","",COUNTIF(INDEX($B:$B,5):B842,B842))</f>
        <v/>
      </c>
      <c r="D842" s="17"/>
      <c r="E842" s="19" t="str">
        <f t="shared" si="105"/>
        <v/>
      </c>
      <c r="F842" s="18" t="str">
        <f t="shared" si="106"/>
        <v/>
      </c>
      <c r="G842" s="6"/>
      <c r="H842" s="20" t="str">
        <f t="shared" si="107"/>
        <v/>
      </c>
      <c r="I842" s="21"/>
      <c r="J842" s="22" t="str">
        <f t="shared" si="108"/>
        <v/>
      </c>
      <c r="K842" s="20" t="str">
        <f t="shared" si="109"/>
        <v/>
      </c>
      <c r="L842" s="20" t="str">
        <f t="shared" si="110"/>
        <v/>
      </c>
      <c r="M842" s="6"/>
      <c r="N842" s="19" t="str">
        <f t="shared" si="111"/>
        <v/>
      </c>
      <c r="O842" s="23" t="str">
        <f>IF(B842="","",TRIM(IF(COUNTIF('Registru comenzi'!$B$5:$B$304,B842)=0,"Comandă inexistentă în registru. ","")&amp;IF(AND(D842&lt;&gt;"",E842=""),"Cod necunoscut. ","")&amp;IF(N(G842)&lt;=0,"Lipsește cantitatea. ","")&amp;IF(N(M842)&gt;N(G842),"Livrat mai mult decât s-a comandat. ","")&amp;IF(N(I842)&gt;0.3,"Discount neobișnuit de mare. ","")))</f>
        <v/>
      </c>
    </row>
    <row r="843" spans="1:15" x14ac:dyDescent="0.2">
      <c r="A843" s="1" t="str">
        <f t="shared" si="104"/>
        <v/>
      </c>
      <c r="B843" s="17"/>
      <c r="C843" s="18" t="str">
        <f>IF(B843="","",COUNTIF(INDEX($B:$B,5):B843,B843))</f>
        <v/>
      </c>
      <c r="D843" s="17"/>
      <c r="E843" s="19" t="str">
        <f t="shared" si="105"/>
        <v/>
      </c>
      <c r="F843" s="18" t="str">
        <f t="shared" si="106"/>
        <v/>
      </c>
      <c r="G843" s="6"/>
      <c r="H843" s="20" t="str">
        <f t="shared" si="107"/>
        <v/>
      </c>
      <c r="I843" s="21"/>
      <c r="J843" s="22" t="str">
        <f t="shared" si="108"/>
        <v/>
      </c>
      <c r="K843" s="20" t="str">
        <f t="shared" si="109"/>
        <v/>
      </c>
      <c r="L843" s="20" t="str">
        <f t="shared" si="110"/>
        <v/>
      </c>
      <c r="M843" s="6"/>
      <c r="N843" s="19" t="str">
        <f t="shared" si="111"/>
        <v/>
      </c>
      <c r="O843" s="23" t="str">
        <f>IF(B843="","",TRIM(IF(COUNTIF('Registru comenzi'!$B$5:$B$304,B843)=0,"Comandă inexistentă în registru. ","")&amp;IF(AND(D843&lt;&gt;"",E843=""),"Cod necunoscut. ","")&amp;IF(N(G843)&lt;=0,"Lipsește cantitatea. ","")&amp;IF(N(M843)&gt;N(G843),"Livrat mai mult decât s-a comandat. ","")&amp;IF(N(I843)&gt;0.3,"Discount neobișnuit de mare. ","")))</f>
        <v/>
      </c>
    </row>
    <row r="844" spans="1:15" x14ac:dyDescent="0.2">
      <c r="A844" s="1" t="str">
        <f t="shared" si="104"/>
        <v/>
      </c>
      <c r="B844" s="17"/>
      <c r="C844" s="18" t="str">
        <f>IF(B844="","",COUNTIF(INDEX($B:$B,5):B844,B844))</f>
        <v/>
      </c>
      <c r="D844" s="17"/>
      <c r="E844" s="19" t="str">
        <f t="shared" si="105"/>
        <v/>
      </c>
      <c r="F844" s="18" t="str">
        <f t="shared" si="106"/>
        <v/>
      </c>
      <c r="G844" s="6"/>
      <c r="H844" s="20" t="str">
        <f t="shared" si="107"/>
        <v/>
      </c>
      <c r="I844" s="21"/>
      <c r="J844" s="22" t="str">
        <f t="shared" si="108"/>
        <v/>
      </c>
      <c r="K844" s="20" t="str">
        <f t="shared" si="109"/>
        <v/>
      </c>
      <c r="L844" s="20" t="str">
        <f t="shared" si="110"/>
        <v/>
      </c>
      <c r="M844" s="6"/>
      <c r="N844" s="19" t="str">
        <f t="shared" si="111"/>
        <v/>
      </c>
      <c r="O844" s="23" t="str">
        <f>IF(B844="","",TRIM(IF(COUNTIF('Registru comenzi'!$B$5:$B$304,B844)=0,"Comandă inexistentă în registru. ","")&amp;IF(AND(D844&lt;&gt;"",E844=""),"Cod necunoscut. ","")&amp;IF(N(G844)&lt;=0,"Lipsește cantitatea. ","")&amp;IF(N(M844)&gt;N(G844),"Livrat mai mult decât s-a comandat. ","")&amp;IF(N(I844)&gt;0.3,"Discount neobișnuit de mare. ","")))</f>
        <v/>
      </c>
    </row>
    <row r="845" spans="1:15" x14ac:dyDescent="0.2">
      <c r="A845" s="1" t="str">
        <f t="shared" si="104"/>
        <v/>
      </c>
      <c r="B845" s="17"/>
      <c r="C845" s="18" t="str">
        <f>IF(B845="","",COUNTIF(INDEX($B:$B,5):B845,B845))</f>
        <v/>
      </c>
      <c r="D845" s="17"/>
      <c r="E845" s="19" t="str">
        <f t="shared" si="105"/>
        <v/>
      </c>
      <c r="F845" s="18" t="str">
        <f t="shared" si="106"/>
        <v/>
      </c>
      <c r="G845" s="6"/>
      <c r="H845" s="20" t="str">
        <f t="shared" si="107"/>
        <v/>
      </c>
      <c r="I845" s="21"/>
      <c r="J845" s="22" t="str">
        <f t="shared" si="108"/>
        <v/>
      </c>
      <c r="K845" s="20" t="str">
        <f t="shared" si="109"/>
        <v/>
      </c>
      <c r="L845" s="20" t="str">
        <f t="shared" si="110"/>
        <v/>
      </c>
      <c r="M845" s="6"/>
      <c r="N845" s="19" t="str">
        <f t="shared" si="111"/>
        <v/>
      </c>
      <c r="O845" s="23" t="str">
        <f>IF(B845="","",TRIM(IF(COUNTIF('Registru comenzi'!$B$5:$B$304,B845)=0,"Comandă inexistentă în registru. ","")&amp;IF(AND(D845&lt;&gt;"",E845=""),"Cod necunoscut. ","")&amp;IF(N(G845)&lt;=0,"Lipsește cantitatea. ","")&amp;IF(N(M845)&gt;N(G845),"Livrat mai mult decât s-a comandat. ","")&amp;IF(N(I845)&gt;0.3,"Discount neobișnuit de mare. ","")))</f>
        <v/>
      </c>
    </row>
    <row r="846" spans="1:15" x14ac:dyDescent="0.2">
      <c r="A846" s="1" t="str">
        <f t="shared" si="104"/>
        <v/>
      </c>
      <c r="B846" s="17"/>
      <c r="C846" s="18" t="str">
        <f>IF(B846="","",COUNTIF(INDEX($B:$B,5):B846,B846))</f>
        <v/>
      </c>
      <c r="D846" s="17"/>
      <c r="E846" s="19" t="str">
        <f t="shared" si="105"/>
        <v/>
      </c>
      <c r="F846" s="18" t="str">
        <f t="shared" si="106"/>
        <v/>
      </c>
      <c r="G846" s="6"/>
      <c r="H846" s="20" t="str">
        <f t="shared" si="107"/>
        <v/>
      </c>
      <c r="I846" s="21"/>
      <c r="J846" s="22" t="str">
        <f t="shared" si="108"/>
        <v/>
      </c>
      <c r="K846" s="20" t="str">
        <f t="shared" si="109"/>
        <v/>
      </c>
      <c r="L846" s="20" t="str">
        <f t="shared" si="110"/>
        <v/>
      </c>
      <c r="M846" s="6"/>
      <c r="N846" s="19" t="str">
        <f t="shared" si="111"/>
        <v/>
      </c>
      <c r="O846" s="23" t="str">
        <f>IF(B846="","",TRIM(IF(COUNTIF('Registru comenzi'!$B$5:$B$304,B846)=0,"Comandă inexistentă în registru. ","")&amp;IF(AND(D846&lt;&gt;"",E846=""),"Cod necunoscut. ","")&amp;IF(N(G846)&lt;=0,"Lipsește cantitatea. ","")&amp;IF(N(M846)&gt;N(G846),"Livrat mai mult decât s-a comandat. ","")&amp;IF(N(I846)&gt;0.3,"Discount neobișnuit de mare. ","")))</f>
        <v/>
      </c>
    </row>
    <row r="847" spans="1:15" x14ac:dyDescent="0.2">
      <c r="A847" s="1" t="str">
        <f t="shared" si="104"/>
        <v/>
      </c>
      <c r="B847" s="17"/>
      <c r="C847" s="18" t="str">
        <f>IF(B847="","",COUNTIF(INDEX($B:$B,5):B847,B847))</f>
        <v/>
      </c>
      <c r="D847" s="17"/>
      <c r="E847" s="19" t="str">
        <f t="shared" si="105"/>
        <v/>
      </c>
      <c r="F847" s="18" t="str">
        <f t="shared" si="106"/>
        <v/>
      </c>
      <c r="G847" s="6"/>
      <c r="H847" s="20" t="str">
        <f t="shared" si="107"/>
        <v/>
      </c>
      <c r="I847" s="21"/>
      <c r="J847" s="22" t="str">
        <f t="shared" si="108"/>
        <v/>
      </c>
      <c r="K847" s="20" t="str">
        <f t="shared" si="109"/>
        <v/>
      </c>
      <c r="L847" s="20" t="str">
        <f t="shared" si="110"/>
        <v/>
      </c>
      <c r="M847" s="6"/>
      <c r="N847" s="19" t="str">
        <f t="shared" si="111"/>
        <v/>
      </c>
      <c r="O847" s="23" t="str">
        <f>IF(B847="","",TRIM(IF(COUNTIF('Registru comenzi'!$B$5:$B$304,B847)=0,"Comandă inexistentă în registru. ","")&amp;IF(AND(D847&lt;&gt;"",E847=""),"Cod necunoscut. ","")&amp;IF(N(G847)&lt;=0,"Lipsește cantitatea. ","")&amp;IF(N(M847)&gt;N(G847),"Livrat mai mult decât s-a comandat. ","")&amp;IF(N(I847)&gt;0.3,"Discount neobișnuit de mare. ","")))</f>
        <v/>
      </c>
    </row>
    <row r="848" spans="1:15" x14ac:dyDescent="0.2">
      <c r="A848" s="1" t="str">
        <f t="shared" si="104"/>
        <v/>
      </c>
      <c r="B848" s="17"/>
      <c r="C848" s="18" t="str">
        <f>IF(B848="","",COUNTIF(INDEX($B:$B,5):B848,B848))</f>
        <v/>
      </c>
      <c r="D848" s="17"/>
      <c r="E848" s="19" t="str">
        <f t="shared" si="105"/>
        <v/>
      </c>
      <c r="F848" s="18" t="str">
        <f t="shared" si="106"/>
        <v/>
      </c>
      <c r="G848" s="6"/>
      <c r="H848" s="20" t="str">
        <f t="shared" si="107"/>
        <v/>
      </c>
      <c r="I848" s="21"/>
      <c r="J848" s="22" t="str">
        <f t="shared" si="108"/>
        <v/>
      </c>
      <c r="K848" s="20" t="str">
        <f t="shared" si="109"/>
        <v/>
      </c>
      <c r="L848" s="20" t="str">
        <f t="shared" si="110"/>
        <v/>
      </c>
      <c r="M848" s="6"/>
      <c r="N848" s="19" t="str">
        <f t="shared" si="111"/>
        <v/>
      </c>
      <c r="O848" s="23" t="str">
        <f>IF(B848="","",TRIM(IF(COUNTIF('Registru comenzi'!$B$5:$B$304,B848)=0,"Comandă inexistentă în registru. ","")&amp;IF(AND(D848&lt;&gt;"",E848=""),"Cod necunoscut. ","")&amp;IF(N(G848)&lt;=0,"Lipsește cantitatea. ","")&amp;IF(N(M848)&gt;N(G848),"Livrat mai mult decât s-a comandat. ","")&amp;IF(N(I848)&gt;0.3,"Discount neobișnuit de mare. ","")))</f>
        <v/>
      </c>
    </row>
    <row r="849" spans="1:15" x14ac:dyDescent="0.2">
      <c r="A849" s="1" t="str">
        <f t="shared" si="104"/>
        <v/>
      </c>
      <c r="B849" s="17"/>
      <c r="C849" s="18" t="str">
        <f>IF(B849="","",COUNTIF(INDEX($B:$B,5):B849,B849))</f>
        <v/>
      </c>
      <c r="D849" s="17"/>
      <c r="E849" s="19" t="str">
        <f t="shared" si="105"/>
        <v/>
      </c>
      <c r="F849" s="18" t="str">
        <f t="shared" si="106"/>
        <v/>
      </c>
      <c r="G849" s="6"/>
      <c r="H849" s="20" t="str">
        <f t="shared" si="107"/>
        <v/>
      </c>
      <c r="I849" s="21"/>
      <c r="J849" s="22" t="str">
        <f t="shared" si="108"/>
        <v/>
      </c>
      <c r="K849" s="20" t="str">
        <f t="shared" si="109"/>
        <v/>
      </c>
      <c r="L849" s="20" t="str">
        <f t="shared" si="110"/>
        <v/>
      </c>
      <c r="M849" s="6"/>
      <c r="N849" s="19" t="str">
        <f t="shared" si="111"/>
        <v/>
      </c>
      <c r="O849" s="23" t="str">
        <f>IF(B849="","",TRIM(IF(COUNTIF('Registru comenzi'!$B$5:$B$304,B849)=0,"Comandă inexistentă în registru. ","")&amp;IF(AND(D849&lt;&gt;"",E849=""),"Cod necunoscut. ","")&amp;IF(N(G849)&lt;=0,"Lipsește cantitatea. ","")&amp;IF(N(M849)&gt;N(G849),"Livrat mai mult decât s-a comandat. ","")&amp;IF(N(I849)&gt;0.3,"Discount neobișnuit de mare. ","")))</f>
        <v/>
      </c>
    </row>
    <row r="850" spans="1:15" x14ac:dyDescent="0.2">
      <c r="A850" s="1" t="str">
        <f t="shared" si="104"/>
        <v/>
      </c>
      <c r="B850" s="17"/>
      <c r="C850" s="18" t="str">
        <f>IF(B850="","",COUNTIF(INDEX($B:$B,5):B850,B850))</f>
        <v/>
      </c>
      <c r="D850" s="17"/>
      <c r="E850" s="19" t="str">
        <f t="shared" si="105"/>
        <v/>
      </c>
      <c r="F850" s="18" t="str">
        <f t="shared" si="106"/>
        <v/>
      </c>
      <c r="G850" s="6"/>
      <c r="H850" s="20" t="str">
        <f t="shared" si="107"/>
        <v/>
      </c>
      <c r="I850" s="21"/>
      <c r="J850" s="22" t="str">
        <f t="shared" si="108"/>
        <v/>
      </c>
      <c r="K850" s="20" t="str">
        <f t="shared" si="109"/>
        <v/>
      </c>
      <c r="L850" s="20" t="str">
        <f t="shared" si="110"/>
        <v/>
      </c>
      <c r="M850" s="6"/>
      <c r="N850" s="19" t="str">
        <f t="shared" si="111"/>
        <v/>
      </c>
      <c r="O850" s="23" t="str">
        <f>IF(B850="","",TRIM(IF(COUNTIF('Registru comenzi'!$B$5:$B$304,B850)=0,"Comandă inexistentă în registru. ","")&amp;IF(AND(D850&lt;&gt;"",E850=""),"Cod necunoscut. ","")&amp;IF(N(G850)&lt;=0,"Lipsește cantitatea. ","")&amp;IF(N(M850)&gt;N(G850),"Livrat mai mult decât s-a comandat. ","")&amp;IF(N(I850)&gt;0.3,"Discount neobișnuit de mare. ","")))</f>
        <v/>
      </c>
    </row>
    <row r="851" spans="1:15" x14ac:dyDescent="0.2">
      <c r="A851" s="1" t="str">
        <f t="shared" si="104"/>
        <v/>
      </c>
      <c r="B851" s="17"/>
      <c r="C851" s="18" t="str">
        <f>IF(B851="","",COUNTIF(INDEX($B:$B,5):B851,B851))</f>
        <v/>
      </c>
      <c r="D851" s="17"/>
      <c r="E851" s="19" t="str">
        <f t="shared" si="105"/>
        <v/>
      </c>
      <c r="F851" s="18" t="str">
        <f t="shared" si="106"/>
        <v/>
      </c>
      <c r="G851" s="6"/>
      <c r="H851" s="20" t="str">
        <f t="shared" si="107"/>
        <v/>
      </c>
      <c r="I851" s="21"/>
      <c r="J851" s="22" t="str">
        <f t="shared" si="108"/>
        <v/>
      </c>
      <c r="K851" s="20" t="str">
        <f t="shared" si="109"/>
        <v/>
      </c>
      <c r="L851" s="20" t="str">
        <f t="shared" si="110"/>
        <v/>
      </c>
      <c r="M851" s="6"/>
      <c r="N851" s="19" t="str">
        <f t="shared" si="111"/>
        <v/>
      </c>
      <c r="O851" s="23" t="str">
        <f>IF(B851="","",TRIM(IF(COUNTIF('Registru comenzi'!$B$5:$B$304,B851)=0,"Comandă inexistentă în registru. ","")&amp;IF(AND(D851&lt;&gt;"",E851=""),"Cod necunoscut. ","")&amp;IF(N(G851)&lt;=0,"Lipsește cantitatea. ","")&amp;IF(N(M851)&gt;N(G851),"Livrat mai mult decât s-a comandat. ","")&amp;IF(N(I851)&gt;0.3,"Discount neobișnuit de mare. ","")))</f>
        <v/>
      </c>
    </row>
    <row r="852" spans="1:15" x14ac:dyDescent="0.2">
      <c r="A852" s="1" t="str">
        <f t="shared" si="104"/>
        <v/>
      </c>
      <c r="B852" s="17"/>
      <c r="C852" s="18" t="str">
        <f>IF(B852="","",COUNTIF(INDEX($B:$B,5):B852,B852))</f>
        <v/>
      </c>
      <c r="D852" s="17"/>
      <c r="E852" s="19" t="str">
        <f t="shared" si="105"/>
        <v/>
      </c>
      <c r="F852" s="18" t="str">
        <f t="shared" si="106"/>
        <v/>
      </c>
      <c r="G852" s="6"/>
      <c r="H852" s="20" t="str">
        <f t="shared" si="107"/>
        <v/>
      </c>
      <c r="I852" s="21"/>
      <c r="J852" s="22" t="str">
        <f t="shared" si="108"/>
        <v/>
      </c>
      <c r="K852" s="20" t="str">
        <f t="shared" si="109"/>
        <v/>
      </c>
      <c r="L852" s="20" t="str">
        <f t="shared" si="110"/>
        <v/>
      </c>
      <c r="M852" s="6"/>
      <c r="N852" s="19" t="str">
        <f t="shared" si="111"/>
        <v/>
      </c>
      <c r="O852" s="23" t="str">
        <f>IF(B852="","",TRIM(IF(COUNTIF('Registru comenzi'!$B$5:$B$304,B852)=0,"Comandă inexistentă în registru. ","")&amp;IF(AND(D852&lt;&gt;"",E852=""),"Cod necunoscut. ","")&amp;IF(N(G852)&lt;=0,"Lipsește cantitatea. ","")&amp;IF(N(M852)&gt;N(G852),"Livrat mai mult decât s-a comandat. ","")&amp;IF(N(I852)&gt;0.3,"Discount neobișnuit de mare. ","")))</f>
        <v/>
      </c>
    </row>
    <row r="853" spans="1:15" x14ac:dyDescent="0.2">
      <c r="A853" s="1" t="str">
        <f t="shared" si="104"/>
        <v/>
      </c>
      <c r="B853" s="17"/>
      <c r="C853" s="18" t="str">
        <f>IF(B853="","",COUNTIF(INDEX($B:$B,5):B853,B853))</f>
        <v/>
      </c>
      <c r="D853" s="17"/>
      <c r="E853" s="19" t="str">
        <f t="shared" si="105"/>
        <v/>
      </c>
      <c r="F853" s="18" t="str">
        <f t="shared" si="106"/>
        <v/>
      </c>
      <c r="G853" s="6"/>
      <c r="H853" s="20" t="str">
        <f t="shared" si="107"/>
        <v/>
      </c>
      <c r="I853" s="21"/>
      <c r="J853" s="22" t="str">
        <f t="shared" si="108"/>
        <v/>
      </c>
      <c r="K853" s="20" t="str">
        <f t="shared" si="109"/>
        <v/>
      </c>
      <c r="L853" s="20" t="str">
        <f t="shared" si="110"/>
        <v/>
      </c>
      <c r="M853" s="6"/>
      <c r="N853" s="19" t="str">
        <f t="shared" si="111"/>
        <v/>
      </c>
      <c r="O853" s="23" t="str">
        <f>IF(B853="","",TRIM(IF(COUNTIF('Registru comenzi'!$B$5:$B$304,B853)=0,"Comandă inexistentă în registru. ","")&amp;IF(AND(D853&lt;&gt;"",E853=""),"Cod necunoscut. ","")&amp;IF(N(G853)&lt;=0,"Lipsește cantitatea. ","")&amp;IF(N(M853)&gt;N(G853),"Livrat mai mult decât s-a comandat. ","")&amp;IF(N(I853)&gt;0.3,"Discount neobișnuit de mare. ","")))</f>
        <v/>
      </c>
    </row>
    <row r="854" spans="1:15" x14ac:dyDescent="0.2">
      <c r="A854" s="1" t="str">
        <f t="shared" si="104"/>
        <v/>
      </c>
      <c r="B854" s="17"/>
      <c r="C854" s="18" t="str">
        <f>IF(B854="","",COUNTIF(INDEX($B:$B,5):B854,B854))</f>
        <v/>
      </c>
      <c r="D854" s="17"/>
      <c r="E854" s="19" t="str">
        <f t="shared" si="105"/>
        <v/>
      </c>
      <c r="F854" s="18" t="str">
        <f t="shared" si="106"/>
        <v/>
      </c>
      <c r="G854" s="6"/>
      <c r="H854" s="20" t="str">
        <f t="shared" si="107"/>
        <v/>
      </c>
      <c r="I854" s="21"/>
      <c r="J854" s="22" t="str">
        <f t="shared" si="108"/>
        <v/>
      </c>
      <c r="K854" s="20" t="str">
        <f t="shared" si="109"/>
        <v/>
      </c>
      <c r="L854" s="20" t="str">
        <f t="shared" si="110"/>
        <v/>
      </c>
      <c r="M854" s="6"/>
      <c r="N854" s="19" t="str">
        <f t="shared" si="111"/>
        <v/>
      </c>
      <c r="O854" s="23" t="str">
        <f>IF(B854="","",TRIM(IF(COUNTIF('Registru comenzi'!$B$5:$B$304,B854)=0,"Comandă inexistentă în registru. ","")&amp;IF(AND(D854&lt;&gt;"",E854=""),"Cod necunoscut. ","")&amp;IF(N(G854)&lt;=0,"Lipsește cantitatea. ","")&amp;IF(N(M854)&gt;N(G854),"Livrat mai mult decât s-a comandat. ","")&amp;IF(N(I854)&gt;0.3,"Discount neobișnuit de mare. ","")))</f>
        <v/>
      </c>
    </row>
    <row r="855" spans="1:15" x14ac:dyDescent="0.2">
      <c r="A855" s="1" t="str">
        <f t="shared" si="104"/>
        <v/>
      </c>
      <c r="B855" s="17"/>
      <c r="C855" s="18" t="str">
        <f>IF(B855="","",COUNTIF(INDEX($B:$B,5):B855,B855))</f>
        <v/>
      </c>
      <c r="D855" s="17"/>
      <c r="E855" s="19" t="str">
        <f t="shared" si="105"/>
        <v/>
      </c>
      <c r="F855" s="18" t="str">
        <f t="shared" si="106"/>
        <v/>
      </c>
      <c r="G855" s="6"/>
      <c r="H855" s="20" t="str">
        <f t="shared" si="107"/>
        <v/>
      </c>
      <c r="I855" s="21"/>
      <c r="J855" s="22" t="str">
        <f t="shared" si="108"/>
        <v/>
      </c>
      <c r="K855" s="20" t="str">
        <f t="shared" si="109"/>
        <v/>
      </c>
      <c r="L855" s="20" t="str">
        <f t="shared" si="110"/>
        <v/>
      </c>
      <c r="M855" s="6"/>
      <c r="N855" s="19" t="str">
        <f t="shared" si="111"/>
        <v/>
      </c>
      <c r="O855" s="23" t="str">
        <f>IF(B855="","",TRIM(IF(COUNTIF('Registru comenzi'!$B$5:$B$304,B855)=0,"Comandă inexistentă în registru. ","")&amp;IF(AND(D855&lt;&gt;"",E855=""),"Cod necunoscut. ","")&amp;IF(N(G855)&lt;=0,"Lipsește cantitatea. ","")&amp;IF(N(M855)&gt;N(G855),"Livrat mai mult decât s-a comandat. ","")&amp;IF(N(I855)&gt;0.3,"Discount neobișnuit de mare. ","")))</f>
        <v/>
      </c>
    </row>
    <row r="856" spans="1:15" x14ac:dyDescent="0.2">
      <c r="A856" s="1" t="str">
        <f t="shared" si="104"/>
        <v/>
      </c>
      <c r="B856" s="17"/>
      <c r="C856" s="18" t="str">
        <f>IF(B856="","",COUNTIF(INDEX($B:$B,5):B856,B856))</f>
        <v/>
      </c>
      <c r="D856" s="17"/>
      <c r="E856" s="19" t="str">
        <f t="shared" si="105"/>
        <v/>
      </c>
      <c r="F856" s="18" t="str">
        <f t="shared" si="106"/>
        <v/>
      </c>
      <c r="G856" s="6"/>
      <c r="H856" s="20" t="str">
        <f t="shared" si="107"/>
        <v/>
      </c>
      <c r="I856" s="21"/>
      <c r="J856" s="22" t="str">
        <f t="shared" si="108"/>
        <v/>
      </c>
      <c r="K856" s="20" t="str">
        <f t="shared" si="109"/>
        <v/>
      </c>
      <c r="L856" s="20" t="str">
        <f t="shared" si="110"/>
        <v/>
      </c>
      <c r="M856" s="6"/>
      <c r="N856" s="19" t="str">
        <f t="shared" si="111"/>
        <v/>
      </c>
      <c r="O856" s="23" t="str">
        <f>IF(B856="","",TRIM(IF(COUNTIF('Registru comenzi'!$B$5:$B$304,B856)=0,"Comandă inexistentă în registru. ","")&amp;IF(AND(D856&lt;&gt;"",E856=""),"Cod necunoscut. ","")&amp;IF(N(G856)&lt;=0,"Lipsește cantitatea. ","")&amp;IF(N(M856)&gt;N(G856),"Livrat mai mult decât s-a comandat. ","")&amp;IF(N(I856)&gt;0.3,"Discount neobișnuit de mare. ","")))</f>
        <v/>
      </c>
    </row>
    <row r="857" spans="1:15" x14ac:dyDescent="0.2">
      <c r="A857" s="1" t="str">
        <f t="shared" si="104"/>
        <v/>
      </c>
      <c r="B857" s="17"/>
      <c r="C857" s="18" t="str">
        <f>IF(B857="","",COUNTIF(INDEX($B:$B,5):B857,B857))</f>
        <v/>
      </c>
      <c r="D857" s="17"/>
      <c r="E857" s="19" t="str">
        <f t="shared" si="105"/>
        <v/>
      </c>
      <c r="F857" s="18" t="str">
        <f t="shared" si="106"/>
        <v/>
      </c>
      <c r="G857" s="6"/>
      <c r="H857" s="20" t="str">
        <f t="shared" si="107"/>
        <v/>
      </c>
      <c r="I857" s="21"/>
      <c r="J857" s="22" t="str">
        <f t="shared" si="108"/>
        <v/>
      </c>
      <c r="K857" s="20" t="str">
        <f t="shared" si="109"/>
        <v/>
      </c>
      <c r="L857" s="20" t="str">
        <f t="shared" si="110"/>
        <v/>
      </c>
      <c r="M857" s="6"/>
      <c r="N857" s="19" t="str">
        <f t="shared" si="111"/>
        <v/>
      </c>
      <c r="O857" s="23" t="str">
        <f>IF(B857="","",TRIM(IF(COUNTIF('Registru comenzi'!$B$5:$B$304,B857)=0,"Comandă inexistentă în registru. ","")&amp;IF(AND(D857&lt;&gt;"",E857=""),"Cod necunoscut. ","")&amp;IF(N(G857)&lt;=0,"Lipsește cantitatea. ","")&amp;IF(N(M857)&gt;N(G857),"Livrat mai mult decât s-a comandat. ","")&amp;IF(N(I857)&gt;0.3,"Discount neobișnuit de mare. ","")))</f>
        <v/>
      </c>
    </row>
    <row r="858" spans="1:15" x14ac:dyDescent="0.2">
      <c r="A858" s="1" t="str">
        <f t="shared" si="104"/>
        <v/>
      </c>
      <c r="B858" s="17"/>
      <c r="C858" s="18" t="str">
        <f>IF(B858="","",COUNTIF(INDEX($B:$B,5):B858,B858))</f>
        <v/>
      </c>
      <c r="D858" s="17"/>
      <c r="E858" s="19" t="str">
        <f t="shared" si="105"/>
        <v/>
      </c>
      <c r="F858" s="18" t="str">
        <f t="shared" si="106"/>
        <v/>
      </c>
      <c r="G858" s="6"/>
      <c r="H858" s="20" t="str">
        <f t="shared" si="107"/>
        <v/>
      </c>
      <c r="I858" s="21"/>
      <c r="J858" s="22" t="str">
        <f t="shared" si="108"/>
        <v/>
      </c>
      <c r="K858" s="20" t="str">
        <f t="shared" si="109"/>
        <v/>
      </c>
      <c r="L858" s="20" t="str">
        <f t="shared" si="110"/>
        <v/>
      </c>
      <c r="M858" s="6"/>
      <c r="N858" s="19" t="str">
        <f t="shared" si="111"/>
        <v/>
      </c>
      <c r="O858" s="23" t="str">
        <f>IF(B858="","",TRIM(IF(COUNTIF('Registru comenzi'!$B$5:$B$304,B858)=0,"Comandă inexistentă în registru. ","")&amp;IF(AND(D858&lt;&gt;"",E858=""),"Cod necunoscut. ","")&amp;IF(N(G858)&lt;=0,"Lipsește cantitatea. ","")&amp;IF(N(M858)&gt;N(G858),"Livrat mai mult decât s-a comandat. ","")&amp;IF(N(I858)&gt;0.3,"Discount neobișnuit de mare. ","")))</f>
        <v/>
      </c>
    </row>
    <row r="859" spans="1:15" x14ac:dyDescent="0.2">
      <c r="A859" s="1" t="str">
        <f t="shared" si="104"/>
        <v/>
      </c>
      <c r="B859" s="17"/>
      <c r="C859" s="18" t="str">
        <f>IF(B859="","",COUNTIF(INDEX($B:$B,5):B859,B859))</f>
        <v/>
      </c>
      <c r="D859" s="17"/>
      <c r="E859" s="19" t="str">
        <f t="shared" si="105"/>
        <v/>
      </c>
      <c r="F859" s="18" t="str">
        <f t="shared" si="106"/>
        <v/>
      </c>
      <c r="G859" s="6"/>
      <c r="H859" s="20" t="str">
        <f t="shared" si="107"/>
        <v/>
      </c>
      <c r="I859" s="21"/>
      <c r="J859" s="22" t="str">
        <f t="shared" si="108"/>
        <v/>
      </c>
      <c r="K859" s="20" t="str">
        <f t="shared" si="109"/>
        <v/>
      </c>
      <c r="L859" s="20" t="str">
        <f t="shared" si="110"/>
        <v/>
      </c>
      <c r="M859" s="6"/>
      <c r="N859" s="19" t="str">
        <f t="shared" si="111"/>
        <v/>
      </c>
      <c r="O859" s="23" t="str">
        <f>IF(B859="","",TRIM(IF(COUNTIF('Registru comenzi'!$B$5:$B$304,B859)=0,"Comandă inexistentă în registru. ","")&amp;IF(AND(D859&lt;&gt;"",E859=""),"Cod necunoscut. ","")&amp;IF(N(G859)&lt;=0,"Lipsește cantitatea. ","")&amp;IF(N(M859)&gt;N(G859),"Livrat mai mult decât s-a comandat. ","")&amp;IF(N(I859)&gt;0.3,"Discount neobișnuit de mare. ","")))</f>
        <v/>
      </c>
    </row>
    <row r="860" spans="1:15" x14ac:dyDescent="0.2">
      <c r="A860" s="1" t="str">
        <f t="shared" si="104"/>
        <v/>
      </c>
      <c r="B860" s="17"/>
      <c r="C860" s="18" t="str">
        <f>IF(B860="","",COUNTIF(INDEX($B:$B,5):B860,B860))</f>
        <v/>
      </c>
      <c r="D860" s="17"/>
      <c r="E860" s="19" t="str">
        <f t="shared" si="105"/>
        <v/>
      </c>
      <c r="F860" s="18" t="str">
        <f t="shared" si="106"/>
        <v/>
      </c>
      <c r="G860" s="6"/>
      <c r="H860" s="20" t="str">
        <f t="shared" si="107"/>
        <v/>
      </c>
      <c r="I860" s="21"/>
      <c r="J860" s="22" t="str">
        <f t="shared" si="108"/>
        <v/>
      </c>
      <c r="K860" s="20" t="str">
        <f t="shared" si="109"/>
        <v/>
      </c>
      <c r="L860" s="20" t="str">
        <f t="shared" si="110"/>
        <v/>
      </c>
      <c r="M860" s="6"/>
      <c r="N860" s="19" t="str">
        <f t="shared" si="111"/>
        <v/>
      </c>
      <c r="O860" s="23" t="str">
        <f>IF(B860="","",TRIM(IF(COUNTIF('Registru comenzi'!$B$5:$B$304,B860)=0,"Comandă inexistentă în registru. ","")&amp;IF(AND(D860&lt;&gt;"",E860=""),"Cod necunoscut. ","")&amp;IF(N(G860)&lt;=0,"Lipsește cantitatea. ","")&amp;IF(N(M860)&gt;N(G860),"Livrat mai mult decât s-a comandat. ","")&amp;IF(N(I860)&gt;0.3,"Discount neobișnuit de mare. ","")))</f>
        <v/>
      </c>
    </row>
    <row r="861" spans="1:15" x14ac:dyDescent="0.2">
      <c r="A861" s="1" t="str">
        <f t="shared" si="104"/>
        <v/>
      </c>
      <c r="B861" s="17"/>
      <c r="C861" s="18" t="str">
        <f>IF(B861="","",COUNTIF(INDEX($B:$B,5):B861,B861))</f>
        <v/>
      </c>
      <c r="D861" s="17"/>
      <c r="E861" s="19" t="str">
        <f t="shared" si="105"/>
        <v/>
      </c>
      <c r="F861" s="18" t="str">
        <f t="shared" si="106"/>
        <v/>
      </c>
      <c r="G861" s="6"/>
      <c r="H861" s="20" t="str">
        <f t="shared" si="107"/>
        <v/>
      </c>
      <c r="I861" s="21"/>
      <c r="J861" s="22" t="str">
        <f t="shared" si="108"/>
        <v/>
      </c>
      <c r="K861" s="20" t="str">
        <f t="shared" si="109"/>
        <v/>
      </c>
      <c r="L861" s="20" t="str">
        <f t="shared" si="110"/>
        <v/>
      </c>
      <c r="M861" s="6"/>
      <c r="N861" s="19" t="str">
        <f t="shared" si="111"/>
        <v/>
      </c>
      <c r="O861" s="23" t="str">
        <f>IF(B861="","",TRIM(IF(COUNTIF('Registru comenzi'!$B$5:$B$304,B861)=0,"Comandă inexistentă în registru. ","")&amp;IF(AND(D861&lt;&gt;"",E861=""),"Cod necunoscut. ","")&amp;IF(N(G861)&lt;=0,"Lipsește cantitatea. ","")&amp;IF(N(M861)&gt;N(G861),"Livrat mai mult decât s-a comandat. ","")&amp;IF(N(I861)&gt;0.3,"Discount neobișnuit de mare. ","")))</f>
        <v/>
      </c>
    </row>
    <row r="862" spans="1:15" x14ac:dyDescent="0.2">
      <c r="A862" s="1" t="str">
        <f t="shared" si="104"/>
        <v/>
      </c>
      <c r="B862" s="17"/>
      <c r="C862" s="18" t="str">
        <f>IF(B862="","",COUNTIF(INDEX($B:$B,5):B862,B862))</f>
        <v/>
      </c>
      <c r="D862" s="17"/>
      <c r="E862" s="19" t="str">
        <f t="shared" si="105"/>
        <v/>
      </c>
      <c r="F862" s="18" t="str">
        <f t="shared" si="106"/>
        <v/>
      </c>
      <c r="G862" s="6"/>
      <c r="H862" s="20" t="str">
        <f t="shared" si="107"/>
        <v/>
      </c>
      <c r="I862" s="21"/>
      <c r="J862" s="22" t="str">
        <f t="shared" si="108"/>
        <v/>
      </c>
      <c r="K862" s="20" t="str">
        <f t="shared" si="109"/>
        <v/>
      </c>
      <c r="L862" s="20" t="str">
        <f t="shared" si="110"/>
        <v/>
      </c>
      <c r="M862" s="6"/>
      <c r="N862" s="19" t="str">
        <f t="shared" si="111"/>
        <v/>
      </c>
      <c r="O862" s="23" t="str">
        <f>IF(B862="","",TRIM(IF(COUNTIF('Registru comenzi'!$B$5:$B$304,B862)=0,"Comandă inexistentă în registru. ","")&amp;IF(AND(D862&lt;&gt;"",E862=""),"Cod necunoscut. ","")&amp;IF(N(G862)&lt;=0,"Lipsește cantitatea. ","")&amp;IF(N(M862)&gt;N(G862),"Livrat mai mult decât s-a comandat. ","")&amp;IF(N(I862)&gt;0.3,"Discount neobișnuit de mare. ","")))</f>
        <v/>
      </c>
    </row>
    <row r="863" spans="1:15" x14ac:dyDescent="0.2">
      <c r="A863" s="1" t="str">
        <f t="shared" si="104"/>
        <v/>
      </c>
      <c r="B863" s="17"/>
      <c r="C863" s="18" t="str">
        <f>IF(B863="","",COUNTIF(INDEX($B:$B,5):B863,B863))</f>
        <v/>
      </c>
      <c r="D863" s="17"/>
      <c r="E863" s="19" t="str">
        <f t="shared" si="105"/>
        <v/>
      </c>
      <c r="F863" s="18" t="str">
        <f t="shared" si="106"/>
        <v/>
      </c>
      <c r="G863" s="6"/>
      <c r="H863" s="20" t="str">
        <f t="shared" si="107"/>
        <v/>
      </c>
      <c r="I863" s="21"/>
      <c r="J863" s="22" t="str">
        <f t="shared" si="108"/>
        <v/>
      </c>
      <c r="K863" s="20" t="str">
        <f t="shared" si="109"/>
        <v/>
      </c>
      <c r="L863" s="20" t="str">
        <f t="shared" si="110"/>
        <v/>
      </c>
      <c r="M863" s="6"/>
      <c r="N863" s="19" t="str">
        <f t="shared" si="111"/>
        <v/>
      </c>
      <c r="O863" s="23" t="str">
        <f>IF(B863="","",TRIM(IF(COUNTIF('Registru comenzi'!$B$5:$B$304,B863)=0,"Comandă inexistentă în registru. ","")&amp;IF(AND(D863&lt;&gt;"",E863=""),"Cod necunoscut. ","")&amp;IF(N(G863)&lt;=0,"Lipsește cantitatea. ","")&amp;IF(N(M863)&gt;N(G863),"Livrat mai mult decât s-a comandat. ","")&amp;IF(N(I863)&gt;0.3,"Discount neobișnuit de mare. ","")))</f>
        <v/>
      </c>
    </row>
    <row r="864" spans="1:15" x14ac:dyDescent="0.2">
      <c r="A864" s="1" t="str">
        <f t="shared" si="104"/>
        <v/>
      </c>
      <c r="B864" s="17"/>
      <c r="C864" s="18" t="str">
        <f>IF(B864="","",COUNTIF(INDEX($B:$B,5):B864,B864))</f>
        <v/>
      </c>
      <c r="D864" s="17"/>
      <c r="E864" s="19" t="str">
        <f t="shared" si="105"/>
        <v/>
      </c>
      <c r="F864" s="18" t="str">
        <f t="shared" si="106"/>
        <v/>
      </c>
      <c r="G864" s="6"/>
      <c r="H864" s="20" t="str">
        <f t="shared" si="107"/>
        <v/>
      </c>
      <c r="I864" s="21"/>
      <c r="J864" s="22" t="str">
        <f t="shared" si="108"/>
        <v/>
      </c>
      <c r="K864" s="20" t="str">
        <f t="shared" si="109"/>
        <v/>
      </c>
      <c r="L864" s="20" t="str">
        <f t="shared" si="110"/>
        <v/>
      </c>
      <c r="M864" s="6"/>
      <c r="N864" s="19" t="str">
        <f t="shared" si="111"/>
        <v/>
      </c>
      <c r="O864" s="23" t="str">
        <f>IF(B864="","",TRIM(IF(COUNTIF('Registru comenzi'!$B$5:$B$304,B864)=0,"Comandă inexistentă în registru. ","")&amp;IF(AND(D864&lt;&gt;"",E864=""),"Cod necunoscut. ","")&amp;IF(N(G864)&lt;=0,"Lipsește cantitatea. ","")&amp;IF(N(M864)&gt;N(G864),"Livrat mai mult decât s-a comandat. ","")&amp;IF(N(I864)&gt;0.3,"Discount neobișnuit de mare. ","")))</f>
        <v/>
      </c>
    </row>
    <row r="865" spans="1:15" x14ac:dyDescent="0.2">
      <c r="A865" s="1" t="str">
        <f t="shared" si="104"/>
        <v/>
      </c>
      <c r="B865" s="17"/>
      <c r="C865" s="18" t="str">
        <f>IF(B865="","",COUNTIF(INDEX($B:$B,5):B865,B865))</f>
        <v/>
      </c>
      <c r="D865" s="17"/>
      <c r="E865" s="19" t="str">
        <f t="shared" si="105"/>
        <v/>
      </c>
      <c r="F865" s="18" t="str">
        <f t="shared" si="106"/>
        <v/>
      </c>
      <c r="G865" s="6"/>
      <c r="H865" s="20" t="str">
        <f t="shared" si="107"/>
        <v/>
      </c>
      <c r="I865" s="21"/>
      <c r="J865" s="22" t="str">
        <f t="shared" si="108"/>
        <v/>
      </c>
      <c r="K865" s="20" t="str">
        <f t="shared" si="109"/>
        <v/>
      </c>
      <c r="L865" s="20" t="str">
        <f t="shared" si="110"/>
        <v/>
      </c>
      <c r="M865" s="6"/>
      <c r="N865" s="19" t="str">
        <f t="shared" si="111"/>
        <v/>
      </c>
      <c r="O865" s="23" t="str">
        <f>IF(B865="","",TRIM(IF(COUNTIF('Registru comenzi'!$B$5:$B$304,B865)=0,"Comandă inexistentă în registru. ","")&amp;IF(AND(D865&lt;&gt;"",E865=""),"Cod necunoscut. ","")&amp;IF(N(G865)&lt;=0,"Lipsește cantitatea. ","")&amp;IF(N(M865)&gt;N(G865),"Livrat mai mult decât s-a comandat. ","")&amp;IF(N(I865)&gt;0.3,"Discount neobișnuit de mare. ","")))</f>
        <v/>
      </c>
    </row>
    <row r="866" spans="1:15" x14ac:dyDescent="0.2">
      <c r="A866" s="1" t="str">
        <f t="shared" si="104"/>
        <v/>
      </c>
      <c r="B866" s="17"/>
      <c r="C866" s="18" t="str">
        <f>IF(B866="","",COUNTIF(INDEX($B:$B,5):B866,B866))</f>
        <v/>
      </c>
      <c r="D866" s="17"/>
      <c r="E866" s="19" t="str">
        <f t="shared" si="105"/>
        <v/>
      </c>
      <c r="F866" s="18" t="str">
        <f t="shared" si="106"/>
        <v/>
      </c>
      <c r="G866" s="6"/>
      <c r="H866" s="20" t="str">
        <f t="shared" si="107"/>
        <v/>
      </c>
      <c r="I866" s="21"/>
      <c r="J866" s="22" t="str">
        <f t="shared" si="108"/>
        <v/>
      </c>
      <c r="K866" s="20" t="str">
        <f t="shared" si="109"/>
        <v/>
      </c>
      <c r="L866" s="20" t="str">
        <f t="shared" si="110"/>
        <v/>
      </c>
      <c r="M866" s="6"/>
      <c r="N866" s="19" t="str">
        <f t="shared" si="111"/>
        <v/>
      </c>
      <c r="O866" s="23" t="str">
        <f>IF(B866="","",TRIM(IF(COUNTIF('Registru comenzi'!$B$5:$B$304,B866)=0,"Comandă inexistentă în registru. ","")&amp;IF(AND(D866&lt;&gt;"",E866=""),"Cod necunoscut. ","")&amp;IF(N(G866)&lt;=0,"Lipsește cantitatea. ","")&amp;IF(N(M866)&gt;N(G866),"Livrat mai mult decât s-a comandat. ","")&amp;IF(N(I866)&gt;0.3,"Discount neobișnuit de mare. ","")))</f>
        <v/>
      </c>
    </row>
    <row r="867" spans="1:15" x14ac:dyDescent="0.2">
      <c r="A867" s="1" t="str">
        <f t="shared" si="104"/>
        <v/>
      </c>
      <c r="B867" s="17"/>
      <c r="C867" s="18" t="str">
        <f>IF(B867="","",COUNTIF(INDEX($B:$B,5):B867,B867))</f>
        <v/>
      </c>
      <c r="D867" s="17"/>
      <c r="E867" s="19" t="str">
        <f t="shared" si="105"/>
        <v/>
      </c>
      <c r="F867" s="18" t="str">
        <f t="shared" si="106"/>
        <v/>
      </c>
      <c r="G867" s="6"/>
      <c r="H867" s="20" t="str">
        <f t="shared" si="107"/>
        <v/>
      </c>
      <c r="I867" s="21"/>
      <c r="J867" s="22" t="str">
        <f t="shared" si="108"/>
        <v/>
      </c>
      <c r="K867" s="20" t="str">
        <f t="shared" si="109"/>
        <v/>
      </c>
      <c r="L867" s="20" t="str">
        <f t="shared" si="110"/>
        <v/>
      </c>
      <c r="M867" s="6"/>
      <c r="N867" s="19" t="str">
        <f t="shared" si="111"/>
        <v/>
      </c>
      <c r="O867" s="23" t="str">
        <f>IF(B867="","",TRIM(IF(COUNTIF('Registru comenzi'!$B$5:$B$304,B867)=0,"Comandă inexistentă în registru. ","")&amp;IF(AND(D867&lt;&gt;"",E867=""),"Cod necunoscut. ","")&amp;IF(N(G867)&lt;=0,"Lipsește cantitatea. ","")&amp;IF(N(M867)&gt;N(G867),"Livrat mai mult decât s-a comandat. ","")&amp;IF(N(I867)&gt;0.3,"Discount neobișnuit de mare. ","")))</f>
        <v/>
      </c>
    </row>
    <row r="868" spans="1:15" x14ac:dyDescent="0.2">
      <c r="A868" s="1" t="str">
        <f t="shared" si="104"/>
        <v/>
      </c>
      <c r="B868" s="17"/>
      <c r="C868" s="18" t="str">
        <f>IF(B868="","",COUNTIF(INDEX($B:$B,5):B868,B868))</f>
        <v/>
      </c>
      <c r="D868" s="17"/>
      <c r="E868" s="19" t="str">
        <f t="shared" si="105"/>
        <v/>
      </c>
      <c r="F868" s="18" t="str">
        <f t="shared" si="106"/>
        <v/>
      </c>
      <c r="G868" s="6"/>
      <c r="H868" s="20" t="str">
        <f t="shared" si="107"/>
        <v/>
      </c>
      <c r="I868" s="21"/>
      <c r="J868" s="22" t="str">
        <f t="shared" si="108"/>
        <v/>
      </c>
      <c r="K868" s="20" t="str">
        <f t="shared" si="109"/>
        <v/>
      </c>
      <c r="L868" s="20" t="str">
        <f t="shared" si="110"/>
        <v/>
      </c>
      <c r="M868" s="6"/>
      <c r="N868" s="19" t="str">
        <f t="shared" si="111"/>
        <v/>
      </c>
      <c r="O868" s="23" t="str">
        <f>IF(B868="","",TRIM(IF(COUNTIF('Registru comenzi'!$B$5:$B$304,B868)=0,"Comandă inexistentă în registru. ","")&amp;IF(AND(D868&lt;&gt;"",E868=""),"Cod necunoscut. ","")&amp;IF(N(G868)&lt;=0,"Lipsește cantitatea. ","")&amp;IF(N(M868)&gt;N(G868),"Livrat mai mult decât s-a comandat. ","")&amp;IF(N(I868)&gt;0.3,"Discount neobișnuit de mare. ","")))</f>
        <v/>
      </c>
    </row>
    <row r="869" spans="1:15" x14ac:dyDescent="0.2">
      <c r="A869" s="1" t="str">
        <f t="shared" si="104"/>
        <v/>
      </c>
      <c r="B869" s="17"/>
      <c r="C869" s="18" t="str">
        <f>IF(B869="","",COUNTIF(INDEX($B:$B,5):B869,B869))</f>
        <v/>
      </c>
      <c r="D869" s="17"/>
      <c r="E869" s="19" t="str">
        <f t="shared" si="105"/>
        <v/>
      </c>
      <c r="F869" s="18" t="str">
        <f t="shared" si="106"/>
        <v/>
      </c>
      <c r="G869" s="6"/>
      <c r="H869" s="20" t="str">
        <f t="shared" si="107"/>
        <v/>
      </c>
      <c r="I869" s="21"/>
      <c r="J869" s="22" t="str">
        <f t="shared" si="108"/>
        <v/>
      </c>
      <c r="K869" s="20" t="str">
        <f t="shared" si="109"/>
        <v/>
      </c>
      <c r="L869" s="20" t="str">
        <f t="shared" si="110"/>
        <v/>
      </c>
      <c r="M869" s="6"/>
      <c r="N869" s="19" t="str">
        <f t="shared" si="111"/>
        <v/>
      </c>
      <c r="O869" s="23" t="str">
        <f>IF(B869="","",TRIM(IF(COUNTIF('Registru comenzi'!$B$5:$B$304,B869)=0,"Comandă inexistentă în registru. ","")&amp;IF(AND(D869&lt;&gt;"",E869=""),"Cod necunoscut. ","")&amp;IF(N(G869)&lt;=0,"Lipsește cantitatea. ","")&amp;IF(N(M869)&gt;N(G869),"Livrat mai mult decât s-a comandat. ","")&amp;IF(N(I869)&gt;0.3,"Discount neobișnuit de mare. ","")))</f>
        <v/>
      </c>
    </row>
    <row r="870" spans="1:15" x14ac:dyDescent="0.2">
      <c r="A870" s="1" t="str">
        <f t="shared" si="104"/>
        <v/>
      </c>
      <c r="B870" s="17"/>
      <c r="C870" s="18" t="str">
        <f>IF(B870="","",COUNTIF(INDEX($B:$B,5):B870,B870))</f>
        <v/>
      </c>
      <c r="D870" s="17"/>
      <c r="E870" s="19" t="str">
        <f t="shared" si="105"/>
        <v/>
      </c>
      <c r="F870" s="18" t="str">
        <f t="shared" si="106"/>
        <v/>
      </c>
      <c r="G870" s="6"/>
      <c r="H870" s="20" t="str">
        <f t="shared" si="107"/>
        <v/>
      </c>
      <c r="I870" s="21"/>
      <c r="J870" s="22" t="str">
        <f t="shared" si="108"/>
        <v/>
      </c>
      <c r="K870" s="20" t="str">
        <f t="shared" si="109"/>
        <v/>
      </c>
      <c r="L870" s="20" t="str">
        <f t="shared" si="110"/>
        <v/>
      </c>
      <c r="M870" s="6"/>
      <c r="N870" s="19" t="str">
        <f t="shared" si="111"/>
        <v/>
      </c>
      <c r="O870" s="23" t="str">
        <f>IF(B870="","",TRIM(IF(COUNTIF('Registru comenzi'!$B$5:$B$304,B870)=0,"Comandă inexistentă în registru. ","")&amp;IF(AND(D870&lt;&gt;"",E870=""),"Cod necunoscut. ","")&amp;IF(N(G870)&lt;=0,"Lipsește cantitatea. ","")&amp;IF(N(M870)&gt;N(G870),"Livrat mai mult decât s-a comandat. ","")&amp;IF(N(I870)&gt;0.3,"Discount neobișnuit de mare. ","")))</f>
        <v/>
      </c>
    </row>
    <row r="871" spans="1:15" x14ac:dyDescent="0.2">
      <c r="A871" s="1" t="str">
        <f t="shared" si="104"/>
        <v/>
      </c>
      <c r="B871" s="17"/>
      <c r="C871" s="18" t="str">
        <f>IF(B871="","",COUNTIF(INDEX($B:$B,5):B871,B871))</f>
        <v/>
      </c>
      <c r="D871" s="17"/>
      <c r="E871" s="19" t="str">
        <f t="shared" si="105"/>
        <v/>
      </c>
      <c r="F871" s="18" t="str">
        <f t="shared" si="106"/>
        <v/>
      </c>
      <c r="G871" s="6"/>
      <c r="H871" s="20" t="str">
        <f t="shared" si="107"/>
        <v/>
      </c>
      <c r="I871" s="21"/>
      <c r="J871" s="22" t="str">
        <f t="shared" si="108"/>
        <v/>
      </c>
      <c r="K871" s="20" t="str">
        <f t="shared" si="109"/>
        <v/>
      </c>
      <c r="L871" s="20" t="str">
        <f t="shared" si="110"/>
        <v/>
      </c>
      <c r="M871" s="6"/>
      <c r="N871" s="19" t="str">
        <f t="shared" si="111"/>
        <v/>
      </c>
      <c r="O871" s="23" t="str">
        <f>IF(B871="","",TRIM(IF(COUNTIF('Registru comenzi'!$B$5:$B$304,B871)=0,"Comandă inexistentă în registru. ","")&amp;IF(AND(D871&lt;&gt;"",E871=""),"Cod necunoscut. ","")&amp;IF(N(G871)&lt;=0,"Lipsește cantitatea. ","")&amp;IF(N(M871)&gt;N(G871),"Livrat mai mult decât s-a comandat. ","")&amp;IF(N(I871)&gt;0.3,"Discount neobișnuit de mare. ","")))</f>
        <v/>
      </c>
    </row>
    <row r="872" spans="1:15" x14ac:dyDescent="0.2">
      <c r="A872" s="1" t="str">
        <f t="shared" si="104"/>
        <v/>
      </c>
      <c r="B872" s="17"/>
      <c r="C872" s="18" t="str">
        <f>IF(B872="","",COUNTIF(INDEX($B:$B,5):B872,B872))</f>
        <v/>
      </c>
      <c r="D872" s="17"/>
      <c r="E872" s="19" t="str">
        <f t="shared" si="105"/>
        <v/>
      </c>
      <c r="F872" s="18" t="str">
        <f t="shared" si="106"/>
        <v/>
      </c>
      <c r="G872" s="6"/>
      <c r="H872" s="20" t="str">
        <f t="shared" si="107"/>
        <v/>
      </c>
      <c r="I872" s="21"/>
      <c r="J872" s="22" t="str">
        <f t="shared" si="108"/>
        <v/>
      </c>
      <c r="K872" s="20" t="str">
        <f t="shared" si="109"/>
        <v/>
      </c>
      <c r="L872" s="20" t="str">
        <f t="shared" si="110"/>
        <v/>
      </c>
      <c r="M872" s="6"/>
      <c r="N872" s="19" t="str">
        <f t="shared" si="111"/>
        <v/>
      </c>
      <c r="O872" s="23" t="str">
        <f>IF(B872="","",TRIM(IF(COUNTIF('Registru comenzi'!$B$5:$B$304,B872)=0,"Comandă inexistentă în registru. ","")&amp;IF(AND(D872&lt;&gt;"",E872=""),"Cod necunoscut. ","")&amp;IF(N(G872)&lt;=0,"Lipsește cantitatea. ","")&amp;IF(N(M872)&gt;N(G872),"Livrat mai mult decât s-a comandat. ","")&amp;IF(N(I872)&gt;0.3,"Discount neobișnuit de mare. ","")))</f>
        <v/>
      </c>
    </row>
    <row r="873" spans="1:15" x14ac:dyDescent="0.2">
      <c r="A873" s="1" t="str">
        <f t="shared" si="104"/>
        <v/>
      </c>
      <c r="B873" s="17"/>
      <c r="C873" s="18" t="str">
        <f>IF(B873="","",COUNTIF(INDEX($B:$B,5):B873,B873))</f>
        <v/>
      </c>
      <c r="D873" s="17"/>
      <c r="E873" s="19" t="str">
        <f t="shared" si="105"/>
        <v/>
      </c>
      <c r="F873" s="18" t="str">
        <f t="shared" si="106"/>
        <v/>
      </c>
      <c r="G873" s="6"/>
      <c r="H873" s="20" t="str">
        <f t="shared" si="107"/>
        <v/>
      </c>
      <c r="I873" s="21"/>
      <c r="J873" s="22" t="str">
        <f t="shared" si="108"/>
        <v/>
      </c>
      <c r="K873" s="20" t="str">
        <f t="shared" si="109"/>
        <v/>
      </c>
      <c r="L873" s="20" t="str">
        <f t="shared" si="110"/>
        <v/>
      </c>
      <c r="M873" s="6"/>
      <c r="N873" s="19" t="str">
        <f t="shared" si="111"/>
        <v/>
      </c>
      <c r="O873" s="23" t="str">
        <f>IF(B873="","",TRIM(IF(COUNTIF('Registru comenzi'!$B$5:$B$304,B873)=0,"Comandă inexistentă în registru. ","")&amp;IF(AND(D873&lt;&gt;"",E873=""),"Cod necunoscut. ","")&amp;IF(N(G873)&lt;=0,"Lipsește cantitatea. ","")&amp;IF(N(M873)&gt;N(G873),"Livrat mai mult decât s-a comandat. ","")&amp;IF(N(I873)&gt;0.3,"Discount neobișnuit de mare. ","")))</f>
        <v/>
      </c>
    </row>
    <row r="874" spans="1:15" x14ac:dyDescent="0.2">
      <c r="A874" s="1" t="str">
        <f t="shared" si="104"/>
        <v/>
      </c>
      <c r="B874" s="17"/>
      <c r="C874" s="18" t="str">
        <f>IF(B874="","",COUNTIF(INDEX($B:$B,5):B874,B874))</f>
        <v/>
      </c>
      <c r="D874" s="17"/>
      <c r="E874" s="19" t="str">
        <f t="shared" si="105"/>
        <v/>
      </c>
      <c r="F874" s="18" t="str">
        <f t="shared" si="106"/>
        <v/>
      </c>
      <c r="G874" s="6"/>
      <c r="H874" s="20" t="str">
        <f t="shared" si="107"/>
        <v/>
      </c>
      <c r="I874" s="21"/>
      <c r="J874" s="22" t="str">
        <f t="shared" si="108"/>
        <v/>
      </c>
      <c r="K874" s="20" t="str">
        <f t="shared" si="109"/>
        <v/>
      </c>
      <c r="L874" s="20" t="str">
        <f t="shared" si="110"/>
        <v/>
      </c>
      <c r="M874" s="6"/>
      <c r="N874" s="19" t="str">
        <f t="shared" si="111"/>
        <v/>
      </c>
      <c r="O874" s="23" t="str">
        <f>IF(B874="","",TRIM(IF(COUNTIF('Registru comenzi'!$B$5:$B$304,B874)=0,"Comandă inexistentă în registru. ","")&amp;IF(AND(D874&lt;&gt;"",E874=""),"Cod necunoscut. ","")&amp;IF(N(G874)&lt;=0,"Lipsește cantitatea. ","")&amp;IF(N(M874)&gt;N(G874),"Livrat mai mult decât s-a comandat. ","")&amp;IF(N(I874)&gt;0.3,"Discount neobișnuit de mare. ","")))</f>
        <v/>
      </c>
    </row>
    <row r="875" spans="1:15" x14ac:dyDescent="0.2">
      <c r="A875" s="1" t="str">
        <f t="shared" si="104"/>
        <v/>
      </c>
      <c r="B875" s="17"/>
      <c r="C875" s="18" t="str">
        <f>IF(B875="","",COUNTIF(INDEX($B:$B,5):B875,B875))</f>
        <v/>
      </c>
      <c r="D875" s="17"/>
      <c r="E875" s="19" t="str">
        <f t="shared" si="105"/>
        <v/>
      </c>
      <c r="F875" s="18" t="str">
        <f t="shared" si="106"/>
        <v/>
      </c>
      <c r="G875" s="6"/>
      <c r="H875" s="20" t="str">
        <f t="shared" si="107"/>
        <v/>
      </c>
      <c r="I875" s="21"/>
      <c r="J875" s="22" t="str">
        <f t="shared" si="108"/>
        <v/>
      </c>
      <c r="K875" s="20" t="str">
        <f t="shared" si="109"/>
        <v/>
      </c>
      <c r="L875" s="20" t="str">
        <f t="shared" si="110"/>
        <v/>
      </c>
      <c r="M875" s="6"/>
      <c r="N875" s="19" t="str">
        <f t="shared" si="111"/>
        <v/>
      </c>
      <c r="O875" s="23" t="str">
        <f>IF(B875="","",TRIM(IF(COUNTIF('Registru comenzi'!$B$5:$B$304,B875)=0,"Comandă inexistentă în registru. ","")&amp;IF(AND(D875&lt;&gt;"",E875=""),"Cod necunoscut. ","")&amp;IF(N(G875)&lt;=0,"Lipsește cantitatea. ","")&amp;IF(N(M875)&gt;N(G875),"Livrat mai mult decât s-a comandat. ","")&amp;IF(N(I875)&gt;0.3,"Discount neobișnuit de mare. ","")))</f>
        <v/>
      </c>
    </row>
    <row r="876" spans="1:15" x14ac:dyDescent="0.2">
      <c r="A876" s="1" t="str">
        <f t="shared" si="104"/>
        <v/>
      </c>
      <c r="B876" s="17"/>
      <c r="C876" s="18" t="str">
        <f>IF(B876="","",COUNTIF(INDEX($B:$B,5):B876,B876))</f>
        <v/>
      </c>
      <c r="D876" s="17"/>
      <c r="E876" s="19" t="str">
        <f t="shared" si="105"/>
        <v/>
      </c>
      <c r="F876" s="18" t="str">
        <f t="shared" si="106"/>
        <v/>
      </c>
      <c r="G876" s="6"/>
      <c r="H876" s="20" t="str">
        <f t="shared" si="107"/>
        <v/>
      </c>
      <c r="I876" s="21"/>
      <c r="J876" s="22" t="str">
        <f t="shared" si="108"/>
        <v/>
      </c>
      <c r="K876" s="20" t="str">
        <f t="shared" si="109"/>
        <v/>
      </c>
      <c r="L876" s="20" t="str">
        <f t="shared" si="110"/>
        <v/>
      </c>
      <c r="M876" s="6"/>
      <c r="N876" s="19" t="str">
        <f t="shared" si="111"/>
        <v/>
      </c>
      <c r="O876" s="23" t="str">
        <f>IF(B876="","",TRIM(IF(COUNTIF('Registru comenzi'!$B$5:$B$304,B876)=0,"Comandă inexistentă în registru. ","")&amp;IF(AND(D876&lt;&gt;"",E876=""),"Cod necunoscut. ","")&amp;IF(N(G876)&lt;=0,"Lipsește cantitatea. ","")&amp;IF(N(M876)&gt;N(G876),"Livrat mai mult decât s-a comandat. ","")&amp;IF(N(I876)&gt;0.3,"Discount neobișnuit de mare. ","")))</f>
        <v/>
      </c>
    </row>
    <row r="877" spans="1:15" x14ac:dyDescent="0.2">
      <c r="A877" s="1" t="str">
        <f t="shared" si="104"/>
        <v/>
      </c>
      <c r="B877" s="17"/>
      <c r="C877" s="18" t="str">
        <f>IF(B877="","",COUNTIF(INDEX($B:$B,5):B877,B877))</f>
        <v/>
      </c>
      <c r="D877" s="17"/>
      <c r="E877" s="19" t="str">
        <f t="shared" si="105"/>
        <v/>
      </c>
      <c r="F877" s="18" t="str">
        <f t="shared" si="106"/>
        <v/>
      </c>
      <c r="G877" s="6"/>
      <c r="H877" s="20" t="str">
        <f t="shared" si="107"/>
        <v/>
      </c>
      <c r="I877" s="21"/>
      <c r="J877" s="22" t="str">
        <f t="shared" si="108"/>
        <v/>
      </c>
      <c r="K877" s="20" t="str">
        <f t="shared" si="109"/>
        <v/>
      </c>
      <c r="L877" s="20" t="str">
        <f t="shared" si="110"/>
        <v/>
      </c>
      <c r="M877" s="6"/>
      <c r="N877" s="19" t="str">
        <f t="shared" si="111"/>
        <v/>
      </c>
      <c r="O877" s="23" t="str">
        <f>IF(B877="","",TRIM(IF(COUNTIF('Registru comenzi'!$B$5:$B$304,B877)=0,"Comandă inexistentă în registru. ","")&amp;IF(AND(D877&lt;&gt;"",E877=""),"Cod necunoscut. ","")&amp;IF(N(G877)&lt;=0,"Lipsește cantitatea. ","")&amp;IF(N(M877)&gt;N(G877),"Livrat mai mult decât s-a comandat. ","")&amp;IF(N(I877)&gt;0.3,"Discount neobișnuit de mare. ","")))</f>
        <v/>
      </c>
    </row>
    <row r="878" spans="1:15" x14ac:dyDescent="0.2">
      <c r="A878" s="1" t="str">
        <f t="shared" si="104"/>
        <v/>
      </c>
      <c r="B878" s="17"/>
      <c r="C878" s="18" t="str">
        <f>IF(B878="","",COUNTIF(INDEX($B:$B,5):B878,B878))</f>
        <v/>
      </c>
      <c r="D878" s="17"/>
      <c r="E878" s="19" t="str">
        <f t="shared" si="105"/>
        <v/>
      </c>
      <c r="F878" s="18" t="str">
        <f t="shared" si="106"/>
        <v/>
      </c>
      <c r="G878" s="6"/>
      <c r="H878" s="20" t="str">
        <f t="shared" si="107"/>
        <v/>
      </c>
      <c r="I878" s="21"/>
      <c r="J878" s="22" t="str">
        <f t="shared" si="108"/>
        <v/>
      </c>
      <c r="K878" s="20" t="str">
        <f t="shared" si="109"/>
        <v/>
      </c>
      <c r="L878" s="20" t="str">
        <f t="shared" si="110"/>
        <v/>
      </c>
      <c r="M878" s="6"/>
      <c r="N878" s="19" t="str">
        <f t="shared" si="111"/>
        <v/>
      </c>
      <c r="O878" s="23" t="str">
        <f>IF(B878="","",TRIM(IF(COUNTIF('Registru comenzi'!$B$5:$B$304,B878)=0,"Comandă inexistentă în registru. ","")&amp;IF(AND(D878&lt;&gt;"",E878=""),"Cod necunoscut. ","")&amp;IF(N(G878)&lt;=0,"Lipsește cantitatea. ","")&amp;IF(N(M878)&gt;N(G878),"Livrat mai mult decât s-a comandat. ","")&amp;IF(N(I878)&gt;0.3,"Discount neobișnuit de mare. ","")))</f>
        <v/>
      </c>
    </row>
    <row r="879" spans="1:15" x14ac:dyDescent="0.2">
      <c r="A879" s="1" t="str">
        <f t="shared" si="104"/>
        <v/>
      </c>
      <c r="B879" s="17"/>
      <c r="C879" s="18" t="str">
        <f>IF(B879="","",COUNTIF(INDEX($B:$B,5):B879,B879))</f>
        <v/>
      </c>
      <c r="D879" s="17"/>
      <c r="E879" s="19" t="str">
        <f t="shared" si="105"/>
        <v/>
      </c>
      <c r="F879" s="18" t="str">
        <f t="shared" si="106"/>
        <v/>
      </c>
      <c r="G879" s="6"/>
      <c r="H879" s="20" t="str">
        <f t="shared" si="107"/>
        <v/>
      </c>
      <c r="I879" s="21"/>
      <c r="J879" s="22" t="str">
        <f t="shared" si="108"/>
        <v/>
      </c>
      <c r="K879" s="20" t="str">
        <f t="shared" si="109"/>
        <v/>
      </c>
      <c r="L879" s="20" t="str">
        <f t="shared" si="110"/>
        <v/>
      </c>
      <c r="M879" s="6"/>
      <c r="N879" s="19" t="str">
        <f t="shared" si="111"/>
        <v/>
      </c>
      <c r="O879" s="23" t="str">
        <f>IF(B879="","",TRIM(IF(COUNTIF('Registru comenzi'!$B$5:$B$304,B879)=0,"Comandă inexistentă în registru. ","")&amp;IF(AND(D879&lt;&gt;"",E879=""),"Cod necunoscut. ","")&amp;IF(N(G879)&lt;=0,"Lipsește cantitatea. ","")&amp;IF(N(M879)&gt;N(G879),"Livrat mai mult decât s-a comandat. ","")&amp;IF(N(I879)&gt;0.3,"Discount neobișnuit de mare. ","")))</f>
        <v/>
      </c>
    </row>
    <row r="880" spans="1:15" x14ac:dyDescent="0.2">
      <c r="A880" s="1" t="str">
        <f t="shared" si="104"/>
        <v/>
      </c>
      <c r="B880" s="17"/>
      <c r="C880" s="18" t="str">
        <f>IF(B880="","",COUNTIF(INDEX($B:$B,5):B880,B880))</f>
        <v/>
      </c>
      <c r="D880" s="17"/>
      <c r="E880" s="19" t="str">
        <f t="shared" si="105"/>
        <v/>
      </c>
      <c r="F880" s="18" t="str">
        <f t="shared" si="106"/>
        <v/>
      </c>
      <c r="G880" s="6"/>
      <c r="H880" s="20" t="str">
        <f t="shared" si="107"/>
        <v/>
      </c>
      <c r="I880" s="21"/>
      <c r="J880" s="22" t="str">
        <f t="shared" si="108"/>
        <v/>
      </c>
      <c r="K880" s="20" t="str">
        <f t="shared" si="109"/>
        <v/>
      </c>
      <c r="L880" s="20" t="str">
        <f t="shared" si="110"/>
        <v/>
      </c>
      <c r="M880" s="6"/>
      <c r="N880" s="19" t="str">
        <f t="shared" si="111"/>
        <v/>
      </c>
      <c r="O880" s="23" t="str">
        <f>IF(B880="","",TRIM(IF(COUNTIF('Registru comenzi'!$B$5:$B$304,B880)=0,"Comandă inexistentă în registru. ","")&amp;IF(AND(D880&lt;&gt;"",E880=""),"Cod necunoscut. ","")&amp;IF(N(G880)&lt;=0,"Lipsește cantitatea. ","")&amp;IF(N(M880)&gt;N(G880),"Livrat mai mult decât s-a comandat. ","")&amp;IF(N(I880)&gt;0.3,"Discount neobișnuit de mare. ","")))</f>
        <v/>
      </c>
    </row>
    <row r="881" spans="1:15" x14ac:dyDescent="0.2">
      <c r="A881" s="1" t="str">
        <f t="shared" si="104"/>
        <v/>
      </c>
      <c r="B881" s="17"/>
      <c r="C881" s="18" t="str">
        <f>IF(B881="","",COUNTIF(INDEX($B:$B,5):B881,B881))</f>
        <v/>
      </c>
      <c r="D881" s="17"/>
      <c r="E881" s="19" t="str">
        <f t="shared" si="105"/>
        <v/>
      </c>
      <c r="F881" s="18" t="str">
        <f t="shared" si="106"/>
        <v/>
      </c>
      <c r="G881" s="6"/>
      <c r="H881" s="20" t="str">
        <f t="shared" si="107"/>
        <v/>
      </c>
      <c r="I881" s="21"/>
      <c r="J881" s="22" t="str">
        <f t="shared" si="108"/>
        <v/>
      </c>
      <c r="K881" s="20" t="str">
        <f t="shared" si="109"/>
        <v/>
      </c>
      <c r="L881" s="20" t="str">
        <f t="shared" si="110"/>
        <v/>
      </c>
      <c r="M881" s="6"/>
      <c r="N881" s="19" t="str">
        <f t="shared" si="111"/>
        <v/>
      </c>
      <c r="O881" s="23" t="str">
        <f>IF(B881="","",TRIM(IF(COUNTIF('Registru comenzi'!$B$5:$B$304,B881)=0,"Comandă inexistentă în registru. ","")&amp;IF(AND(D881&lt;&gt;"",E881=""),"Cod necunoscut. ","")&amp;IF(N(G881)&lt;=0,"Lipsește cantitatea. ","")&amp;IF(N(M881)&gt;N(G881),"Livrat mai mult decât s-a comandat. ","")&amp;IF(N(I881)&gt;0.3,"Discount neobișnuit de mare. ","")))</f>
        <v/>
      </c>
    </row>
    <row r="882" spans="1:15" x14ac:dyDescent="0.2">
      <c r="A882" s="1" t="str">
        <f t="shared" si="104"/>
        <v/>
      </c>
      <c r="B882" s="17"/>
      <c r="C882" s="18" t="str">
        <f>IF(B882="","",COUNTIF(INDEX($B:$B,5):B882,B882))</f>
        <v/>
      </c>
      <c r="D882" s="17"/>
      <c r="E882" s="19" t="str">
        <f t="shared" si="105"/>
        <v/>
      </c>
      <c r="F882" s="18" t="str">
        <f t="shared" si="106"/>
        <v/>
      </c>
      <c r="G882" s="6"/>
      <c r="H882" s="20" t="str">
        <f t="shared" si="107"/>
        <v/>
      </c>
      <c r="I882" s="21"/>
      <c r="J882" s="22" t="str">
        <f t="shared" si="108"/>
        <v/>
      </c>
      <c r="K882" s="20" t="str">
        <f t="shared" si="109"/>
        <v/>
      </c>
      <c r="L882" s="20" t="str">
        <f t="shared" si="110"/>
        <v/>
      </c>
      <c r="M882" s="6"/>
      <c r="N882" s="19" t="str">
        <f t="shared" si="111"/>
        <v/>
      </c>
      <c r="O882" s="23" t="str">
        <f>IF(B882="","",TRIM(IF(COUNTIF('Registru comenzi'!$B$5:$B$304,B882)=0,"Comandă inexistentă în registru. ","")&amp;IF(AND(D882&lt;&gt;"",E882=""),"Cod necunoscut. ","")&amp;IF(N(G882)&lt;=0,"Lipsește cantitatea. ","")&amp;IF(N(M882)&gt;N(G882),"Livrat mai mult decât s-a comandat. ","")&amp;IF(N(I882)&gt;0.3,"Discount neobișnuit de mare. ","")))</f>
        <v/>
      </c>
    </row>
    <row r="883" spans="1:15" x14ac:dyDescent="0.2">
      <c r="A883" s="1" t="str">
        <f t="shared" si="104"/>
        <v/>
      </c>
      <c r="B883" s="17"/>
      <c r="C883" s="18" t="str">
        <f>IF(B883="","",COUNTIF(INDEX($B:$B,5):B883,B883))</f>
        <v/>
      </c>
      <c r="D883" s="17"/>
      <c r="E883" s="19" t="str">
        <f t="shared" si="105"/>
        <v/>
      </c>
      <c r="F883" s="18" t="str">
        <f t="shared" si="106"/>
        <v/>
      </c>
      <c r="G883" s="6"/>
      <c r="H883" s="20" t="str">
        <f t="shared" si="107"/>
        <v/>
      </c>
      <c r="I883" s="21"/>
      <c r="J883" s="22" t="str">
        <f t="shared" si="108"/>
        <v/>
      </c>
      <c r="K883" s="20" t="str">
        <f t="shared" si="109"/>
        <v/>
      </c>
      <c r="L883" s="20" t="str">
        <f t="shared" si="110"/>
        <v/>
      </c>
      <c r="M883" s="6"/>
      <c r="N883" s="19" t="str">
        <f t="shared" si="111"/>
        <v/>
      </c>
      <c r="O883" s="23" t="str">
        <f>IF(B883="","",TRIM(IF(COUNTIF('Registru comenzi'!$B$5:$B$304,B883)=0,"Comandă inexistentă în registru. ","")&amp;IF(AND(D883&lt;&gt;"",E883=""),"Cod necunoscut. ","")&amp;IF(N(G883)&lt;=0,"Lipsește cantitatea. ","")&amp;IF(N(M883)&gt;N(G883),"Livrat mai mult decât s-a comandat. ","")&amp;IF(N(I883)&gt;0.3,"Discount neobișnuit de mare. ","")))</f>
        <v/>
      </c>
    </row>
    <row r="884" spans="1:15" x14ac:dyDescent="0.2">
      <c r="A884" s="1" t="str">
        <f t="shared" si="104"/>
        <v/>
      </c>
      <c r="B884" s="17"/>
      <c r="C884" s="18" t="str">
        <f>IF(B884="","",COUNTIF(INDEX($B:$B,5):B884,B884))</f>
        <v/>
      </c>
      <c r="D884" s="17"/>
      <c r="E884" s="19" t="str">
        <f t="shared" si="105"/>
        <v/>
      </c>
      <c r="F884" s="18" t="str">
        <f t="shared" si="106"/>
        <v/>
      </c>
      <c r="G884" s="6"/>
      <c r="H884" s="20" t="str">
        <f t="shared" si="107"/>
        <v/>
      </c>
      <c r="I884" s="21"/>
      <c r="J884" s="22" t="str">
        <f t="shared" si="108"/>
        <v/>
      </c>
      <c r="K884" s="20" t="str">
        <f t="shared" si="109"/>
        <v/>
      </c>
      <c r="L884" s="20" t="str">
        <f t="shared" si="110"/>
        <v/>
      </c>
      <c r="M884" s="6"/>
      <c r="N884" s="19" t="str">
        <f t="shared" si="111"/>
        <v/>
      </c>
      <c r="O884" s="23" t="str">
        <f>IF(B884="","",TRIM(IF(COUNTIF('Registru comenzi'!$B$5:$B$304,B884)=0,"Comandă inexistentă în registru. ","")&amp;IF(AND(D884&lt;&gt;"",E884=""),"Cod necunoscut. ","")&amp;IF(N(G884)&lt;=0,"Lipsește cantitatea. ","")&amp;IF(N(M884)&gt;N(G884),"Livrat mai mult decât s-a comandat. ","")&amp;IF(N(I884)&gt;0.3,"Discount neobișnuit de mare. ","")))</f>
        <v/>
      </c>
    </row>
    <row r="885" spans="1:15" x14ac:dyDescent="0.2">
      <c r="A885" s="1" t="str">
        <f t="shared" si="104"/>
        <v/>
      </c>
      <c r="B885" s="17"/>
      <c r="C885" s="18" t="str">
        <f>IF(B885="","",COUNTIF(INDEX($B:$B,5):B885,B885))</f>
        <v/>
      </c>
      <c r="D885" s="17"/>
      <c r="E885" s="19" t="str">
        <f t="shared" si="105"/>
        <v/>
      </c>
      <c r="F885" s="18" t="str">
        <f t="shared" si="106"/>
        <v/>
      </c>
      <c r="G885" s="6"/>
      <c r="H885" s="20" t="str">
        <f t="shared" si="107"/>
        <v/>
      </c>
      <c r="I885" s="21"/>
      <c r="J885" s="22" t="str">
        <f t="shared" si="108"/>
        <v/>
      </c>
      <c r="K885" s="20" t="str">
        <f t="shared" si="109"/>
        <v/>
      </c>
      <c r="L885" s="20" t="str">
        <f t="shared" si="110"/>
        <v/>
      </c>
      <c r="M885" s="6"/>
      <c r="N885" s="19" t="str">
        <f t="shared" si="111"/>
        <v/>
      </c>
      <c r="O885" s="23" t="str">
        <f>IF(B885="","",TRIM(IF(COUNTIF('Registru comenzi'!$B$5:$B$304,B885)=0,"Comandă inexistentă în registru. ","")&amp;IF(AND(D885&lt;&gt;"",E885=""),"Cod necunoscut. ","")&amp;IF(N(G885)&lt;=0,"Lipsește cantitatea. ","")&amp;IF(N(M885)&gt;N(G885),"Livrat mai mult decât s-a comandat. ","")&amp;IF(N(I885)&gt;0.3,"Discount neobișnuit de mare. ","")))</f>
        <v/>
      </c>
    </row>
    <row r="886" spans="1:15" x14ac:dyDescent="0.2">
      <c r="A886" s="1" t="str">
        <f t="shared" si="104"/>
        <v/>
      </c>
      <c r="B886" s="17"/>
      <c r="C886" s="18" t="str">
        <f>IF(B886="","",COUNTIF(INDEX($B:$B,5):B886,B886))</f>
        <v/>
      </c>
      <c r="D886" s="17"/>
      <c r="E886" s="19" t="str">
        <f t="shared" si="105"/>
        <v/>
      </c>
      <c r="F886" s="18" t="str">
        <f t="shared" si="106"/>
        <v/>
      </c>
      <c r="G886" s="6"/>
      <c r="H886" s="20" t="str">
        <f t="shared" si="107"/>
        <v/>
      </c>
      <c r="I886" s="21"/>
      <c r="J886" s="22" t="str">
        <f t="shared" si="108"/>
        <v/>
      </c>
      <c r="K886" s="20" t="str">
        <f t="shared" si="109"/>
        <v/>
      </c>
      <c r="L886" s="20" t="str">
        <f t="shared" si="110"/>
        <v/>
      </c>
      <c r="M886" s="6"/>
      <c r="N886" s="19" t="str">
        <f t="shared" si="111"/>
        <v/>
      </c>
      <c r="O886" s="23" t="str">
        <f>IF(B886="","",TRIM(IF(COUNTIF('Registru comenzi'!$B$5:$B$304,B886)=0,"Comandă inexistentă în registru. ","")&amp;IF(AND(D886&lt;&gt;"",E886=""),"Cod necunoscut. ","")&amp;IF(N(G886)&lt;=0,"Lipsește cantitatea. ","")&amp;IF(N(M886)&gt;N(G886),"Livrat mai mult decât s-a comandat. ","")&amp;IF(N(I886)&gt;0.3,"Discount neobișnuit de mare. ","")))</f>
        <v/>
      </c>
    </row>
    <row r="887" spans="1:15" x14ac:dyDescent="0.2">
      <c r="A887" s="1" t="str">
        <f t="shared" si="104"/>
        <v/>
      </c>
      <c r="B887" s="17"/>
      <c r="C887" s="18" t="str">
        <f>IF(B887="","",COUNTIF(INDEX($B:$B,5):B887,B887))</f>
        <v/>
      </c>
      <c r="D887" s="17"/>
      <c r="E887" s="19" t="str">
        <f t="shared" si="105"/>
        <v/>
      </c>
      <c r="F887" s="18" t="str">
        <f t="shared" si="106"/>
        <v/>
      </c>
      <c r="G887" s="6"/>
      <c r="H887" s="20" t="str">
        <f t="shared" si="107"/>
        <v/>
      </c>
      <c r="I887" s="21"/>
      <c r="J887" s="22" t="str">
        <f t="shared" si="108"/>
        <v/>
      </c>
      <c r="K887" s="20" t="str">
        <f t="shared" si="109"/>
        <v/>
      </c>
      <c r="L887" s="20" t="str">
        <f t="shared" si="110"/>
        <v/>
      </c>
      <c r="M887" s="6"/>
      <c r="N887" s="19" t="str">
        <f t="shared" si="111"/>
        <v/>
      </c>
      <c r="O887" s="23" t="str">
        <f>IF(B887="","",TRIM(IF(COUNTIF('Registru comenzi'!$B$5:$B$304,B887)=0,"Comandă inexistentă în registru. ","")&amp;IF(AND(D887&lt;&gt;"",E887=""),"Cod necunoscut. ","")&amp;IF(N(G887)&lt;=0,"Lipsește cantitatea. ","")&amp;IF(N(M887)&gt;N(G887),"Livrat mai mult decât s-a comandat. ","")&amp;IF(N(I887)&gt;0.3,"Discount neobișnuit de mare. ","")))</f>
        <v/>
      </c>
    </row>
    <row r="888" spans="1:15" x14ac:dyDescent="0.2">
      <c r="A888" s="1" t="str">
        <f t="shared" si="104"/>
        <v/>
      </c>
      <c r="B888" s="17"/>
      <c r="C888" s="18" t="str">
        <f>IF(B888="","",COUNTIF(INDEX($B:$B,5):B888,B888))</f>
        <v/>
      </c>
      <c r="D888" s="17"/>
      <c r="E888" s="19" t="str">
        <f t="shared" si="105"/>
        <v/>
      </c>
      <c r="F888" s="18" t="str">
        <f t="shared" si="106"/>
        <v/>
      </c>
      <c r="G888" s="6"/>
      <c r="H888" s="20" t="str">
        <f t="shared" si="107"/>
        <v/>
      </c>
      <c r="I888" s="21"/>
      <c r="J888" s="22" t="str">
        <f t="shared" si="108"/>
        <v/>
      </c>
      <c r="K888" s="20" t="str">
        <f t="shared" si="109"/>
        <v/>
      </c>
      <c r="L888" s="20" t="str">
        <f t="shared" si="110"/>
        <v/>
      </c>
      <c r="M888" s="6"/>
      <c r="N888" s="19" t="str">
        <f t="shared" si="111"/>
        <v/>
      </c>
      <c r="O888" s="23" t="str">
        <f>IF(B888="","",TRIM(IF(COUNTIF('Registru comenzi'!$B$5:$B$304,B888)=0,"Comandă inexistentă în registru. ","")&amp;IF(AND(D888&lt;&gt;"",E888=""),"Cod necunoscut. ","")&amp;IF(N(G888)&lt;=0,"Lipsește cantitatea. ","")&amp;IF(N(M888)&gt;N(G888),"Livrat mai mult decât s-a comandat. ","")&amp;IF(N(I888)&gt;0.3,"Discount neobișnuit de mare. ","")))</f>
        <v/>
      </c>
    </row>
    <row r="889" spans="1:15" x14ac:dyDescent="0.2">
      <c r="A889" s="1" t="str">
        <f t="shared" si="104"/>
        <v/>
      </c>
      <c r="B889" s="17"/>
      <c r="C889" s="18" t="str">
        <f>IF(B889="","",COUNTIF(INDEX($B:$B,5):B889,B889))</f>
        <v/>
      </c>
      <c r="D889" s="17"/>
      <c r="E889" s="19" t="str">
        <f t="shared" si="105"/>
        <v/>
      </c>
      <c r="F889" s="18" t="str">
        <f t="shared" si="106"/>
        <v/>
      </c>
      <c r="G889" s="6"/>
      <c r="H889" s="20" t="str">
        <f t="shared" si="107"/>
        <v/>
      </c>
      <c r="I889" s="21"/>
      <c r="J889" s="22" t="str">
        <f t="shared" si="108"/>
        <v/>
      </c>
      <c r="K889" s="20" t="str">
        <f t="shared" si="109"/>
        <v/>
      </c>
      <c r="L889" s="20" t="str">
        <f t="shared" si="110"/>
        <v/>
      </c>
      <c r="M889" s="6"/>
      <c r="N889" s="19" t="str">
        <f t="shared" si="111"/>
        <v/>
      </c>
      <c r="O889" s="23" t="str">
        <f>IF(B889="","",TRIM(IF(COUNTIF('Registru comenzi'!$B$5:$B$304,B889)=0,"Comandă inexistentă în registru. ","")&amp;IF(AND(D889&lt;&gt;"",E889=""),"Cod necunoscut. ","")&amp;IF(N(G889)&lt;=0,"Lipsește cantitatea. ","")&amp;IF(N(M889)&gt;N(G889),"Livrat mai mult decât s-a comandat. ","")&amp;IF(N(I889)&gt;0.3,"Discount neobișnuit de mare. ","")))</f>
        <v/>
      </c>
    </row>
    <row r="890" spans="1:15" x14ac:dyDescent="0.2">
      <c r="A890" s="1" t="str">
        <f t="shared" si="104"/>
        <v/>
      </c>
      <c r="B890" s="17"/>
      <c r="C890" s="18" t="str">
        <f>IF(B890="","",COUNTIF(INDEX($B:$B,5):B890,B890))</f>
        <v/>
      </c>
      <c r="D890" s="17"/>
      <c r="E890" s="19" t="str">
        <f t="shared" si="105"/>
        <v/>
      </c>
      <c r="F890" s="18" t="str">
        <f t="shared" si="106"/>
        <v/>
      </c>
      <c r="G890" s="6"/>
      <c r="H890" s="20" t="str">
        <f t="shared" si="107"/>
        <v/>
      </c>
      <c r="I890" s="21"/>
      <c r="J890" s="22" t="str">
        <f t="shared" si="108"/>
        <v/>
      </c>
      <c r="K890" s="20" t="str">
        <f t="shared" si="109"/>
        <v/>
      </c>
      <c r="L890" s="20" t="str">
        <f t="shared" si="110"/>
        <v/>
      </c>
      <c r="M890" s="6"/>
      <c r="N890" s="19" t="str">
        <f t="shared" si="111"/>
        <v/>
      </c>
      <c r="O890" s="23" t="str">
        <f>IF(B890="","",TRIM(IF(COUNTIF('Registru comenzi'!$B$5:$B$304,B890)=0,"Comandă inexistentă în registru. ","")&amp;IF(AND(D890&lt;&gt;"",E890=""),"Cod necunoscut. ","")&amp;IF(N(G890)&lt;=0,"Lipsește cantitatea. ","")&amp;IF(N(M890)&gt;N(G890),"Livrat mai mult decât s-a comandat. ","")&amp;IF(N(I890)&gt;0.3,"Discount neobișnuit de mare. ","")))</f>
        <v/>
      </c>
    </row>
    <row r="891" spans="1:15" x14ac:dyDescent="0.2">
      <c r="A891" s="1" t="str">
        <f t="shared" si="104"/>
        <v/>
      </c>
      <c r="B891" s="17"/>
      <c r="C891" s="18" t="str">
        <f>IF(B891="","",COUNTIF(INDEX($B:$B,5):B891,B891))</f>
        <v/>
      </c>
      <c r="D891" s="17"/>
      <c r="E891" s="19" t="str">
        <f t="shared" si="105"/>
        <v/>
      </c>
      <c r="F891" s="18" t="str">
        <f t="shared" si="106"/>
        <v/>
      </c>
      <c r="G891" s="6"/>
      <c r="H891" s="20" t="str">
        <f t="shared" si="107"/>
        <v/>
      </c>
      <c r="I891" s="21"/>
      <c r="J891" s="22" t="str">
        <f t="shared" si="108"/>
        <v/>
      </c>
      <c r="K891" s="20" t="str">
        <f t="shared" si="109"/>
        <v/>
      </c>
      <c r="L891" s="20" t="str">
        <f t="shared" si="110"/>
        <v/>
      </c>
      <c r="M891" s="6"/>
      <c r="N891" s="19" t="str">
        <f t="shared" si="111"/>
        <v/>
      </c>
      <c r="O891" s="23" t="str">
        <f>IF(B891="","",TRIM(IF(COUNTIF('Registru comenzi'!$B$5:$B$304,B891)=0,"Comandă inexistentă în registru. ","")&amp;IF(AND(D891&lt;&gt;"",E891=""),"Cod necunoscut. ","")&amp;IF(N(G891)&lt;=0,"Lipsește cantitatea. ","")&amp;IF(N(M891)&gt;N(G891),"Livrat mai mult decât s-a comandat. ","")&amp;IF(N(I891)&gt;0.3,"Discount neobișnuit de mare. ","")))</f>
        <v/>
      </c>
    </row>
    <row r="892" spans="1:15" x14ac:dyDescent="0.2">
      <c r="A892" s="1" t="str">
        <f t="shared" si="104"/>
        <v/>
      </c>
      <c r="B892" s="17"/>
      <c r="C892" s="18" t="str">
        <f>IF(B892="","",COUNTIF(INDEX($B:$B,5):B892,B892))</f>
        <v/>
      </c>
      <c r="D892" s="17"/>
      <c r="E892" s="19" t="str">
        <f t="shared" si="105"/>
        <v/>
      </c>
      <c r="F892" s="18" t="str">
        <f t="shared" si="106"/>
        <v/>
      </c>
      <c r="G892" s="6"/>
      <c r="H892" s="20" t="str">
        <f t="shared" si="107"/>
        <v/>
      </c>
      <c r="I892" s="21"/>
      <c r="J892" s="22" t="str">
        <f t="shared" si="108"/>
        <v/>
      </c>
      <c r="K892" s="20" t="str">
        <f t="shared" si="109"/>
        <v/>
      </c>
      <c r="L892" s="20" t="str">
        <f t="shared" si="110"/>
        <v/>
      </c>
      <c r="M892" s="6"/>
      <c r="N892" s="19" t="str">
        <f t="shared" si="111"/>
        <v/>
      </c>
      <c r="O892" s="23" t="str">
        <f>IF(B892="","",TRIM(IF(COUNTIF('Registru comenzi'!$B$5:$B$304,B892)=0,"Comandă inexistentă în registru. ","")&amp;IF(AND(D892&lt;&gt;"",E892=""),"Cod necunoscut. ","")&amp;IF(N(G892)&lt;=0,"Lipsește cantitatea. ","")&amp;IF(N(M892)&gt;N(G892),"Livrat mai mult decât s-a comandat. ","")&amp;IF(N(I892)&gt;0.3,"Discount neobișnuit de mare. ","")))</f>
        <v/>
      </c>
    </row>
    <row r="893" spans="1:15" x14ac:dyDescent="0.2">
      <c r="A893" s="1" t="str">
        <f t="shared" si="104"/>
        <v/>
      </c>
      <c r="B893" s="17"/>
      <c r="C893" s="18" t="str">
        <f>IF(B893="","",COUNTIF(INDEX($B:$B,5):B893,B893))</f>
        <v/>
      </c>
      <c r="D893" s="17"/>
      <c r="E893" s="19" t="str">
        <f t="shared" si="105"/>
        <v/>
      </c>
      <c r="F893" s="18" t="str">
        <f t="shared" si="106"/>
        <v/>
      </c>
      <c r="G893" s="6"/>
      <c r="H893" s="20" t="str">
        <f t="shared" si="107"/>
        <v/>
      </c>
      <c r="I893" s="21"/>
      <c r="J893" s="22" t="str">
        <f t="shared" si="108"/>
        <v/>
      </c>
      <c r="K893" s="20" t="str">
        <f t="shared" si="109"/>
        <v/>
      </c>
      <c r="L893" s="20" t="str">
        <f t="shared" si="110"/>
        <v/>
      </c>
      <c r="M893" s="6"/>
      <c r="N893" s="19" t="str">
        <f t="shared" si="111"/>
        <v/>
      </c>
      <c r="O893" s="23" t="str">
        <f>IF(B893="","",TRIM(IF(COUNTIF('Registru comenzi'!$B$5:$B$304,B893)=0,"Comandă inexistentă în registru. ","")&amp;IF(AND(D893&lt;&gt;"",E893=""),"Cod necunoscut. ","")&amp;IF(N(G893)&lt;=0,"Lipsește cantitatea. ","")&amp;IF(N(M893)&gt;N(G893),"Livrat mai mult decât s-a comandat. ","")&amp;IF(N(I893)&gt;0.3,"Discount neobișnuit de mare. ","")))</f>
        <v/>
      </c>
    </row>
    <row r="894" spans="1:15" x14ac:dyDescent="0.2">
      <c r="A894" s="1" t="str">
        <f t="shared" si="104"/>
        <v/>
      </c>
      <c r="B894" s="17"/>
      <c r="C894" s="18" t="str">
        <f>IF(B894="","",COUNTIF(INDEX($B:$B,5):B894,B894))</f>
        <v/>
      </c>
      <c r="D894" s="17"/>
      <c r="E894" s="19" t="str">
        <f t="shared" si="105"/>
        <v/>
      </c>
      <c r="F894" s="18" t="str">
        <f t="shared" si="106"/>
        <v/>
      </c>
      <c r="G894" s="6"/>
      <c r="H894" s="20" t="str">
        <f t="shared" si="107"/>
        <v/>
      </c>
      <c r="I894" s="21"/>
      <c r="J894" s="22" t="str">
        <f t="shared" si="108"/>
        <v/>
      </c>
      <c r="K894" s="20" t="str">
        <f t="shared" si="109"/>
        <v/>
      </c>
      <c r="L894" s="20" t="str">
        <f t="shared" si="110"/>
        <v/>
      </c>
      <c r="M894" s="6"/>
      <c r="N894" s="19" t="str">
        <f t="shared" si="111"/>
        <v/>
      </c>
      <c r="O894" s="23" t="str">
        <f>IF(B894="","",TRIM(IF(COUNTIF('Registru comenzi'!$B$5:$B$304,B894)=0,"Comandă inexistentă în registru. ","")&amp;IF(AND(D894&lt;&gt;"",E894=""),"Cod necunoscut. ","")&amp;IF(N(G894)&lt;=0,"Lipsește cantitatea. ","")&amp;IF(N(M894)&gt;N(G894),"Livrat mai mult decât s-a comandat. ","")&amp;IF(N(I894)&gt;0.3,"Discount neobișnuit de mare. ","")))</f>
        <v/>
      </c>
    </row>
    <row r="895" spans="1:15" x14ac:dyDescent="0.2">
      <c r="A895" s="1" t="str">
        <f t="shared" si="104"/>
        <v/>
      </c>
      <c r="B895" s="17"/>
      <c r="C895" s="18" t="str">
        <f>IF(B895="","",COUNTIF(INDEX($B:$B,5):B895,B895))</f>
        <v/>
      </c>
      <c r="D895" s="17"/>
      <c r="E895" s="19" t="str">
        <f t="shared" si="105"/>
        <v/>
      </c>
      <c r="F895" s="18" t="str">
        <f t="shared" si="106"/>
        <v/>
      </c>
      <c r="G895" s="6"/>
      <c r="H895" s="20" t="str">
        <f t="shared" si="107"/>
        <v/>
      </c>
      <c r="I895" s="21"/>
      <c r="J895" s="22" t="str">
        <f t="shared" si="108"/>
        <v/>
      </c>
      <c r="K895" s="20" t="str">
        <f t="shared" si="109"/>
        <v/>
      </c>
      <c r="L895" s="20" t="str">
        <f t="shared" si="110"/>
        <v/>
      </c>
      <c r="M895" s="6"/>
      <c r="N895" s="19" t="str">
        <f t="shared" si="111"/>
        <v/>
      </c>
      <c r="O895" s="23" t="str">
        <f>IF(B895="","",TRIM(IF(COUNTIF('Registru comenzi'!$B$5:$B$304,B895)=0,"Comandă inexistentă în registru. ","")&amp;IF(AND(D895&lt;&gt;"",E895=""),"Cod necunoscut. ","")&amp;IF(N(G895)&lt;=0,"Lipsește cantitatea. ","")&amp;IF(N(M895)&gt;N(G895),"Livrat mai mult decât s-a comandat. ","")&amp;IF(N(I895)&gt;0.3,"Discount neobișnuit de mare. ","")))</f>
        <v/>
      </c>
    </row>
    <row r="896" spans="1:15" x14ac:dyDescent="0.2">
      <c r="A896" s="1" t="str">
        <f t="shared" si="104"/>
        <v/>
      </c>
      <c r="B896" s="17"/>
      <c r="C896" s="18" t="str">
        <f>IF(B896="","",COUNTIF(INDEX($B:$B,5):B896,B896))</f>
        <v/>
      </c>
      <c r="D896" s="17"/>
      <c r="E896" s="19" t="str">
        <f t="shared" si="105"/>
        <v/>
      </c>
      <c r="F896" s="18" t="str">
        <f t="shared" si="106"/>
        <v/>
      </c>
      <c r="G896" s="6"/>
      <c r="H896" s="20" t="str">
        <f t="shared" si="107"/>
        <v/>
      </c>
      <c r="I896" s="21"/>
      <c r="J896" s="22" t="str">
        <f t="shared" si="108"/>
        <v/>
      </c>
      <c r="K896" s="20" t="str">
        <f t="shared" si="109"/>
        <v/>
      </c>
      <c r="L896" s="20" t="str">
        <f t="shared" si="110"/>
        <v/>
      </c>
      <c r="M896" s="6"/>
      <c r="N896" s="19" t="str">
        <f t="shared" si="111"/>
        <v/>
      </c>
      <c r="O896" s="23" t="str">
        <f>IF(B896="","",TRIM(IF(COUNTIF('Registru comenzi'!$B$5:$B$304,B896)=0,"Comandă inexistentă în registru. ","")&amp;IF(AND(D896&lt;&gt;"",E896=""),"Cod necunoscut. ","")&amp;IF(N(G896)&lt;=0,"Lipsește cantitatea. ","")&amp;IF(N(M896)&gt;N(G896),"Livrat mai mult decât s-a comandat. ","")&amp;IF(N(I896)&gt;0.3,"Discount neobișnuit de mare. ","")))</f>
        <v/>
      </c>
    </row>
    <row r="897" spans="1:15" x14ac:dyDescent="0.2">
      <c r="A897" s="1" t="str">
        <f t="shared" si="104"/>
        <v/>
      </c>
      <c r="B897" s="17"/>
      <c r="C897" s="18" t="str">
        <f>IF(B897="","",COUNTIF(INDEX($B:$B,5):B897,B897))</f>
        <v/>
      </c>
      <c r="D897" s="17"/>
      <c r="E897" s="19" t="str">
        <f t="shared" si="105"/>
        <v/>
      </c>
      <c r="F897" s="18" t="str">
        <f t="shared" si="106"/>
        <v/>
      </c>
      <c r="G897" s="6"/>
      <c r="H897" s="20" t="str">
        <f t="shared" si="107"/>
        <v/>
      </c>
      <c r="I897" s="21"/>
      <c r="J897" s="22" t="str">
        <f t="shared" si="108"/>
        <v/>
      </c>
      <c r="K897" s="20" t="str">
        <f t="shared" si="109"/>
        <v/>
      </c>
      <c r="L897" s="20" t="str">
        <f t="shared" si="110"/>
        <v/>
      </c>
      <c r="M897" s="6"/>
      <c r="N897" s="19" t="str">
        <f t="shared" si="111"/>
        <v/>
      </c>
      <c r="O897" s="23" t="str">
        <f>IF(B897="","",TRIM(IF(COUNTIF('Registru comenzi'!$B$5:$B$304,B897)=0,"Comandă inexistentă în registru. ","")&amp;IF(AND(D897&lt;&gt;"",E897=""),"Cod necunoscut. ","")&amp;IF(N(G897)&lt;=0,"Lipsește cantitatea. ","")&amp;IF(N(M897)&gt;N(G897),"Livrat mai mult decât s-a comandat. ","")&amp;IF(N(I897)&gt;0.3,"Discount neobișnuit de mare. ","")))</f>
        <v/>
      </c>
    </row>
    <row r="898" spans="1:15" x14ac:dyDescent="0.2">
      <c r="A898" s="1" t="str">
        <f t="shared" si="104"/>
        <v/>
      </c>
      <c r="B898" s="17"/>
      <c r="C898" s="18" t="str">
        <f>IF(B898="","",COUNTIF(INDEX($B:$B,5):B898,B898))</f>
        <v/>
      </c>
      <c r="D898" s="17"/>
      <c r="E898" s="19" t="str">
        <f t="shared" si="105"/>
        <v/>
      </c>
      <c r="F898" s="18" t="str">
        <f t="shared" si="106"/>
        <v/>
      </c>
      <c r="G898" s="6"/>
      <c r="H898" s="20" t="str">
        <f t="shared" si="107"/>
        <v/>
      </c>
      <c r="I898" s="21"/>
      <c r="J898" s="22" t="str">
        <f t="shared" si="108"/>
        <v/>
      </c>
      <c r="K898" s="20" t="str">
        <f t="shared" si="109"/>
        <v/>
      </c>
      <c r="L898" s="20" t="str">
        <f t="shared" si="110"/>
        <v/>
      </c>
      <c r="M898" s="6"/>
      <c r="N898" s="19" t="str">
        <f t="shared" si="111"/>
        <v/>
      </c>
      <c r="O898" s="23" t="str">
        <f>IF(B898="","",TRIM(IF(COUNTIF('Registru comenzi'!$B$5:$B$304,B898)=0,"Comandă inexistentă în registru. ","")&amp;IF(AND(D898&lt;&gt;"",E898=""),"Cod necunoscut. ","")&amp;IF(N(G898)&lt;=0,"Lipsește cantitatea. ","")&amp;IF(N(M898)&gt;N(G898),"Livrat mai mult decât s-a comandat. ","")&amp;IF(N(I898)&gt;0.3,"Discount neobișnuit de mare. ","")))</f>
        <v/>
      </c>
    </row>
    <row r="899" spans="1:15" x14ac:dyDescent="0.2">
      <c r="A899" s="1" t="str">
        <f t="shared" si="104"/>
        <v/>
      </c>
      <c r="B899" s="17"/>
      <c r="C899" s="18" t="str">
        <f>IF(B899="","",COUNTIF(INDEX($B:$B,5):B899,B899))</f>
        <v/>
      </c>
      <c r="D899" s="17"/>
      <c r="E899" s="19" t="str">
        <f t="shared" si="105"/>
        <v/>
      </c>
      <c r="F899" s="18" t="str">
        <f t="shared" si="106"/>
        <v/>
      </c>
      <c r="G899" s="6"/>
      <c r="H899" s="20" t="str">
        <f t="shared" si="107"/>
        <v/>
      </c>
      <c r="I899" s="21"/>
      <c r="J899" s="22" t="str">
        <f t="shared" si="108"/>
        <v/>
      </c>
      <c r="K899" s="20" t="str">
        <f t="shared" si="109"/>
        <v/>
      </c>
      <c r="L899" s="20" t="str">
        <f t="shared" si="110"/>
        <v/>
      </c>
      <c r="M899" s="6"/>
      <c r="N899" s="19" t="str">
        <f t="shared" si="111"/>
        <v/>
      </c>
      <c r="O899" s="23" t="str">
        <f>IF(B899="","",TRIM(IF(COUNTIF('Registru comenzi'!$B$5:$B$304,B899)=0,"Comandă inexistentă în registru. ","")&amp;IF(AND(D899&lt;&gt;"",E899=""),"Cod necunoscut. ","")&amp;IF(N(G899)&lt;=0,"Lipsește cantitatea. ","")&amp;IF(N(M899)&gt;N(G899),"Livrat mai mult decât s-a comandat. ","")&amp;IF(N(I899)&gt;0.3,"Discount neobișnuit de mare. ","")))</f>
        <v/>
      </c>
    </row>
    <row r="900" spans="1:15" x14ac:dyDescent="0.2">
      <c r="A900" s="1" t="str">
        <f t="shared" si="104"/>
        <v/>
      </c>
      <c r="B900" s="17"/>
      <c r="C900" s="18" t="str">
        <f>IF(B900="","",COUNTIF(INDEX($B:$B,5):B900,B900))</f>
        <v/>
      </c>
      <c r="D900" s="17"/>
      <c r="E900" s="19" t="str">
        <f t="shared" si="105"/>
        <v/>
      </c>
      <c r="F900" s="18" t="str">
        <f t="shared" si="106"/>
        <v/>
      </c>
      <c r="G900" s="6"/>
      <c r="H900" s="20" t="str">
        <f t="shared" si="107"/>
        <v/>
      </c>
      <c r="I900" s="21"/>
      <c r="J900" s="22" t="str">
        <f t="shared" si="108"/>
        <v/>
      </c>
      <c r="K900" s="20" t="str">
        <f t="shared" si="109"/>
        <v/>
      </c>
      <c r="L900" s="20" t="str">
        <f t="shared" si="110"/>
        <v/>
      </c>
      <c r="M900" s="6"/>
      <c r="N900" s="19" t="str">
        <f t="shared" si="111"/>
        <v/>
      </c>
      <c r="O900" s="23" t="str">
        <f>IF(B900="","",TRIM(IF(COUNTIF('Registru comenzi'!$B$5:$B$304,B900)=0,"Comandă inexistentă în registru. ","")&amp;IF(AND(D900&lt;&gt;"",E900=""),"Cod necunoscut. ","")&amp;IF(N(G900)&lt;=0,"Lipsește cantitatea. ","")&amp;IF(N(M900)&gt;N(G900),"Livrat mai mult decât s-a comandat. ","")&amp;IF(N(I900)&gt;0.3,"Discount neobișnuit de mare. ","")))</f>
        <v/>
      </c>
    </row>
    <row r="901" spans="1:15" x14ac:dyDescent="0.2">
      <c r="A901" s="1" t="str">
        <f t="shared" ref="A901:A964" si="112">IF(B901="","",B901&amp;"|"&amp;C901)</f>
        <v/>
      </c>
      <c r="B901" s="17"/>
      <c r="C901" s="18" t="str">
        <f>IF(B901="","",COUNTIF(INDEX($B:$B,5):B901,B901))</f>
        <v/>
      </c>
      <c r="D901" s="17"/>
      <c r="E901" s="19" t="str">
        <f t="shared" ref="E901:E964" si="113">IF(D901="","",IFERROR(VLOOKUP(D901,Catalog,2,FALSE),""))</f>
        <v/>
      </c>
      <c r="F901" s="18" t="str">
        <f t="shared" ref="F901:F964" si="114">IF(D901="","",IFERROR(VLOOKUP(D901,Catalog,3,FALSE),""))</f>
        <v/>
      </c>
      <c r="G901" s="6"/>
      <c r="H901" s="20" t="str">
        <f t="shared" ref="H901:H964" si="115">IF(D901="","",IFERROR(VLOOKUP(D901,Catalog,4,FALSE),""))</f>
        <v/>
      </c>
      <c r="I901" s="21"/>
      <c r="J901" s="22" t="str">
        <f t="shared" ref="J901:J964" si="116">IF(D901="","",IFERROR(VLOOKUP(D901,Catalog,5,FALSE),""))</f>
        <v/>
      </c>
      <c r="K901" s="20" t="str">
        <f t="shared" ref="K901:K964" si="117">IF(OR(G901="",H901=""),"",ROUND(G901*H901*(1-N(I901)),2))</f>
        <v/>
      </c>
      <c r="L901" s="20" t="str">
        <f t="shared" ref="L901:L964" si="118">IF(OR(K901="",J901=""),"",ROUND(K901*J901,2))</f>
        <v/>
      </c>
      <c r="M901" s="6"/>
      <c r="N901" s="19" t="str">
        <f t="shared" ref="N901:N964" si="119">IF(G901="","",G901-N(M901))</f>
        <v/>
      </c>
      <c r="O901" s="23" t="str">
        <f>IF(B901="","",TRIM(IF(COUNTIF('Registru comenzi'!$B$5:$B$304,B901)=0,"Comandă inexistentă în registru. ","")&amp;IF(AND(D901&lt;&gt;"",E901=""),"Cod necunoscut. ","")&amp;IF(N(G901)&lt;=0,"Lipsește cantitatea. ","")&amp;IF(N(M901)&gt;N(G901),"Livrat mai mult decât s-a comandat. ","")&amp;IF(N(I901)&gt;0.3,"Discount neobișnuit de mare. ","")))</f>
        <v/>
      </c>
    </row>
    <row r="902" spans="1:15" x14ac:dyDescent="0.2">
      <c r="A902" s="1" t="str">
        <f t="shared" si="112"/>
        <v/>
      </c>
      <c r="B902" s="17"/>
      <c r="C902" s="18" t="str">
        <f>IF(B902="","",COUNTIF(INDEX($B:$B,5):B902,B902))</f>
        <v/>
      </c>
      <c r="D902" s="17"/>
      <c r="E902" s="19" t="str">
        <f t="shared" si="113"/>
        <v/>
      </c>
      <c r="F902" s="18" t="str">
        <f t="shared" si="114"/>
        <v/>
      </c>
      <c r="G902" s="6"/>
      <c r="H902" s="20" t="str">
        <f t="shared" si="115"/>
        <v/>
      </c>
      <c r="I902" s="21"/>
      <c r="J902" s="22" t="str">
        <f t="shared" si="116"/>
        <v/>
      </c>
      <c r="K902" s="20" t="str">
        <f t="shared" si="117"/>
        <v/>
      </c>
      <c r="L902" s="20" t="str">
        <f t="shared" si="118"/>
        <v/>
      </c>
      <c r="M902" s="6"/>
      <c r="N902" s="19" t="str">
        <f t="shared" si="119"/>
        <v/>
      </c>
      <c r="O902" s="23" t="str">
        <f>IF(B902="","",TRIM(IF(COUNTIF('Registru comenzi'!$B$5:$B$304,B902)=0,"Comandă inexistentă în registru. ","")&amp;IF(AND(D902&lt;&gt;"",E902=""),"Cod necunoscut. ","")&amp;IF(N(G902)&lt;=0,"Lipsește cantitatea. ","")&amp;IF(N(M902)&gt;N(G902),"Livrat mai mult decât s-a comandat. ","")&amp;IF(N(I902)&gt;0.3,"Discount neobișnuit de mare. ","")))</f>
        <v/>
      </c>
    </row>
    <row r="903" spans="1:15" x14ac:dyDescent="0.2">
      <c r="A903" s="1" t="str">
        <f t="shared" si="112"/>
        <v/>
      </c>
      <c r="B903" s="17"/>
      <c r="C903" s="18" t="str">
        <f>IF(B903="","",COUNTIF(INDEX($B:$B,5):B903,B903))</f>
        <v/>
      </c>
      <c r="D903" s="17"/>
      <c r="E903" s="19" t="str">
        <f t="shared" si="113"/>
        <v/>
      </c>
      <c r="F903" s="18" t="str">
        <f t="shared" si="114"/>
        <v/>
      </c>
      <c r="G903" s="6"/>
      <c r="H903" s="20" t="str">
        <f t="shared" si="115"/>
        <v/>
      </c>
      <c r="I903" s="21"/>
      <c r="J903" s="22" t="str">
        <f t="shared" si="116"/>
        <v/>
      </c>
      <c r="K903" s="20" t="str">
        <f t="shared" si="117"/>
        <v/>
      </c>
      <c r="L903" s="20" t="str">
        <f t="shared" si="118"/>
        <v/>
      </c>
      <c r="M903" s="6"/>
      <c r="N903" s="19" t="str">
        <f t="shared" si="119"/>
        <v/>
      </c>
      <c r="O903" s="23" t="str">
        <f>IF(B903="","",TRIM(IF(COUNTIF('Registru comenzi'!$B$5:$B$304,B903)=0,"Comandă inexistentă în registru. ","")&amp;IF(AND(D903&lt;&gt;"",E903=""),"Cod necunoscut. ","")&amp;IF(N(G903)&lt;=0,"Lipsește cantitatea. ","")&amp;IF(N(M903)&gt;N(G903),"Livrat mai mult decât s-a comandat. ","")&amp;IF(N(I903)&gt;0.3,"Discount neobișnuit de mare. ","")))</f>
        <v/>
      </c>
    </row>
    <row r="904" spans="1:15" x14ac:dyDescent="0.2">
      <c r="A904" s="1" t="str">
        <f t="shared" si="112"/>
        <v/>
      </c>
      <c r="B904" s="17"/>
      <c r="C904" s="18" t="str">
        <f>IF(B904="","",COUNTIF(INDEX($B:$B,5):B904,B904))</f>
        <v/>
      </c>
      <c r="D904" s="17"/>
      <c r="E904" s="19" t="str">
        <f t="shared" si="113"/>
        <v/>
      </c>
      <c r="F904" s="18" t="str">
        <f t="shared" si="114"/>
        <v/>
      </c>
      <c r="G904" s="6"/>
      <c r="H904" s="20" t="str">
        <f t="shared" si="115"/>
        <v/>
      </c>
      <c r="I904" s="21"/>
      <c r="J904" s="22" t="str">
        <f t="shared" si="116"/>
        <v/>
      </c>
      <c r="K904" s="20" t="str">
        <f t="shared" si="117"/>
        <v/>
      </c>
      <c r="L904" s="20" t="str">
        <f t="shared" si="118"/>
        <v/>
      </c>
      <c r="M904" s="6"/>
      <c r="N904" s="19" t="str">
        <f t="shared" si="119"/>
        <v/>
      </c>
      <c r="O904" s="23" t="str">
        <f>IF(B904="","",TRIM(IF(COUNTIF('Registru comenzi'!$B$5:$B$304,B904)=0,"Comandă inexistentă în registru. ","")&amp;IF(AND(D904&lt;&gt;"",E904=""),"Cod necunoscut. ","")&amp;IF(N(G904)&lt;=0,"Lipsește cantitatea. ","")&amp;IF(N(M904)&gt;N(G904),"Livrat mai mult decât s-a comandat. ","")&amp;IF(N(I904)&gt;0.3,"Discount neobișnuit de mare. ","")))</f>
        <v/>
      </c>
    </row>
    <row r="905" spans="1:15" x14ac:dyDescent="0.2">
      <c r="A905" s="1" t="str">
        <f t="shared" si="112"/>
        <v/>
      </c>
      <c r="B905" s="17"/>
      <c r="C905" s="18" t="str">
        <f>IF(B905="","",COUNTIF(INDEX($B:$B,5):B905,B905))</f>
        <v/>
      </c>
      <c r="D905" s="17"/>
      <c r="E905" s="19" t="str">
        <f t="shared" si="113"/>
        <v/>
      </c>
      <c r="F905" s="18" t="str">
        <f t="shared" si="114"/>
        <v/>
      </c>
      <c r="G905" s="6"/>
      <c r="H905" s="20" t="str">
        <f t="shared" si="115"/>
        <v/>
      </c>
      <c r="I905" s="21"/>
      <c r="J905" s="22" t="str">
        <f t="shared" si="116"/>
        <v/>
      </c>
      <c r="K905" s="20" t="str">
        <f t="shared" si="117"/>
        <v/>
      </c>
      <c r="L905" s="20" t="str">
        <f t="shared" si="118"/>
        <v/>
      </c>
      <c r="M905" s="6"/>
      <c r="N905" s="19" t="str">
        <f t="shared" si="119"/>
        <v/>
      </c>
      <c r="O905" s="23" t="str">
        <f>IF(B905="","",TRIM(IF(COUNTIF('Registru comenzi'!$B$5:$B$304,B905)=0,"Comandă inexistentă în registru. ","")&amp;IF(AND(D905&lt;&gt;"",E905=""),"Cod necunoscut. ","")&amp;IF(N(G905)&lt;=0,"Lipsește cantitatea. ","")&amp;IF(N(M905)&gt;N(G905),"Livrat mai mult decât s-a comandat. ","")&amp;IF(N(I905)&gt;0.3,"Discount neobișnuit de mare. ","")))</f>
        <v/>
      </c>
    </row>
    <row r="906" spans="1:15" x14ac:dyDescent="0.2">
      <c r="A906" s="1" t="str">
        <f t="shared" si="112"/>
        <v/>
      </c>
      <c r="B906" s="17"/>
      <c r="C906" s="18" t="str">
        <f>IF(B906="","",COUNTIF(INDEX($B:$B,5):B906,B906))</f>
        <v/>
      </c>
      <c r="D906" s="17"/>
      <c r="E906" s="19" t="str">
        <f t="shared" si="113"/>
        <v/>
      </c>
      <c r="F906" s="18" t="str">
        <f t="shared" si="114"/>
        <v/>
      </c>
      <c r="G906" s="6"/>
      <c r="H906" s="20" t="str">
        <f t="shared" si="115"/>
        <v/>
      </c>
      <c r="I906" s="21"/>
      <c r="J906" s="22" t="str">
        <f t="shared" si="116"/>
        <v/>
      </c>
      <c r="K906" s="20" t="str">
        <f t="shared" si="117"/>
        <v/>
      </c>
      <c r="L906" s="20" t="str">
        <f t="shared" si="118"/>
        <v/>
      </c>
      <c r="M906" s="6"/>
      <c r="N906" s="19" t="str">
        <f t="shared" si="119"/>
        <v/>
      </c>
      <c r="O906" s="23" t="str">
        <f>IF(B906="","",TRIM(IF(COUNTIF('Registru comenzi'!$B$5:$B$304,B906)=0,"Comandă inexistentă în registru. ","")&amp;IF(AND(D906&lt;&gt;"",E906=""),"Cod necunoscut. ","")&amp;IF(N(G906)&lt;=0,"Lipsește cantitatea. ","")&amp;IF(N(M906)&gt;N(G906),"Livrat mai mult decât s-a comandat. ","")&amp;IF(N(I906)&gt;0.3,"Discount neobișnuit de mare. ","")))</f>
        <v/>
      </c>
    </row>
    <row r="907" spans="1:15" x14ac:dyDescent="0.2">
      <c r="A907" s="1" t="str">
        <f t="shared" si="112"/>
        <v/>
      </c>
      <c r="B907" s="17"/>
      <c r="C907" s="18" t="str">
        <f>IF(B907="","",COUNTIF(INDEX($B:$B,5):B907,B907))</f>
        <v/>
      </c>
      <c r="D907" s="17"/>
      <c r="E907" s="19" t="str">
        <f t="shared" si="113"/>
        <v/>
      </c>
      <c r="F907" s="18" t="str">
        <f t="shared" si="114"/>
        <v/>
      </c>
      <c r="G907" s="6"/>
      <c r="H907" s="20" t="str">
        <f t="shared" si="115"/>
        <v/>
      </c>
      <c r="I907" s="21"/>
      <c r="J907" s="22" t="str">
        <f t="shared" si="116"/>
        <v/>
      </c>
      <c r="K907" s="20" t="str">
        <f t="shared" si="117"/>
        <v/>
      </c>
      <c r="L907" s="20" t="str">
        <f t="shared" si="118"/>
        <v/>
      </c>
      <c r="M907" s="6"/>
      <c r="N907" s="19" t="str">
        <f t="shared" si="119"/>
        <v/>
      </c>
      <c r="O907" s="23" t="str">
        <f>IF(B907="","",TRIM(IF(COUNTIF('Registru comenzi'!$B$5:$B$304,B907)=0,"Comandă inexistentă în registru. ","")&amp;IF(AND(D907&lt;&gt;"",E907=""),"Cod necunoscut. ","")&amp;IF(N(G907)&lt;=0,"Lipsește cantitatea. ","")&amp;IF(N(M907)&gt;N(G907),"Livrat mai mult decât s-a comandat. ","")&amp;IF(N(I907)&gt;0.3,"Discount neobișnuit de mare. ","")))</f>
        <v/>
      </c>
    </row>
    <row r="908" spans="1:15" x14ac:dyDescent="0.2">
      <c r="A908" s="1" t="str">
        <f t="shared" si="112"/>
        <v/>
      </c>
      <c r="B908" s="17"/>
      <c r="C908" s="18" t="str">
        <f>IF(B908="","",COUNTIF(INDEX($B:$B,5):B908,B908))</f>
        <v/>
      </c>
      <c r="D908" s="17"/>
      <c r="E908" s="19" t="str">
        <f t="shared" si="113"/>
        <v/>
      </c>
      <c r="F908" s="18" t="str">
        <f t="shared" si="114"/>
        <v/>
      </c>
      <c r="G908" s="6"/>
      <c r="H908" s="20" t="str">
        <f t="shared" si="115"/>
        <v/>
      </c>
      <c r="I908" s="21"/>
      <c r="J908" s="22" t="str">
        <f t="shared" si="116"/>
        <v/>
      </c>
      <c r="K908" s="20" t="str">
        <f t="shared" si="117"/>
        <v/>
      </c>
      <c r="L908" s="20" t="str">
        <f t="shared" si="118"/>
        <v/>
      </c>
      <c r="M908" s="6"/>
      <c r="N908" s="19" t="str">
        <f t="shared" si="119"/>
        <v/>
      </c>
      <c r="O908" s="23" t="str">
        <f>IF(B908="","",TRIM(IF(COUNTIF('Registru comenzi'!$B$5:$B$304,B908)=0,"Comandă inexistentă în registru. ","")&amp;IF(AND(D908&lt;&gt;"",E908=""),"Cod necunoscut. ","")&amp;IF(N(G908)&lt;=0,"Lipsește cantitatea. ","")&amp;IF(N(M908)&gt;N(G908),"Livrat mai mult decât s-a comandat. ","")&amp;IF(N(I908)&gt;0.3,"Discount neobișnuit de mare. ","")))</f>
        <v/>
      </c>
    </row>
    <row r="909" spans="1:15" x14ac:dyDescent="0.2">
      <c r="A909" s="1" t="str">
        <f t="shared" si="112"/>
        <v/>
      </c>
      <c r="B909" s="17"/>
      <c r="C909" s="18" t="str">
        <f>IF(B909="","",COUNTIF(INDEX($B:$B,5):B909,B909))</f>
        <v/>
      </c>
      <c r="D909" s="17"/>
      <c r="E909" s="19" t="str">
        <f t="shared" si="113"/>
        <v/>
      </c>
      <c r="F909" s="18" t="str">
        <f t="shared" si="114"/>
        <v/>
      </c>
      <c r="G909" s="6"/>
      <c r="H909" s="20" t="str">
        <f t="shared" si="115"/>
        <v/>
      </c>
      <c r="I909" s="21"/>
      <c r="J909" s="22" t="str">
        <f t="shared" si="116"/>
        <v/>
      </c>
      <c r="K909" s="20" t="str">
        <f t="shared" si="117"/>
        <v/>
      </c>
      <c r="L909" s="20" t="str">
        <f t="shared" si="118"/>
        <v/>
      </c>
      <c r="M909" s="6"/>
      <c r="N909" s="19" t="str">
        <f t="shared" si="119"/>
        <v/>
      </c>
      <c r="O909" s="23" t="str">
        <f>IF(B909="","",TRIM(IF(COUNTIF('Registru comenzi'!$B$5:$B$304,B909)=0,"Comandă inexistentă în registru. ","")&amp;IF(AND(D909&lt;&gt;"",E909=""),"Cod necunoscut. ","")&amp;IF(N(G909)&lt;=0,"Lipsește cantitatea. ","")&amp;IF(N(M909)&gt;N(G909),"Livrat mai mult decât s-a comandat. ","")&amp;IF(N(I909)&gt;0.3,"Discount neobișnuit de mare. ","")))</f>
        <v/>
      </c>
    </row>
    <row r="910" spans="1:15" x14ac:dyDescent="0.2">
      <c r="A910" s="1" t="str">
        <f t="shared" si="112"/>
        <v/>
      </c>
      <c r="B910" s="17"/>
      <c r="C910" s="18" t="str">
        <f>IF(B910="","",COUNTIF(INDEX($B:$B,5):B910,B910))</f>
        <v/>
      </c>
      <c r="D910" s="17"/>
      <c r="E910" s="19" t="str">
        <f t="shared" si="113"/>
        <v/>
      </c>
      <c r="F910" s="18" t="str">
        <f t="shared" si="114"/>
        <v/>
      </c>
      <c r="G910" s="6"/>
      <c r="H910" s="20" t="str">
        <f t="shared" si="115"/>
        <v/>
      </c>
      <c r="I910" s="21"/>
      <c r="J910" s="22" t="str">
        <f t="shared" si="116"/>
        <v/>
      </c>
      <c r="K910" s="20" t="str">
        <f t="shared" si="117"/>
        <v/>
      </c>
      <c r="L910" s="20" t="str">
        <f t="shared" si="118"/>
        <v/>
      </c>
      <c r="M910" s="6"/>
      <c r="N910" s="19" t="str">
        <f t="shared" si="119"/>
        <v/>
      </c>
      <c r="O910" s="23" t="str">
        <f>IF(B910="","",TRIM(IF(COUNTIF('Registru comenzi'!$B$5:$B$304,B910)=0,"Comandă inexistentă în registru. ","")&amp;IF(AND(D910&lt;&gt;"",E910=""),"Cod necunoscut. ","")&amp;IF(N(G910)&lt;=0,"Lipsește cantitatea. ","")&amp;IF(N(M910)&gt;N(G910),"Livrat mai mult decât s-a comandat. ","")&amp;IF(N(I910)&gt;0.3,"Discount neobișnuit de mare. ","")))</f>
        <v/>
      </c>
    </row>
    <row r="911" spans="1:15" x14ac:dyDescent="0.2">
      <c r="A911" s="1" t="str">
        <f t="shared" si="112"/>
        <v/>
      </c>
      <c r="B911" s="17"/>
      <c r="C911" s="18" t="str">
        <f>IF(B911="","",COUNTIF(INDEX($B:$B,5):B911,B911))</f>
        <v/>
      </c>
      <c r="D911" s="17"/>
      <c r="E911" s="19" t="str">
        <f t="shared" si="113"/>
        <v/>
      </c>
      <c r="F911" s="18" t="str">
        <f t="shared" si="114"/>
        <v/>
      </c>
      <c r="G911" s="6"/>
      <c r="H911" s="20" t="str">
        <f t="shared" si="115"/>
        <v/>
      </c>
      <c r="I911" s="21"/>
      <c r="J911" s="22" t="str">
        <f t="shared" si="116"/>
        <v/>
      </c>
      <c r="K911" s="20" t="str">
        <f t="shared" si="117"/>
        <v/>
      </c>
      <c r="L911" s="20" t="str">
        <f t="shared" si="118"/>
        <v/>
      </c>
      <c r="M911" s="6"/>
      <c r="N911" s="19" t="str">
        <f t="shared" si="119"/>
        <v/>
      </c>
      <c r="O911" s="23" t="str">
        <f>IF(B911="","",TRIM(IF(COUNTIF('Registru comenzi'!$B$5:$B$304,B911)=0,"Comandă inexistentă în registru. ","")&amp;IF(AND(D911&lt;&gt;"",E911=""),"Cod necunoscut. ","")&amp;IF(N(G911)&lt;=0,"Lipsește cantitatea. ","")&amp;IF(N(M911)&gt;N(G911),"Livrat mai mult decât s-a comandat. ","")&amp;IF(N(I911)&gt;0.3,"Discount neobișnuit de mare. ","")))</f>
        <v/>
      </c>
    </row>
    <row r="912" spans="1:15" x14ac:dyDescent="0.2">
      <c r="A912" s="1" t="str">
        <f t="shared" si="112"/>
        <v/>
      </c>
      <c r="B912" s="17"/>
      <c r="C912" s="18" t="str">
        <f>IF(B912="","",COUNTIF(INDEX($B:$B,5):B912,B912))</f>
        <v/>
      </c>
      <c r="D912" s="17"/>
      <c r="E912" s="19" t="str">
        <f t="shared" si="113"/>
        <v/>
      </c>
      <c r="F912" s="18" t="str">
        <f t="shared" si="114"/>
        <v/>
      </c>
      <c r="G912" s="6"/>
      <c r="H912" s="20" t="str">
        <f t="shared" si="115"/>
        <v/>
      </c>
      <c r="I912" s="21"/>
      <c r="J912" s="22" t="str">
        <f t="shared" si="116"/>
        <v/>
      </c>
      <c r="K912" s="20" t="str">
        <f t="shared" si="117"/>
        <v/>
      </c>
      <c r="L912" s="20" t="str">
        <f t="shared" si="118"/>
        <v/>
      </c>
      <c r="M912" s="6"/>
      <c r="N912" s="19" t="str">
        <f t="shared" si="119"/>
        <v/>
      </c>
      <c r="O912" s="23" t="str">
        <f>IF(B912="","",TRIM(IF(COUNTIF('Registru comenzi'!$B$5:$B$304,B912)=0,"Comandă inexistentă în registru. ","")&amp;IF(AND(D912&lt;&gt;"",E912=""),"Cod necunoscut. ","")&amp;IF(N(G912)&lt;=0,"Lipsește cantitatea. ","")&amp;IF(N(M912)&gt;N(G912),"Livrat mai mult decât s-a comandat. ","")&amp;IF(N(I912)&gt;0.3,"Discount neobișnuit de mare. ","")))</f>
        <v/>
      </c>
    </row>
    <row r="913" spans="1:15" x14ac:dyDescent="0.2">
      <c r="A913" s="1" t="str">
        <f t="shared" si="112"/>
        <v/>
      </c>
      <c r="B913" s="17"/>
      <c r="C913" s="18" t="str">
        <f>IF(B913="","",COUNTIF(INDEX($B:$B,5):B913,B913))</f>
        <v/>
      </c>
      <c r="D913" s="17"/>
      <c r="E913" s="19" t="str">
        <f t="shared" si="113"/>
        <v/>
      </c>
      <c r="F913" s="18" t="str">
        <f t="shared" si="114"/>
        <v/>
      </c>
      <c r="G913" s="6"/>
      <c r="H913" s="20" t="str">
        <f t="shared" si="115"/>
        <v/>
      </c>
      <c r="I913" s="21"/>
      <c r="J913" s="22" t="str">
        <f t="shared" si="116"/>
        <v/>
      </c>
      <c r="K913" s="20" t="str">
        <f t="shared" si="117"/>
        <v/>
      </c>
      <c r="L913" s="20" t="str">
        <f t="shared" si="118"/>
        <v/>
      </c>
      <c r="M913" s="6"/>
      <c r="N913" s="19" t="str">
        <f t="shared" si="119"/>
        <v/>
      </c>
      <c r="O913" s="23" t="str">
        <f>IF(B913="","",TRIM(IF(COUNTIF('Registru comenzi'!$B$5:$B$304,B913)=0,"Comandă inexistentă în registru. ","")&amp;IF(AND(D913&lt;&gt;"",E913=""),"Cod necunoscut. ","")&amp;IF(N(G913)&lt;=0,"Lipsește cantitatea. ","")&amp;IF(N(M913)&gt;N(G913),"Livrat mai mult decât s-a comandat. ","")&amp;IF(N(I913)&gt;0.3,"Discount neobișnuit de mare. ","")))</f>
        <v/>
      </c>
    </row>
    <row r="914" spans="1:15" x14ac:dyDescent="0.2">
      <c r="A914" s="1" t="str">
        <f t="shared" si="112"/>
        <v/>
      </c>
      <c r="B914" s="17"/>
      <c r="C914" s="18" t="str">
        <f>IF(B914="","",COUNTIF(INDEX($B:$B,5):B914,B914))</f>
        <v/>
      </c>
      <c r="D914" s="17"/>
      <c r="E914" s="19" t="str">
        <f t="shared" si="113"/>
        <v/>
      </c>
      <c r="F914" s="18" t="str">
        <f t="shared" si="114"/>
        <v/>
      </c>
      <c r="G914" s="6"/>
      <c r="H914" s="20" t="str">
        <f t="shared" si="115"/>
        <v/>
      </c>
      <c r="I914" s="21"/>
      <c r="J914" s="22" t="str">
        <f t="shared" si="116"/>
        <v/>
      </c>
      <c r="K914" s="20" t="str">
        <f t="shared" si="117"/>
        <v/>
      </c>
      <c r="L914" s="20" t="str">
        <f t="shared" si="118"/>
        <v/>
      </c>
      <c r="M914" s="6"/>
      <c r="N914" s="19" t="str">
        <f t="shared" si="119"/>
        <v/>
      </c>
      <c r="O914" s="23" t="str">
        <f>IF(B914="","",TRIM(IF(COUNTIF('Registru comenzi'!$B$5:$B$304,B914)=0,"Comandă inexistentă în registru. ","")&amp;IF(AND(D914&lt;&gt;"",E914=""),"Cod necunoscut. ","")&amp;IF(N(G914)&lt;=0,"Lipsește cantitatea. ","")&amp;IF(N(M914)&gt;N(G914),"Livrat mai mult decât s-a comandat. ","")&amp;IF(N(I914)&gt;0.3,"Discount neobișnuit de mare. ","")))</f>
        <v/>
      </c>
    </row>
    <row r="915" spans="1:15" x14ac:dyDescent="0.2">
      <c r="A915" s="1" t="str">
        <f t="shared" si="112"/>
        <v/>
      </c>
      <c r="B915" s="17"/>
      <c r="C915" s="18" t="str">
        <f>IF(B915="","",COUNTIF(INDEX($B:$B,5):B915,B915))</f>
        <v/>
      </c>
      <c r="D915" s="17"/>
      <c r="E915" s="19" t="str">
        <f t="shared" si="113"/>
        <v/>
      </c>
      <c r="F915" s="18" t="str">
        <f t="shared" si="114"/>
        <v/>
      </c>
      <c r="G915" s="6"/>
      <c r="H915" s="20" t="str">
        <f t="shared" si="115"/>
        <v/>
      </c>
      <c r="I915" s="21"/>
      <c r="J915" s="22" t="str">
        <f t="shared" si="116"/>
        <v/>
      </c>
      <c r="K915" s="20" t="str">
        <f t="shared" si="117"/>
        <v/>
      </c>
      <c r="L915" s="20" t="str">
        <f t="shared" si="118"/>
        <v/>
      </c>
      <c r="M915" s="6"/>
      <c r="N915" s="19" t="str">
        <f t="shared" si="119"/>
        <v/>
      </c>
      <c r="O915" s="23" t="str">
        <f>IF(B915="","",TRIM(IF(COUNTIF('Registru comenzi'!$B$5:$B$304,B915)=0,"Comandă inexistentă în registru. ","")&amp;IF(AND(D915&lt;&gt;"",E915=""),"Cod necunoscut. ","")&amp;IF(N(G915)&lt;=0,"Lipsește cantitatea. ","")&amp;IF(N(M915)&gt;N(G915),"Livrat mai mult decât s-a comandat. ","")&amp;IF(N(I915)&gt;0.3,"Discount neobișnuit de mare. ","")))</f>
        <v/>
      </c>
    </row>
    <row r="916" spans="1:15" x14ac:dyDescent="0.2">
      <c r="A916" s="1" t="str">
        <f t="shared" si="112"/>
        <v/>
      </c>
      <c r="B916" s="17"/>
      <c r="C916" s="18" t="str">
        <f>IF(B916="","",COUNTIF(INDEX($B:$B,5):B916,B916))</f>
        <v/>
      </c>
      <c r="D916" s="17"/>
      <c r="E916" s="19" t="str">
        <f t="shared" si="113"/>
        <v/>
      </c>
      <c r="F916" s="18" t="str">
        <f t="shared" si="114"/>
        <v/>
      </c>
      <c r="G916" s="6"/>
      <c r="H916" s="20" t="str">
        <f t="shared" si="115"/>
        <v/>
      </c>
      <c r="I916" s="21"/>
      <c r="J916" s="22" t="str">
        <f t="shared" si="116"/>
        <v/>
      </c>
      <c r="K916" s="20" t="str">
        <f t="shared" si="117"/>
        <v/>
      </c>
      <c r="L916" s="20" t="str">
        <f t="shared" si="118"/>
        <v/>
      </c>
      <c r="M916" s="6"/>
      <c r="N916" s="19" t="str">
        <f t="shared" si="119"/>
        <v/>
      </c>
      <c r="O916" s="23" t="str">
        <f>IF(B916="","",TRIM(IF(COUNTIF('Registru comenzi'!$B$5:$B$304,B916)=0,"Comandă inexistentă în registru. ","")&amp;IF(AND(D916&lt;&gt;"",E916=""),"Cod necunoscut. ","")&amp;IF(N(G916)&lt;=0,"Lipsește cantitatea. ","")&amp;IF(N(M916)&gt;N(G916),"Livrat mai mult decât s-a comandat. ","")&amp;IF(N(I916)&gt;0.3,"Discount neobișnuit de mare. ","")))</f>
        <v/>
      </c>
    </row>
    <row r="917" spans="1:15" x14ac:dyDescent="0.2">
      <c r="A917" s="1" t="str">
        <f t="shared" si="112"/>
        <v/>
      </c>
      <c r="B917" s="17"/>
      <c r="C917" s="18" t="str">
        <f>IF(B917="","",COUNTIF(INDEX($B:$B,5):B917,B917))</f>
        <v/>
      </c>
      <c r="D917" s="17"/>
      <c r="E917" s="19" t="str">
        <f t="shared" si="113"/>
        <v/>
      </c>
      <c r="F917" s="18" t="str">
        <f t="shared" si="114"/>
        <v/>
      </c>
      <c r="G917" s="6"/>
      <c r="H917" s="20" t="str">
        <f t="shared" si="115"/>
        <v/>
      </c>
      <c r="I917" s="21"/>
      <c r="J917" s="22" t="str">
        <f t="shared" si="116"/>
        <v/>
      </c>
      <c r="K917" s="20" t="str">
        <f t="shared" si="117"/>
        <v/>
      </c>
      <c r="L917" s="20" t="str">
        <f t="shared" si="118"/>
        <v/>
      </c>
      <c r="M917" s="6"/>
      <c r="N917" s="19" t="str">
        <f t="shared" si="119"/>
        <v/>
      </c>
      <c r="O917" s="23" t="str">
        <f>IF(B917="","",TRIM(IF(COUNTIF('Registru comenzi'!$B$5:$B$304,B917)=0,"Comandă inexistentă în registru. ","")&amp;IF(AND(D917&lt;&gt;"",E917=""),"Cod necunoscut. ","")&amp;IF(N(G917)&lt;=0,"Lipsește cantitatea. ","")&amp;IF(N(M917)&gt;N(G917),"Livrat mai mult decât s-a comandat. ","")&amp;IF(N(I917)&gt;0.3,"Discount neobișnuit de mare. ","")))</f>
        <v/>
      </c>
    </row>
    <row r="918" spans="1:15" x14ac:dyDescent="0.2">
      <c r="A918" s="1" t="str">
        <f t="shared" si="112"/>
        <v/>
      </c>
      <c r="B918" s="17"/>
      <c r="C918" s="18" t="str">
        <f>IF(B918="","",COUNTIF(INDEX($B:$B,5):B918,B918))</f>
        <v/>
      </c>
      <c r="D918" s="17"/>
      <c r="E918" s="19" t="str">
        <f t="shared" si="113"/>
        <v/>
      </c>
      <c r="F918" s="18" t="str">
        <f t="shared" si="114"/>
        <v/>
      </c>
      <c r="G918" s="6"/>
      <c r="H918" s="20" t="str">
        <f t="shared" si="115"/>
        <v/>
      </c>
      <c r="I918" s="21"/>
      <c r="J918" s="22" t="str">
        <f t="shared" si="116"/>
        <v/>
      </c>
      <c r="K918" s="20" t="str">
        <f t="shared" si="117"/>
        <v/>
      </c>
      <c r="L918" s="20" t="str">
        <f t="shared" si="118"/>
        <v/>
      </c>
      <c r="M918" s="6"/>
      <c r="N918" s="19" t="str">
        <f t="shared" si="119"/>
        <v/>
      </c>
      <c r="O918" s="23" t="str">
        <f>IF(B918="","",TRIM(IF(COUNTIF('Registru comenzi'!$B$5:$B$304,B918)=0,"Comandă inexistentă în registru. ","")&amp;IF(AND(D918&lt;&gt;"",E918=""),"Cod necunoscut. ","")&amp;IF(N(G918)&lt;=0,"Lipsește cantitatea. ","")&amp;IF(N(M918)&gt;N(G918),"Livrat mai mult decât s-a comandat. ","")&amp;IF(N(I918)&gt;0.3,"Discount neobișnuit de mare. ","")))</f>
        <v/>
      </c>
    </row>
    <row r="919" spans="1:15" x14ac:dyDescent="0.2">
      <c r="A919" s="1" t="str">
        <f t="shared" si="112"/>
        <v/>
      </c>
      <c r="B919" s="17"/>
      <c r="C919" s="18" t="str">
        <f>IF(B919="","",COUNTIF(INDEX($B:$B,5):B919,B919))</f>
        <v/>
      </c>
      <c r="D919" s="17"/>
      <c r="E919" s="19" t="str">
        <f t="shared" si="113"/>
        <v/>
      </c>
      <c r="F919" s="18" t="str">
        <f t="shared" si="114"/>
        <v/>
      </c>
      <c r="G919" s="6"/>
      <c r="H919" s="20" t="str">
        <f t="shared" si="115"/>
        <v/>
      </c>
      <c r="I919" s="21"/>
      <c r="J919" s="22" t="str">
        <f t="shared" si="116"/>
        <v/>
      </c>
      <c r="K919" s="20" t="str">
        <f t="shared" si="117"/>
        <v/>
      </c>
      <c r="L919" s="20" t="str">
        <f t="shared" si="118"/>
        <v/>
      </c>
      <c r="M919" s="6"/>
      <c r="N919" s="19" t="str">
        <f t="shared" si="119"/>
        <v/>
      </c>
      <c r="O919" s="23" t="str">
        <f>IF(B919="","",TRIM(IF(COUNTIF('Registru comenzi'!$B$5:$B$304,B919)=0,"Comandă inexistentă în registru. ","")&amp;IF(AND(D919&lt;&gt;"",E919=""),"Cod necunoscut. ","")&amp;IF(N(G919)&lt;=0,"Lipsește cantitatea. ","")&amp;IF(N(M919)&gt;N(G919),"Livrat mai mult decât s-a comandat. ","")&amp;IF(N(I919)&gt;0.3,"Discount neobișnuit de mare. ","")))</f>
        <v/>
      </c>
    </row>
    <row r="920" spans="1:15" x14ac:dyDescent="0.2">
      <c r="A920" s="1" t="str">
        <f t="shared" si="112"/>
        <v/>
      </c>
      <c r="B920" s="17"/>
      <c r="C920" s="18" t="str">
        <f>IF(B920="","",COUNTIF(INDEX($B:$B,5):B920,B920))</f>
        <v/>
      </c>
      <c r="D920" s="17"/>
      <c r="E920" s="19" t="str">
        <f t="shared" si="113"/>
        <v/>
      </c>
      <c r="F920" s="18" t="str">
        <f t="shared" si="114"/>
        <v/>
      </c>
      <c r="G920" s="6"/>
      <c r="H920" s="20" t="str">
        <f t="shared" si="115"/>
        <v/>
      </c>
      <c r="I920" s="21"/>
      <c r="J920" s="22" t="str">
        <f t="shared" si="116"/>
        <v/>
      </c>
      <c r="K920" s="20" t="str">
        <f t="shared" si="117"/>
        <v/>
      </c>
      <c r="L920" s="20" t="str">
        <f t="shared" si="118"/>
        <v/>
      </c>
      <c r="M920" s="6"/>
      <c r="N920" s="19" t="str">
        <f t="shared" si="119"/>
        <v/>
      </c>
      <c r="O920" s="23" t="str">
        <f>IF(B920="","",TRIM(IF(COUNTIF('Registru comenzi'!$B$5:$B$304,B920)=0,"Comandă inexistentă în registru. ","")&amp;IF(AND(D920&lt;&gt;"",E920=""),"Cod necunoscut. ","")&amp;IF(N(G920)&lt;=0,"Lipsește cantitatea. ","")&amp;IF(N(M920)&gt;N(G920),"Livrat mai mult decât s-a comandat. ","")&amp;IF(N(I920)&gt;0.3,"Discount neobișnuit de mare. ","")))</f>
        <v/>
      </c>
    </row>
    <row r="921" spans="1:15" x14ac:dyDescent="0.2">
      <c r="A921" s="1" t="str">
        <f t="shared" si="112"/>
        <v/>
      </c>
      <c r="B921" s="17"/>
      <c r="C921" s="18" t="str">
        <f>IF(B921="","",COUNTIF(INDEX($B:$B,5):B921,B921))</f>
        <v/>
      </c>
      <c r="D921" s="17"/>
      <c r="E921" s="19" t="str">
        <f t="shared" si="113"/>
        <v/>
      </c>
      <c r="F921" s="18" t="str">
        <f t="shared" si="114"/>
        <v/>
      </c>
      <c r="G921" s="6"/>
      <c r="H921" s="20" t="str">
        <f t="shared" si="115"/>
        <v/>
      </c>
      <c r="I921" s="21"/>
      <c r="J921" s="22" t="str">
        <f t="shared" si="116"/>
        <v/>
      </c>
      <c r="K921" s="20" t="str">
        <f t="shared" si="117"/>
        <v/>
      </c>
      <c r="L921" s="20" t="str">
        <f t="shared" si="118"/>
        <v/>
      </c>
      <c r="M921" s="6"/>
      <c r="N921" s="19" t="str">
        <f t="shared" si="119"/>
        <v/>
      </c>
      <c r="O921" s="23" t="str">
        <f>IF(B921="","",TRIM(IF(COUNTIF('Registru comenzi'!$B$5:$B$304,B921)=0,"Comandă inexistentă în registru. ","")&amp;IF(AND(D921&lt;&gt;"",E921=""),"Cod necunoscut. ","")&amp;IF(N(G921)&lt;=0,"Lipsește cantitatea. ","")&amp;IF(N(M921)&gt;N(G921),"Livrat mai mult decât s-a comandat. ","")&amp;IF(N(I921)&gt;0.3,"Discount neobișnuit de mare. ","")))</f>
        <v/>
      </c>
    </row>
    <row r="922" spans="1:15" x14ac:dyDescent="0.2">
      <c r="A922" s="1" t="str">
        <f t="shared" si="112"/>
        <v/>
      </c>
      <c r="B922" s="17"/>
      <c r="C922" s="18" t="str">
        <f>IF(B922="","",COUNTIF(INDEX($B:$B,5):B922,B922))</f>
        <v/>
      </c>
      <c r="D922" s="17"/>
      <c r="E922" s="19" t="str">
        <f t="shared" si="113"/>
        <v/>
      </c>
      <c r="F922" s="18" t="str">
        <f t="shared" si="114"/>
        <v/>
      </c>
      <c r="G922" s="6"/>
      <c r="H922" s="20" t="str">
        <f t="shared" si="115"/>
        <v/>
      </c>
      <c r="I922" s="21"/>
      <c r="J922" s="22" t="str">
        <f t="shared" si="116"/>
        <v/>
      </c>
      <c r="K922" s="20" t="str">
        <f t="shared" si="117"/>
        <v/>
      </c>
      <c r="L922" s="20" t="str">
        <f t="shared" si="118"/>
        <v/>
      </c>
      <c r="M922" s="6"/>
      <c r="N922" s="19" t="str">
        <f t="shared" si="119"/>
        <v/>
      </c>
      <c r="O922" s="23" t="str">
        <f>IF(B922="","",TRIM(IF(COUNTIF('Registru comenzi'!$B$5:$B$304,B922)=0,"Comandă inexistentă în registru. ","")&amp;IF(AND(D922&lt;&gt;"",E922=""),"Cod necunoscut. ","")&amp;IF(N(G922)&lt;=0,"Lipsește cantitatea. ","")&amp;IF(N(M922)&gt;N(G922),"Livrat mai mult decât s-a comandat. ","")&amp;IF(N(I922)&gt;0.3,"Discount neobișnuit de mare. ","")))</f>
        <v/>
      </c>
    </row>
    <row r="923" spans="1:15" x14ac:dyDescent="0.2">
      <c r="A923" s="1" t="str">
        <f t="shared" si="112"/>
        <v/>
      </c>
      <c r="B923" s="17"/>
      <c r="C923" s="18" t="str">
        <f>IF(B923="","",COUNTIF(INDEX($B:$B,5):B923,B923))</f>
        <v/>
      </c>
      <c r="D923" s="17"/>
      <c r="E923" s="19" t="str">
        <f t="shared" si="113"/>
        <v/>
      </c>
      <c r="F923" s="18" t="str">
        <f t="shared" si="114"/>
        <v/>
      </c>
      <c r="G923" s="6"/>
      <c r="H923" s="20" t="str">
        <f t="shared" si="115"/>
        <v/>
      </c>
      <c r="I923" s="21"/>
      <c r="J923" s="22" t="str">
        <f t="shared" si="116"/>
        <v/>
      </c>
      <c r="K923" s="20" t="str">
        <f t="shared" si="117"/>
        <v/>
      </c>
      <c r="L923" s="20" t="str">
        <f t="shared" si="118"/>
        <v/>
      </c>
      <c r="M923" s="6"/>
      <c r="N923" s="19" t="str">
        <f t="shared" si="119"/>
        <v/>
      </c>
      <c r="O923" s="23" t="str">
        <f>IF(B923="","",TRIM(IF(COUNTIF('Registru comenzi'!$B$5:$B$304,B923)=0,"Comandă inexistentă în registru. ","")&amp;IF(AND(D923&lt;&gt;"",E923=""),"Cod necunoscut. ","")&amp;IF(N(G923)&lt;=0,"Lipsește cantitatea. ","")&amp;IF(N(M923)&gt;N(G923),"Livrat mai mult decât s-a comandat. ","")&amp;IF(N(I923)&gt;0.3,"Discount neobișnuit de mare. ","")))</f>
        <v/>
      </c>
    </row>
    <row r="924" spans="1:15" x14ac:dyDescent="0.2">
      <c r="A924" s="1" t="str">
        <f t="shared" si="112"/>
        <v/>
      </c>
      <c r="B924" s="17"/>
      <c r="C924" s="18" t="str">
        <f>IF(B924="","",COUNTIF(INDEX($B:$B,5):B924,B924))</f>
        <v/>
      </c>
      <c r="D924" s="17"/>
      <c r="E924" s="19" t="str">
        <f t="shared" si="113"/>
        <v/>
      </c>
      <c r="F924" s="18" t="str">
        <f t="shared" si="114"/>
        <v/>
      </c>
      <c r="G924" s="6"/>
      <c r="H924" s="20" t="str">
        <f t="shared" si="115"/>
        <v/>
      </c>
      <c r="I924" s="21"/>
      <c r="J924" s="22" t="str">
        <f t="shared" si="116"/>
        <v/>
      </c>
      <c r="K924" s="20" t="str">
        <f t="shared" si="117"/>
        <v/>
      </c>
      <c r="L924" s="20" t="str">
        <f t="shared" si="118"/>
        <v/>
      </c>
      <c r="M924" s="6"/>
      <c r="N924" s="19" t="str">
        <f t="shared" si="119"/>
        <v/>
      </c>
      <c r="O924" s="23" t="str">
        <f>IF(B924="","",TRIM(IF(COUNTIF('Registru comenzi'!$B$5:$B$304,B924)=0,"Comandă inexistentă în registru. ","")&amp;IF(AND(D924&lt;&gt;"",E924=""),"Cod necunoscut. ","")&amp;IF(N(G924)&lt;=0,"Lipsește cantitatea. ","")&amp;IF(N(M924)&gt;N(G924),"Livrat mai mult decât s-a comandat. ","")&amp;IF(N(I924)&gt;0.3,"Discount neobișnuit de mare. ","")))</f>
        <v/>
      </c>
    </row>
    <row r="925" spans="1:15" x14ac:dyDescent="0.2">
      <c r="A925" s="1" t="str">
        <f t="shared" si="112"/>
        <v/>
      </c>
      <c r="B925" s="17"/>
      <c r="C925" s="18" t="str">
        <f>IF(B925="","",COUNTIF(INDEX($B:$B,5):B925,B925))</f>
        <v/>
      </c>
      <c r="D925" s="17"/>
      <c r="E925" s="19" t="str">
        <f t="shared" si="113"/>
        <v/>
      </c>
      <c r="F925" s="18" t="str">
        <f t="shared" si="114"/>
        <v/>
      </c>
      <c r="G925" s="6"/>
      <c r="H925" s="20" t="str">
        <f t="shared" si="115"/>
        <v/>
      </c>
      <c r="I925" s="21"/>
      <c r="J925" s="22" t="str">
        <f t="shared" si="116"/>
        <v/>
      </c>
      <c r="K925" s="20" t="str">
        <f t="shared" si="117"/>
        <v/>
      </c>
      <c r="L925" s="20" t="str">
        <f t="shared" si="118"/>
        <v/>
      </c>
      <c r="M925" s="6"/>
      <c r="N925" s="19" t="str">
        <f t="shared" si="119"/>
        <v/>
      </c>
      <c r="O925" s="23" t="str">
        <f>IF(B925="","",TRIM(IF(COUNTIF('Registru comenzi'!$B$5:$B$304,B925)=0,"Comandă inexistentă în registru. ","")&amp;IF(AND(D925&lt;&gt;"",E925=""),"Cod necunoscut. ","")&amp;IF(N(G925)&lt;=0,"Lipsește cantitatea. ","")&amp;IF(N(M925)&gt;N(G925),"Livrat mai mult decât s-a comandat. ","")&amp;IF(N(I925)&gt;0.3,"Discount neobișnuit de mare. ","")))</f>
        <v/>
      </c>
    </row>
    <row r="926" spans="1:15" x14ac:dyDescent="0.2">
      <c r="A926" s="1" t="str">
        <f t="shared" si="112"/>
        <v/>
      </c>
      <c r="B926" s="17"/>
      <c r="C926" s="18" t="str">
        <f>IF(B926="","",COUNTIF(INDEX($B:$B,5):B926,B926))</f>
        <v/>
      </c>
      <c r="D926" s="17"/>
      <c r="E926" s="19" t="str">
        <f t="shared" si="113"/>
        <v/>
      </c>
      <c r="F926" s="18" t="str">
        <f t="shared" si="114"/>
        <v/>
      </c>
      <c r="G926" s="6"/>
      <c r="H926" s="20" t="str">
        <f t="shared" si="115"/>
        <v/>
      </c>
      <c r="I926" s="21"/>
      <c r="J926" s="22" t="str">
        <f t="shared" si="116"/>
        <v/>
      </c>
      <c r="K926" s="20" t="str">
        <f t="shared" si="117"/>
        <v/>
      </c>
      <c r="L926" s="20" t="str">
        <f t="shared" si="118"/>
        <v/>
      </c>
      <c r="M926" s="6"/>
      <c r="N926" s="19" t="str">
        <f t="shared" si="119"/>
        <v/>
      </c>
      <c r="O926" s="23" t="str">
        <f>IF(B926="","",TRIM(IF(COUNTIF('Registru comenzi'!$B$5:$B$304,B926)=0,"Comandă inexistentă în registru. ","")&amp;IF(AND(D926&lt;&gt;"",E926=""),"Cod necunoscut. ","")&amp;IF(N(G926)&lt;=0,"Lipsește cantitatea. ","")&amp;IF(N(M926)&gt;N(G926),"Livrat mai mult decât s-a comandat. ","")&amp;IF(N(I926)&gt;0.3,"Discount neobișnuit de mare. ","")))</f>
        <v/>
      </c>
    </row>
    <row r="927" spans="1:15" x14ac:dyDescent="0.2">
      <c r="A927" s="1" t="str">
        <f t="shared" si="112"/>
        <v/>
      </c>
      <c r="B927" s="17"/>
      <c r="C927" s="18" t="str">
        <f>IF(B927="","",COUNTIF(INDEX($B:$B,5):B927,B927))</f>
        <v/>
      </c>
      <c r="D927" s="17"/>
      <c r="E927" s="19" t="str">
        <f t="shared" si="113"/>
        <v/>
      </c>
      <c r="F927" s="18" t="str">
        <f t="shared" si="114"/>
        <v/>
      </c>
      <c r="G927" s="6"/>
      <c r="H927" s="20" t="str">
        <f t="shared" si="115"/>
        <v/>
      </c>
      <c r="I927" s="21"/>
      <c r="J927" s="22" t="str">
        <f t="shared" si="116"/>
        <v/>
      </c>
      <c r="K927" s="20" t="str">
        <f t="shared" si="117"/>
        <v/>
      </c>
      <c r="L927" s="20" t="str">
        <f t="shared" si="118"/>
        <v/>
      </c>
      <c r="M927" s="6"/>
      <c r="N927" s="19" t="str">
        <f t="shared" si="119"/>
        <v/>
      </c>
      <c r="O927" s="23" t="str">
        <f>IF(B927="","",TRIM(IF(COUNTIF('Registru comenzi'!$B$5:$B$304,B927)=0,"Comandă inexistentă în registru. ","")&amp;IF(AND(D927&lt;&gt;"",E927=""),"Cod necunoscut. ","")&amp;IF(N(G927)&lt;=0,"Lipsește cantitatea. ","")&amp;IF(N(M927)&gt;N(G927),"Livrat mai mult decât s-a comandat. ","")&amp;IF(N(I927)&gt;0.3,"Discount neobișnuit de mare. ","")))</f>
        <v/>
      </c>
    </row>
    <row r="928" spans="1:15" x14ac:dyDescent="0.2">
      <c r="A928" s="1" t="str">
        <f t="shared" si="112"/>
        <v/>
      </c>
      <c r="B928" s="17"/>
      <c r="C928" s="18" t="str">
        <f>IF(B928="","",COUNTIF(INDEX($B:$B,5):B928,B928))</f>
        <v/>
      </c>
      <c r="D928" s="17"/>
      <c r="E928" s="19" t="str">
        <f t="shared" si="113"/>
        <v/>
      </c>
      <c r="F928" s="18" t="str">
        <f t="shared" si="114"/>
        <v/>
      </c>
      <c r="G928" s="6"/>
      <c r="H928" s="20" t="str">
        <f t="shared" si="115"/>
        <v/>
      </c>
      <c r="I928" s="21"/>
      <c r="J928" s="22" t="str">
        <f t="shared" si="116"/>
        <v/>
      </c>
      <c r="K928" s="20" t="str">
        <f t="shared" si="117"/>
        <v/>
      </c>
      <c r="L928" s="20" t="str">
        <f t="shared" si="118"/>
        <v/>
      </c>
      <c r="M928" s="6"/>
      <c r="N928" s="19" t="str">
        <f t="shared" si="119"/>
        <v/>
      </c>
      <c r="O928" s="23" t="str">
        <f>IF(B928="","",TRIM(IF(COUNTIF('Registru comenzi'!$B$5:$B$304,B928)=0,"Comandă inexistentă în registru. ","")&amp;IF(AND(D928&lt;&gt;"",E928=""),"Cod necunoscut. ","")&amp;IF(N(G928)&lt;=0,"Lipsește cantitatea. ","")&amp;IF(N(M928)&gt;N(G928),"Livrat mai mult decât s-a comandat. ","")&amp;IF(N(I928)&gt;0.3,"Discount neobișnuit de mare. ","")))</f>
        <v/>
      </c>
    </row>
    <row r="929" spans="1:15" x14ac:dyDescent="0.2">
      <c r="A929" s="1" t="str">
        <f t="shared" si="112"/>
        <v/>
      </c>
      <c r="B929" s="17"/>
      <c r="C929" s="18" t="str">
        <f>IF(B929="","",COUNTIF(INDEX($B:$B,5):B929,B929))</f>
        <v/>
      </c>
      <c r="D929" s="17"/>
      <c r="E929" s="19" t="str">
        <f t="shared" si="113"/>
        <v/>
      </c>
      <c r="F929" s="18" t="str">
        <f t="shared" si="114"/>
        <v/>
      </c>
      <c r="G929" s="6"/>
      <c r="H929" s="20" t="str">
        <f t="shared" si="115"/>
        <v/>
      </c>
      <c r="I929" s="21"/>
      <c r="J929" s="22" t="str">
        <f t="shared" si="116"/>
        <v/>
      </c>
      <c r="K929" s="20" t="str">
        <f t="shared" si="117"/>
        <v/>
      </c>
      <c r="L929" s="20" t="str">
        <f t="shared" si="118"/>
        <v/>
      </c>
      <c r="M929" s="6"/>
      <c r="N929" s="19" t="str">
        <f t="shared" si="119"/>
        <v/>
      </c>
      <c r="O929" s="23" t="str">
        <f>IF(B929="","",TRIM(IF(COUNTIF('Registru comenzi'!$B$5:$B$304,B929)=0,"Comandă inexistentă în registru. ","")&amp;IF(AND(D929&lt;&gt;"",E929=""),"Cod necunoscut. ","")&amp;IF(N(G929)&lt;=0,"Lipsește cantitatea. ","")&amp;IF(N(M929)&gt;N(G929),"Livrat mai mult decât s-a comandat. ","")&amp;IF(N(I929)&gt;0.3,"Discount neobișnuit de mare. ","")))</f>
        <v/>
      </c>
    </row>
    <row r="930" spans="1:15" x14ac:dyDescent="0.2">
      <c r="A930" s="1" t="str">
        <f t="shared" si="112"/>
        <v/>
      </c>
      <c r="B930" s="17"/>
      <c r="C930" s="18" t="str">
        <f>IF(B930="","",COUNTIF(INDEX($B:$B,5):B930,B930))</f>
        <v/>
      </c>
      <c r="D930" s="17"/>
      <c r="E930" s="19" t="str">
        <f t="shared" si="113"/>
        <v/>
      </c>
      <c r="F930" s="18" t="str">
        <f t="shared" si="114"/>
        <v/>
      </c>
      <c r="G930" s="6"/>
      <c r="H930" s="20" t="str">
        <f t="shared" si="115"/>
        <v/>
      </c>
      <c r="I930" s="21"/>
      <c r="J930" s="22" t="str">
        <f t="shared" si="116"/>
        <v/>
      </c>
      <c r="K930" s="20" t="str">
        <f t="shared" si="117"/>
        <v/>
      </c>
      <c r="L930" s="20" t="str">
        <f t="shared" si="118"/>
        <v/>
      </c>
      <c r="M930" s="6"/>
      <c r="N930" s="19" t="str">
        <f t="shared" si="119"/>
        <v/>
      </c>
      <c r="O930" s="23" t="str">
        <f>IF(B930="","",TRIM(IF(COUNTIF('Registru comenzi'!$B$5:$B$304,B930)=0,"Comandă inexistentă în registru. ","")&amp;IF(AND(D930&lt;&gt;"",E930=""),"Cod necunoscut. ","")&amp;IF(N(G930)&lt;=0,"Lipsește cantitatea. ","")&amp;IF(N(M930)&gt;N(G930),"Livrat mai mult decât s-a comandat. ","")&amp;IF(N(I930)&gt;0.3,"Discount neobișnuit de mare. ","")))</f>
        <v/>
      </c>
    </row>
    <row r="931" spans="1:15" x14ac:dyDescent="0.2">
      <c r="A931" s="1" t="str">
        <f t="shared" si="112"/>
        <v/>
      </c>
      <c r="B931" s="17"/>
      <c r="C931" s="18" t="str">
        <f>IF(B931="","",COUNTIF(INDEX($B:$B,5):B931,B931))</f>
        <v/>
      </c>
      <c r="D931" s="17"/>
      <c r="E931" s="19" t="str">
        <f t="shared" si="113"/>
        <v/>
      </c>
      <c r="F931" s="18" t="str">
        <f t="shared" si="114"/>
        <v/>
      </c>
      <c r="G931" s="6"/>
      <c r="H931" s="20" t="str">
        <f t="shared" si="115"/>
        <v/>
      </c>
      <c r="I931" s="21"/>
      <c r="J931" s="22" t="str">
        <f t="shared" si="116"/>
        <v/>
      </c>
      <c r="K931" s="20" t="str">
        <f t="shared" si="117"/>
        <v/>
      </c>
      <c r="L931" s="20" t="str">
        <f t="shared" si="118"/>
        <v/>
      </c>
      <c r="M931" s="6"/>
      <c r="N931" s="19" t="str">
        <f t="shared" si="119"/>
        <v/>
      </c>
      <c r="O931" s="23" t="str">
        <f>IF(B931="","",TRIM(IF(COUNTIF('Registru comenzi'!$B$5:$B$304,B931)=0,"Comandă inexistentă în registru. ","")&amp;IF(AND(D931&lt;&gt;"",E931=""),"Cod necunoscut. ","")&amp;IF(N(G931)&lt;=0,"Lipsește cantitatea. ","")&amp;IF(N(M931)&gt;N(G931),"Livrat mai mult decât s-a comandat. ","")&amp;IF(N(I931)&gt;0.3,"Discount neobișnuit de mare. ","")))</f>
        <v/>
      </c>
    </row>
    <row r="932" spans="1:15" x14ac:dyDescent="0.2">
      <c r="A932" s="1" t="str">
        <f t="shared" si="112"/>
        <v/>
      </c>
      <c r="B932" s="17"/>
      <c r="C932" s="18" t="str">
        <f>IF(B932="","",COUNTIF(INDEX($B:$B,5):B932,B932))</f>
        <v/>
      </c>
      <c r="D932" s="17"/>
      <c r="E932" s="19" t="str">
        <f t="shared" si="113"/>
        <v/>
      </c>
      <c r="F932" s="18" t="str">
        <f t="shared" si="114"/>
        <v/>
      </c>
      <c r="G932" s="6"/>
      <c r="H932" s="20" t="str">
        <f t="shared" si="115"/>
        <v/>
      </c>
      <c r="I932" s="21"/>
      <c r="J932" s="22" t="str">
        <f t="shared" si="116"/>
        <v/>
      </c>
      <c r="K932" s="20" t="str">
        <f t="shared" si="117"/>
        <v/>
      </c>
      <c r="L932" s="20" t="str">
        <f t="shared" si="118"/>
        <v/>
      </c>
      <c r="M932" s="6"/>
      <c r="N932" s="19" t="str">
        <f t="shared" si="119"/>
        <v/>
      </c>
      <c r="O932" s="23" t="str">
        <f>IF(B932="","",TRIM(IF(COUNTIF('Registru comenzi'!$B$5:$B$304,B932)=0,"Comandă inexistentă în registru. ","")&amp;IF(AND(D932&lt;&gt;"",E932=""),"Cod necunoscut. ","")&amp;IF(N(G932)&lt;=0,"Lipsește cantitatea. ","")&amp;IF(N(M932)&gt;N(G932),"Livrat mai mult decât s-a comandat. ","")&amp;IF(N(I932)&gt;0.3,"Discount neobișnuit de mare. ","")))</f>
        <v/>
      </c>
    </row>
    <row r="933" spans="1:15" x14ac:dyDescent="0.2">
      <c r="A933" s="1" t="str">
        <f t="shared" si="112"/>
        <v/>
      </c>
      <c r="B933" s="17"/>
      <c r="C933" s="18" t="str">
        <f>IF(B933="","",COUNTIF(INDEX($B:$B,5):B933,B933))</f>
        <v/>
      </c>
      <c r="D933" s="17"/>
      <c r="E933" s="19" t="str">
        <f t="shared" si="113"/>
        <v/>
      </c>
      <c r="F933" s="18" t="str">
        <f t="shared" si="114"/>
        <v/>
      </c>
      <c r="G933" s="6"/>
      <c r="H933" s="20" t="str">
        <f t="shared" si="115"/>
        <v/>
      </c>
      <c r="I933" s="21"/>
      <c r="J933" s="22" t="str">
        <f t="shared" si="116"/>
        <v/>
      </c>
      <c r="K933" s="20" t="str">
        <f t="shared" si="117"/>
        <v/>
      </c>
      <c r="L933" s="20" t="str">
        <f t="shared" si="118"/>
        <v/>
      </c>
      <c r="M933" s="6"/>
      <c r="N933" s="19" t="str">
        <f t="shared" si="119"/>
        <v/>
      </c>
      <c r="O933" s="23" t="str">
        <f>IF(B933="","",TRIM(IF(COUNTIF('Registru comenzi'!$B$5:$B$304,B933)=0,"Comandă inexistentă în registru. ","")&amp;IF(AND(D933&lt;&gt;"",E933=""),"Cod necunoscut. ","")&amp;IF(N(G933)&lt;=0,"Lipsește cantitatea. ","")&amp;IF(N(M933)&gt;N(G933),"Livrat mai mult decât s-a comandat. ","")&amp;IF(N(I933)&gt;0.3,"Discount neobișnuit de mare. ","")))</f>
        <v/>
      </c>
    </row>
    <row r="934" spans="1:15" x14ac:dyDescent="0.2">
      <c r="A934" s="1" t="str">
        <f t="shared" si="112"/>
        <v/>
      </c>
      <c r="B934" s="17"/>
      <c r="C934" s="18" t="str">
        <f>IF(B934="","",COUNTIF(INDEX($B:$B,5):B934,B934))</f>
        <v/>
      </c>
      <c r="D934" s="17"/>
      <c r="E934" s="19" t="str">
        <f t="shared" si="113"/>
        <v/>
      </c>
      <c r="F934" s="18" t="str">
        <f t="shared" si="114"/>
        <v/>
      </c>
      <c r="G934" s="6"/>
      <c r="H934" s="20" t="str">
        <f t="shared" si="115"/>
        <v/>
      </c>
      <c r="I934" s="21"/>
      <c r="J934" s="22" t="str">
        <f t="shared" si="116"/>
        <v/>
      </c>
      <c r="K934" s="20" t="str">
        <f t="shared" si="117"/>
        <v/>
      </c>
      <c r="L934" s="20" t="str">
        <f t="shared" si="118"/>
        <v/>
      </c>
      <c r="M934" s="6"/>
      <c r="N934" s="19" t="str">
        <f t="shared" si="119"/>
        <v/>
      </c>
      <c r="O934" s="23" t="str">
        <f>IF(B934="","",TRIM(IF(COUNTIF('Registru comenzi'!$B$5:$B$304,B934)=0,"Comandă inexistentă în registru. ","")&amp;IF(AND(D934&lt;&gt;"",E934=""),"Cod necunoscut. ","")&amp;IF(N(G934)&lt;=0,"Lipsește cantitatea. ","")&amp;IF(N(M934)&gt;N(G934),"Livrat mai mult decât s-a comandat. ","")&amp;IF(N(I934)&gt;0.3,"Discount neobișnuit de mare. ","")))</f>
        <v/>
      </c>
    </row>
    <row r="935" spans="1:15" x14ac:dyDescent="0.2">
      <c r="A935" s="1" t="str">
        <f t="shared" si="112"/>
        <v/>
      </c>
      <c r="B935" s="17"/>
      <c r="C935" s="18" t="str">
        <f>IF(B935="","",COUNTIF(INDEX($B:$B,5):B935,B935))</f>
        <v/>
      </c>
      <c r="D935" s="17"/>
      <c r="E935" s="19" t="str">
        <f t="shared" si="113"/>
        <v/>
      </c>
      <c r="F935" s="18" t="str">
        <f t="shared" si="114"/>
        <v/>
      </c>
      <c r="G935" s="6"/>
      <c r="H935" s="20" t="str">
        <f t="shared" si="115"/>
        <v/>
      </c>
      <c r="I935" s="21"/>
      <c r="J935" s="22" t="str">
        <f t="shared" si="116"/>
        <v/>
      </c>
      <c r="K935" s="20" t="str">
        <f t="shared" si="117"/>
        <v/>
      </c>
      <c r="L935" s="20" t="str">
        <f t="shared" si="118"/>
        <v/>
      </c>
      <c r="M935" s="6"/>
      <c r="N935" s="19" t="str">
        <f t="shared" si="119"/>
        <v/>
      </c>
      <c r="O935" s="23" t="str">
        <f>IF(B935="","",TRIM(IF(COUNTIF('Registru comenzi'!$B$5:$B$304,B935)=0,"Comandă inexistentă în registru. ","")&amp;IF(AND(D935&lt;&gt;"",E935=""),"Cod necunoscut. ","")&amp;IF(N(G935)&lt;=0,"Lipsește cantitatea. ","")&amp;IF(N(M935)&gt;N(G935),"Livrat mai mult decât s-a comandat. ","")&amp;IF(N(I935)&gt;0.3,"Discount neobișnuit de mare. ","")))</f>
        <v/>
      </c>
    </row>
    <row r="936" spans="1:15" x14ac:dyDescent="0.2">
      <c r="A936" s="1" t="str">
        <f t="shared" si="112"/>
        <v/>
      </c>
      <c r="B936" s="17"/>
      <c r="C936" s="18" t="str">
        <f>IF(B936="","",COUNTIF(INDEX($B:$B,5):B936,B936))</f>
        <v/>
      </c>
      <c r="D936" s="17"/>
      <c r="E936" s="19" t="str">
        <f t="shared" si="113"/>
        <v/>
      </c>
      <c r="F936" s="18" t="str">
        <f t="shared" si="114"/>
        <v/>
      </c>
      <c r="G936" s="6"/>
      <c r="H936" s="20" t="str">
        <f t="shared" si="115"/>
        <v/>
      </c>
      <c r="I936" s="21"/>
      <c r="J936" s="22" t="str">
        <f t="shared" si="116"/>
        <v/>
      </c>
      <c r="K936" s="20" t="str">
        <f t="shared" si="117"/>
        <v/>
      </c>
      <c r="L936" s="20" t="str">
        <f t="shared" si="118"/>
        <v/>
      </c>
      <c r="M936" s="6"/>
      <c r="N936" s="19" t="str">
        <f t="shared" si="119"/>
        <v/>
      </c>
      <c r="O936" s="23" t="str">
        <f>IF(B936="","",TRIM(IF(COUNTIF('Registru comenzi'!$B$5:$B$304,B936)=0,"Comandă inexistentă în registru. ","")&amp;IF(AND(D936&lt;&gt;"",E936=""),"Cod necunoscut. ","")&amp;IF(N(G936)&lt;=0,"Lipsește cantitatea. ","")&amp;IF(N(M936)&gt;N(G936),"Livrat mai mult decât s-a comandat. ","")&amp;IF(N(I936)&gt;0.3,"Discount neobișnuit de mare. ","")))</f>
        <v/>
      </c>
    </row>
    <row r="937" spans="1:15" x14ac:dyDescent="0.2">
      <c r="A937" s="1" t="str">
        <f t="shared" si="112"/>
        <v/>
      </c>
      <c r="B937" s="17"/>
      <c r="C937" s="18" t="str">
        <f>IF(B937="","",COUNTIF(INDEX($B:$B,5):B937,B937))</f>
        <v/>
      </c>
      <c r="D937" s="17"/>
      <c r="E937" s="19" t="str">
        <f t="shared" si="113"/>
        <v/>
      </c>
      <c r="F937" s="18" t="str">
        <f t="shared" si="114"/>
        <v/>
      </c>
      <c r="G937" s="6"/>
      <c r="H937" s="20" t="str">
        <f t="shared" si="115"/>
        <v/>
      </c>
      <c r="I937" s="21"/>
      <c r="J937" s="22" t="str">
        <f t="shared" si="116"/>
        <v/>
      </c>
      <c r="K937" s="20" t="str">
        <f t="shared" si="117"/>
        <v/>
      </c>
      <c r="L937" s="20" t="str">
        <f t="shared" si="118"/>
        <v/>
      </c>
      <c r="M937" s="6"/>
      <c r="N937" s="19" t="str">
        <f t="shared" si="119"/>
        <v/>
      </c>
      <c r="O937" s="23" t="str">
        <f>IF(B937="","",TRIM(IF(COUNTIF('Registru comenzi'!$B$5:$B$304,B937)=0,"Comandă inexistentă în registru. ","")&amp;IF(AND(D937&lt;&gt;"",E937=""),"Cod necunoscut. ","")&amp;IF(N(G937)&lt;=0,"Lipsește cantitatea. ","")&amp;IF(N(M937)&gt;N(G937),"Livrat mai mult decât s-a comandat. ","")&amp;IF(N(I937)&gt;0.3,"Discount neobișnuit de mare. ","")))</f>
        <v/>
      </c>
    </row>
    <row r="938" spans="1:15" x14ac:dyDescent="0.2">
      <c r="A938" s="1" t="str">
        <f t="shared" si="112"/>
        <v/>
      </c>
      <c r="B938" s="17"/>
      <c r="C938" s="18" t="str">
        <f>IF(B938="","",COUNTIF(INDEX($B:$B,5):B938,B938))</f>
        <v/>
      </c>
      <c r="D938" s="17"/>
      <c r="E938" s="19" t="str">
        <f t="shared" si="113"/>
        <v/>
      </c>
      <c r="F938" s="18" t="str">
        <f t="shared" si="114"/>
        <v/>
      </c>
      <c r="G938" s="6"/>
      <c r="H938" s="20" t="str">
        <f t="shared" si="115"/>
        <v/>
      </c>
      <c r="I938" s="21"/>
      <c r="J938" s="22" t="str">
        <f t="shared" si="116"/>
        <v/>
      </c>
      <c r="K938" s="20" t="str">
        <f t="shared" si="117"/>
        <v/>
      </c>
      <c r="L938" s="20" t="str">
        <f t="shared" si="118"/>
        <v/>
      </c>
      <c r="M938" s="6"/>
      <c r="N938" s="19" t="str">
        <f t="shared" si="119"/>
        <v/>
      </c>
      <c r="O938" s="23" t="str">
        <f>IF(B938="","",TRIM(IF(COUNTIF('Registru comenzi'!$B$5:$B$304,B938)=0,"Comandă inexistentă în registru. ","")&amp;IF(AND(D938&lt;&gt;"",E938=""),"Cod necunoscut. ","")&amp;IF(N(G938)&lt;=0,"Lipsește cantitatea. ","")&amp;IF(N(M938)&gt;N(G938),"Livrat mai mult decât s-a comandat. ","")&amp;IF(N(I938)&gt;0.3,"Discount neobișnuit de mare. ","")))</f>
        <v/>
      </c>
    </row>
    <row r="939" spans="1:15" x14ac:dyDescent="0.2">
      <c r="A939" s="1" t="str">
        <f t="shared" si="112"/>
        <v/>
      </c>
      <c r="B939" s="17"/>
      <c r="C939" s="18" t="str">
        <f>IF(B939="","",COUNTIF(INDEX($B:$B,5):B939,B939))</f>
        <v/>
      </c>
      <c r="D939" s="17"/>
      <c r="E939" s="19" t="str">
        <f t="shared" si="113"/>
        <v/>
      </c>
      <c r="F939" s="18" t="str">
        <f t="shared" si="114"/>
        <v/>
      </c>
      <c r="G939" s="6"/>
      <c r="H939" s="20" t="str">
        <f t="shared" si="115"/>
        <v/>
      </c>
      <c r="I939" s="21"/>
      <c r="J939" s="22" t="str">
        <f t="shared" si="116"/>
        <v/>
      </c>
      <c r="K939" s="20" t="str">
        <f t="shared" si="117"/>
        <v/>
      </c>
      <c r="L939" s="20" t="str">
        <f t="shared" si="118"/>
        <v/>
      </c>
      <c r="M939" s="6"/>
      <c r="N939" s="19" t="str">
        <f t="shared" si="119"/>
        <v/>
      </c>
      <c r="O939" s="23" t="str">
        <f>IF(B939="","",TRIM(IF(COUNTIF('Registru comenzi'!$B$5:$B$304,B939)=0,"Comandă inexistentă în registru. ","")&amp;IF(AND(D939&lt;&gt;"",E939=""),"Cod necunoscut. ","")&amp;IF(N(G939)&lt;=0,"Lipsește cantitatea. ","")&amp;IF(N(M939)&gt;N(G939),"Livrat mai mult decât s-a comandat. ","")&amp;IF(N(I939)&gt;0.3,"Discount neobișnuit de mare. ","")))</f>
        <v/>
      </c>
    </row>
    <row r="940" spans="1:15" x14ac:dyDescent="0.2">
      <c r="A940" s="1" t="str">
        <f t="shared" si="112"/>
        <v/>
      </c>
      <c r="B940" s="17"/>
      <c r="C940" s="18" t="str">
        <f>IF(B940="","",COUNTIF(INDEX($B:$B,5):B940,B940))</f>
        <v/>
      </c>
      <c r="D940" s="17"/>
      <c r="E940" s="19" t="str">
        <f t="shared" si="113"/>
        <v/>
      </c>
      <c r="F940" s="18" t="str">
        <f t="shared" si="114"/>
        <v/>
      </c>
      <c r="G940" s="6"/>
      <c r="H940" s="20" t="str">
        <f t="shared" si="115"/>
        <v/>
      </c>
      <c r="I940" s="21"/>
      <c r="J940" s="22" t="str">
        <f t="shared" si="116"/>
        <v/>
      </c>
      <c r="K940" s="20" t="str">
        <f t="shared" si="117"/>
        <v/>
      </c>
      <c r="L940" s="20" t="str">
        <f t="shared" si="118"/>
        <v/>
      </c>
      <c r="M940" s="6"/>
      <c r="N940" s="19" t="str">
        <f t="shared" si="119"/>
        <v/>
      </c>
      <c r="O940" s="23" t="str">
        <f>IF(B940="","",TRIM(IF(COUNTIF('Registru comenzi'!$B$5:$B$304,B940)=0,"Comandă inexistentă în registru. ","")&amp;IF(AND(D940&lt;&gt;"",E940=""),"Cod necunoscut. ","")&amp;IF(N(G940)&lt;=0,"Lipsește cantitatea. ","")&amp;IF(N(M940)&gt;N(G940),"Livrat mai mult decât s-a comandat. ","")&amp;IF(N(I940)&gt;0.3,"Discount neobișnuit de mare. ","")))</f>
        <v/>
      </c>
    </row>
    <row r="941" spans="1:15" x14ac:dyDescent="0.2">
      <c r="A941" s="1" t="str">
        <f t="shared" si="112"/>
        <v/>
      </c>
      <c r="B941" s="17"/>
      <c r="C941" s="18" t="str">
        <f>IF(B941="","",COUNTIF(INDEX($B:$B,5):B941,B941))</f>
        <v/>
      </c>
      <c r="D941" s="17"/>
      <c r="E941" s="19" t="str">
        <f t="shared" si="113"/>
        <v/>
      </c>
      <c r="F941" s="18" t="str">
        <f t="shared" si="114"/>
        <v/>
      </c>
      <c r="G941" s="6"/>
      <c r="H941" s="20" t="str">
        <f t="shared" si="115"/>
        <v/>
      </c>
      <c r="I941" s="21"/>
      <c r="J941" s="22" t="str">
        <f t="shared" si="116"/>
        <v/>
      </c>
      <c r="K941" s="20" t="str">
        <f t="shared" si="117"/>
        <v/>
      </c>
      <c r="L941" s="20" t="str">
        <f t="shared" si="118"/>
        <v/>
      </c>
      <c r="M941" s="6"/>
      <c r="N941" s="19" t="str">
        <f t="shared" si="119"/>
        <v/>
      </c>
      <c r="O941" s="23" t="str">
        <f>IF(B941="","",TRIM(IF(COUNTIF('Registru comenzi'!$B$5:$B$304,B941)=0,"Comandă inexistentă în registru. ","")&amp;IF(AND(D941&lt;&gt;"",E941=""),"Cod necunoscut. ","")&amp;IF(N(G941)&lt;=0,"Lipsește cantitatea. ","")&amp;IF(N(M941)&gt;N(G941),"Livrat mai mult decât s-a comandat. ","")&amp;IF(N(I941)&gt;0.3,"Discount neobișnuit de mare. ","")))</f>
        <v/>
      </c>
    </row>
    <row r="942" spans="1:15" x14ac:dyDescent="0.2">
      <c r="A942" s="1" t="str">
        <f t="shared" si="112"/>
        <v/>
      </c>
      <c r="B942" s="17"/>
      <c r="C942" s="18" t="str">
        <f>IF(B942="","",COUNTIF(INDEX($B:$B,5):B942,B942))</f>
        <v/>
      </c>
      <c r="D942" s="17"/>
      <c r="E942" s="19" t="str">
        <f t="shared" si="113"/>
        <v/>
      </c>
      <c r="F942" s="18" t="str">
        <f t="shared" si="114"/>
        <v/>
      </c>
      <c r="G942" s="6"/>
      <c r="H942" s="20" t="str">
        <f t="shared" si="115"/>
        <v/>
      </c>
      <c r="I942" s="21"/>
      <c r="J942" s="22" t="str">
        <f t="shared" si="116"/>
        <v/>
      </c>
      <c r="K942" s="20" t="str">
        <f t="shared" si="117"/>
        <v/>
      </c>
      <c r="L942" s="20" t="str">
        <f t="shared" si="118"/>
        <v/>
      </c>
      <c r="M942" s="6"/>
      <c r="N942" s="19" t="str">
        <f t="shared" si="119"/>
        <v/>
      </c>
      <c r="O942" s="23" t="str">
        <f>IF(B942="","",TRIM(IF(COUNTIF('Registru comenzi'!$B$5:$B$304,B942)=0,"Comandă inexistentă în registru. ","")&amp;IF(AND(D942&lt;&gt;"",E942=""),"Cod necunoscut. ","")&amp;IF(N(G942)&lt;=0,"Lipsește cantitatea. ","")&amp;IF(N(M942)&gt;N(G942),"Livrat mai mult decât s-a comandat. ","")&amp;IF(N(I942)&gt;0.3,"Discount neobișnuit de mare. ","")))</f>
        <v/>
      </c>
    </row>
    <row r="943" spans="1:15" x14ac:dyDescent="0.2">
      <c r="A943" s="1" t="str">
        <f t="shared" si="112"/>
        <v/>
      </c>
      <c r="B943" s="17"/>
      <c r="C943" s="18" t="str">
        <f>IF(B943="","",COUNTIF(INDEX($B:$B,5):B943,B943))</f>
        <v/>
      </c>
      <c r="D943" s="17"/>
      <c r="E943" s="19" t="str">
        <f t="shared" si="113"/>
        <v/>
      </c>
      <c r="F943" s="18" t="str">
        <f t="shared" si="114"/>
        <v/>
      </c>
      <c r="G943" s="6"/>
      <c r="H943" s="20" t="str">
        <f t="shared" si="115"/>
        <v/>
      </c>
      <c r="I943" s="21"/>
      <c r="J943" s="22" t="str">
        <f t="shared" si="116"/>
        <v/>
      </c>
      <c r="K943" s="20" t="str">
        <f t="shared" si="117"/>
        <v/>
      </c>
      <c r="L943" s="20" t="str">
        <f t="shared" si="118"/>
        <v/>
      </c>
      <c r="M943" s="6"/>
      <c r="N943" s="19" t="str">
        <f t="shared" si="119"/>
        <v/>
      </c>
      <c r="O943" s="23" t="str">
        <f>IF(B943="","",TRIM(IF(COUNTIF('Registru comenzi'!$B$5:$B$304,B943)=0,"Comandă inexistentă în registru. ","")&amp;IF(AND(D943&lt;&gt;"",E943=""),"Cod necunoscut. ","")&amp;IF(N(G943)&lt;=0,"Lipsește cantitatea. ","")&amp;IF(N(M943)&gt;N(G943),"Livrat mai mult decât s-a comandat. ","")&amp;IF(N(I943)&gt;0.3,"Discount neobișnuit de mare. ","")))</f>
        <v/>
      </c>
    </row>
    <row r="944" spans="1:15" x14ac:dyDescent="0.2">
      <c r="A944" s="1" t="str">
        <f t="shared" si="112"/>
        <v/>
      </c>
      <c r="B944" s="17"/>
      <c r="C944" s="18" t="str">
        <f>IF(B944="","",COUNTIF(INDEX($B:$B,5):B944,B944))</f>
        <v/>
      </c>
      <c r="D944" s="17"/>
      <c r="E944" s="19" t="str">
        <f t="shared" si="113"/>
        <v/>
      </c>
      <c r="F944" s="18" t="str">
        <f t="shared" si="114"/>
        <v/>
      </c>
      <c r="G944" s="6"/>
      <c r="H944" s="20" t="str">
        <f t="shared" si="115"/>
        <v/>
      </c>
      <c r="I944" s="21"/>
      <c r="J944" s="22" t="str">
        <f t="shared" si="116"/>
        <v/>
      </c>
      <c r="K944" s="20" t="str">
        <f t="shared" si="117"/>
        <v/>
      </c>
      <c r="L944" s="20" t="str">
        <f t="shared" si="118"/>
        <v/>
      </c>
      <c r="M944" s="6"/>
      <c r="N944" s="19" t="str">
        <f t="shared" si="119"/>
        <v/>
      </c>
      <c r="O944" s="23" t="str">
        <f>IF(B944="","",TRIM(IF(COUNTIF('Registru comenzi'!$B$5:$B$304,B944)=0,"Comandă inexistentă în registru. ","")&amp;IF(AND(D944&lt;&gt;"",E944=""),"Cod necunoscut. ","")&amp;IF(N(G944)&lt;=0,"Lipsește cantitatea. ","")&amp;IF(N(M944)&gt;N(G944),"Livrat mai mult decât s-a comandat. ","")&amp;IF(N(I944)&gt;0.3,"Discount neobișnuit de mare. ","")))</f>
        <v/>
      </c>
    </row>
    <row r="945" spans="1:15" x14ac:dyDescent="0.2">
      <c r="A945" s="1" t="str">
        <f t="shared" si="112"/>
        <v/>
      </c>
      <c r="B945" s="17"/>
      <c r="C945" s="18" t="str">
        <f>IF(B945="","",COUNTIF(INDEX($B:$B,5):B945,B945))</f>
        <v/>
      </c>
      <c r="D945" s="17"/>
      <c r="E945" s="19" t="str">
        <f t="shared" si="113"/>
        <v/>
      </c>
      <c r="F945" s="18" t="str">
        <f t="shared" si="114"/>
        <v/>
      </c>
      <c r="G945" s="6"/>
      <c r="H945" s="20" t="str">
        <f t="shared" si="115"/>
        <v/>
      </c>
      <c r="I945" s="21"/>
      <c r="J945" s="22" t="str">
        <f t="shared" si="116"/>
        <v/>
      </c>
      <c r="K945" s="20" t="str">
        <f t="shared" si="117"/>
        <v/>
      </c>
      <c r="L945" s="20" t="str">
        <f t="shared" si="118"/>
        <v/>
      </c>
      <c r="M945" s="6"/>
      <c r="N945" s="19" t="str">
        <f t="shared" si="119"/>
        <v/>
      </c>
      <c r="O945" s="23" t="str">
        <f>IF(B945="","",TRIM(IF(COUNTIF('Registru comenzi'!$B$5:$B$304,B945)=0,"Comandă inexistentă în registru. ","")&amp;IF(AND(D945&lt;&gt;"",E945=""),"Cod necunoscut. ","")&amp;IF(N(G945)&lt;=0,"Lipsește cantitatea. ","")&amp;IF(N(M945)&gt;N(G945),"Livrat mai mult decât s-a comandat. ","")&amp;IF(N(I945)&gt;0.3,"Discount neobișnuit de mare. ","")))</f>
        <v/>
      </c>
    </row>
    <row r="946" spans="1:15" x14ac:dyDescent="0.2">
      <c r="A946" s="1" t="str">
        <f t="shared" si="112"/>
        <v/>
      </c>
      <c r="B946" s="17"/>
      <c r="C946" s="18" t="str">
        <f>IF(B946="","",COUNTIF(INDEX($B:$B,5):B946,B946))</f>
        <v/>
      </c>
      <c r="D946" s="17"/>
      <c r="E946" s="19" t="str">
        <f t="shared" si="113"/>
        <v/>
      </c>
      <c r="F946" s="18" t="str">
        <f t="shared" si="114"/>
        <v/>
      </c>
      <c r="G946" s="6"/>
      <c r="H946" s="20" t="str">
        <f t="shared" si="115"/>
        <v/>
      </c>
      <c r="I946" s="21"/>
      <c r="J946" s="22" t="str">
        <f t="shared" si="116"/>
        <v/>
      </c>
      <c r="K946" s="20" t="str">
        <f t="shared" si="117"/>
        <v/>
      </c>
      <c r="L946" s="20" t="str">
        <f t="shared" si="118"/>
        <v/>
      </c>
      <c r="M946" s="6"/>
      <c r="N946" s="19" t="str">
        <f t="shared" si="119"/>
        <v/>
      </c>
      <c r="O946" s="23" t="str">
        <f>IF(B946="","",TRIM(IF(COUNTIF('Registru comenzi'!$B$5:$B$304,B946)=0,"Comandă inexistentă în registru. ","")&amp;IF(AND(D946&lt;&gt;"",E946=""),"Cod necunoscut. ","")&amp;IF(N(G946)&lt;=0,"Lipsește cantitatea. ","")&amp;IF(N(M946)&gt;N(G946),"Livrat mai mult decât s-a comandat. ","")&amp;IF(N(I946)&gt;0.3,"Discount neobișnuit de mare. ","")))</f>
        <v/>
      </c>
    </row>
    <row r="947" spans="1:15" x14ac:dyDescent="0.2">
      <c r="A947" s="1" t="str">
        <f t="shared" si="112"/>
        <v/>
      </c>
      <c r="B947" s="17"/>
      <c r="C947" s="18" t="str">
        <f>IF(B947="","",COUNTIF(INDEX($B:$B,5):B947,B947))</f>
        <v/>
      </c>
      <c r="D947" s="17"/>
      <c r="E947" s="19" t="str">
        <f t="shared" si="113"/>
        <v/>
      </c>
      <c r="F947" s="18" t="str">
        <f t="shared" si="114"/>
        <v/>
      </c>
      <c r="G947" s="6"/>
      <c r="H947" s="20" t="str">
        <f t="shared" si="115"/>
        <v/>
      </c>
      <c r="I947" s="21"/>
      <c r="J947" s="22" t="str">
        <f t="shared" si="116"/>
        <v/>
      </c>
      <c r="K947" s="20" t="str">
        <f t="shared" si="117"/>
        <v/>
      </c>
      <c r="L947" s="20" t="str">
        <f t="shared" si="118"/>
        <v/>
      </c>
      <c r="M947" s="6"/>
      <c r="N947" s="19" t="str">
        <f t="shared" si="119"/>
        <v/>
      </c>
      <c r="O947" s="23" t="str">
        <f>IF(B947="","",TRIM(IF(COUNTIF('Registru comenzi'!$B$5:$B$304,B947)=0,"Comandă inexistentă în registru. ","")&amp;IF(AND(D947&lt;&gt;"",E947=""),"Cod necunoscut. ","")&amp;IF(N(G947)&lt;=0,"Lipsește cantitatea. ","")&amp;IF(N(M947)&gt;N(G947),"Livrat mai mult decât s-a comandat. ","")&amp;IF(N(I947)&gt;0.3,"Discount neobișnuit de mare. ","")))</f>
        <v/>
      </c>
    </row>
    <row r="948" spans="1:15" x14ac:dyDescent="0.2">
      <c r="A948" s="1" t="str">
        <f t="shared" si="112"/>
        <v/>
      </c>
      <c r="B948" s="17"/>
      <c r="C948" s="18" t="str">
        <f>IF(B948="","",COUNTIF(INDEX($B:$B,5):B948,B948))</f>
        <v/>
      </c>
      <c r="D948" s="17"/>
      <c r="E948" s="19" t="str">
        <f t="shared" si="113"/>
        <v/>
      </c>
      <c r="F948" s="18" t="str">
        <f t="shared" si="114"/>
        <v/>
      </c>
      <c r="G948" s="6"/>
      <c r="H948" s="20" t="str">
        <f t="shared" si="115"/>
        <v/>
      </c>
      <c r="I948" s="21"/>
      <c r="J948" s="22" t="str">
        <f t="shared" si="116"/>
        <v/>
      </c>
      <c r="K948" s="20" t="str">
        <f t="shared" si="117"/>
        <v/>
      </c>
      <c r="L948" s="20" t="str">
        <f t="shared" si="118"/>
        <v/>
      </c>
      <c r="M948" s="6"/>
      <c r="N948" s="19" t="str">
        <f t="shared" si="119"/>
        <v/>
      </c>
      <c r="O948" s="23" t="str">
        <f>IF(B948="","",TRIM(IF(COUNTIF('Registru comenzi'!$B$5:$B$304,B948)=0,"Comandă inexistentă în registru. ","")&amp;IF(AND(D948&lt;&gt;"",E948=""),"Cod necunoscut. ","")&amp;IF(N(G948)&lt;=0,"Lipsește cantitatea. ","")&amp;IF(N(M948)&gt;N(G948),"Livrat mai mult decât s-a comandat. ","")&amp;IF(N(I948)&gt;0.3,"Discount neobișnuit de mare. ","")))</f>
        <v/>
      </c>
    </row>
    <row r="949" spans="1:15" x14ac:dyDescent="0.2">
      <c r="A949" s="1" t="str">
        <f t="shared" si="112"/>
        <v/>
      </c>
      <c r="B949" s="17"/>
      <c r="C949" s="18" t="str">
        <f>IF(B949="","",COUNTIF(INDEX($B:$B,5):B949,B949))</f>
        <v/>
      </c>
      <c r="D949" s="17"/>
      <c r="E949" s="19" t="str">
        <f t="shared" si="113"/>
        <v/>
      </c>
      <c r="F949" s="18" t="str">
        <f t="shared" si="114"/>
        <v/>
      </c>
      <c r="G949" s="6"/>
      <c r="H949" s="20" t="str">
        <f t="shared" si="115"/>
        <v/>
      </c>
      <c r="I949" s="21"/>
      <c r="J949" s="22" t="str">
        <f t="shared" si="116"/>
        <v/>
      </c>
      <c r="K949" s="20" t="str">
        <f t="shared" si="117"/>
        <v/>
      </c>
      <c r="L949" s="20" t="str">
        <f t="shared" si="118"/>
        <v/>
      </c>
      <c r="M949" s="6"/>
      <c r="N949" s="19" t="str">
        <f t="shared" si="119"/>
        <v/>
      </c>
      <c r="O949" s="23" t="str">
        <f>IF(B949="","",TRIM(IF(COUNTIF('Registru comenzi'!$B$5:$B$304,B949)=0,"Comandă inexistentă în registru. ","")&amp;IF(AND(D949&lt;&gt;"",E949=""),"Cod necunoscut. ","")&amp;IF(N(G949)&lt;=0,"Lipsește cantitatea. ","")&amp;IF(N(M949)&gt;N(G949),"Livrat mai mult decât s-a comandat. ","")&amp;IF(N(I949)&gt;0.3,"Discount neobișnuit de mare. ","")))</f>
        <v/>
      </c>
    </row>
    <row r="950" spans="1:15" x14ac:dyDescent="0.2">
      <c r="A950" s="1" t="str">
        <f t="shared" si="112"/>
        <v/>
      </c>
      <c r="B950" s="17"/>
      <c r="C950" s="18" t="str">
        <f>IF(B950="","",COUNTIF(INDEX($B:$B,5):B950,B950))</f>
        <v/>
      </c>
      <c r="D950" s="17"/>
      <c r="E950" s="19" t="str">
        <f t="shared" si="113"/>
        <v/>
      </c>
      <c r="F950" s="18" t="str">
        <f t="shared" si="114"/>
        <v/>
      </c>
      <c r="G950" s="6"/>
      <c r="H950" s="20" t="str">
        <f t="shared" si="115"/>
        <v/>
      </c>
      <c r="I950" s="21"/>
      <c r="J950" s="22" t="str">
        <f t="shared" si="116"/>
        <v/>
      </c>
      <c r="K950" s="20" t="str">
        <f t="shared" si="117"/>
        <v/>
      </c>
      <c r="L950" s="20" t="str">
        <f t="shared" si="118"/>
        <v/>
      </c>
      <c r="M950" s="6"/>
      <c r="N950" s="19" t="str">
        <f t="shared" si="119"/>
        <v/>
      </c>
      <c r="O950" s="23" t="str">
        <f>IF(B950="","",TRIM(IF(COUNTIF('Registru comenzi'!$B$5:$B$304,B950)=0,"Comandă inexistentă în registru. ","")&amp;IF(AND(D950&lt;&gt;"",E950=""),"Cod necunoscut. ","")&amp;IF(N(G950)&lt;=0,"Lipsește cantitatea. ","")&amp;IF(N(M950)&gt;N(G950),"Livrat mai mult decât s-a comandat. ","")&amp;IF(N(I950)&gt;0.3,"Discount neobișnuit de mare. ","")))</f>
        <v/>
      </c>
    </row>
    <row r="951" spans="1:15" x14ac:dyDescent="0.2">
      <c r="A951" s="1" t="str">
        <f t="shared" si="112"/>
        <v/>
      </c>
      <c r="B951" s="17"/>
      <c r="C951" s="18" t="str">
        <f>IF(B951="","",COUNTIF(INDEX($B:$B,5):B951,B951))</f>
        <v/>
      </c>
      <c r="D951" s="17"/>
      <c r="E951" s="19" t="str">
        <f t="shared" si="113"/>
        <v/>
      </c>
      <c r="F951" s="18" t="str">
        <f t="shared" si="114"/>
        <v/>
      </c>
      <c r="G951" s="6"/>
      <c r="H951" s="20" t="str">
        <f t="shared" si="115"/>
        <v/>
      </c>
      <c r="I951" s="21"/>
      <c r="J951" s="22" t="str">
        <f t="shared" si="116"/>
        <v/>
      </c>
      <c r="K951" s="20" t="str">
        <f t="shared" si="117"/>
        <v/>
      </c>
      <c r="L951" s="20" t="str">
        <f t="shared" si="118"/>
        <v/>
      </c>
      <c r="M951" s="6"/>
      <c r="N951" s="19" t="str">
        <f t="shared" si="119"/>
        <v/>
      </c>
      <c r="O951" s="23" t="str">
        <f>IF(B951="","",TRIM(IF(COUNTIF('Registru comenzi'!$B$5:$B$304,B951)=0,"Comandă inexistentă în registru. ","")&amp;IF(AND(D951&lt;&gt;"",E951=""),"Cod necunoscut. ","")&amp;IF(N(G951)&lt;=0,"Lipsește cantitatea. ","")&amp;IF(N(M951)&gt;N(G951),"Livrat mai mult decât s-a comandat. ","")&amp;IF(N(I951)&gt;0.3,"Discount neobișnuit de mare. ","")))</f>
        <v/>
      </c>
    </row>
    <row r="952" spans="1:15" x14ac:dyDescent="0.2">
      <c r="A952" s="1" t="str">
        <f t="shared" si="112"/>
        <v/>
      </c>
      <c r="B952" s="17"/>
      <c r="C952" s="18" t="str">
        <f>IF(B952="","",COUNTIF(INDEX($B:$B,5):B952,B952))</f>
        <v/>
      </c>
      <c r="D952" s="17"/>
      <c r="E952" s="19" t="str">
        <f t="shared" si="113"/>
        <v/>
      </c>
      <c r="F952" s="18" t="str">
        <f t="shared" si="114"/>
        <v/>
      </c>
      <c r="G952" s="6"/>
      <c r="H952" s="20" t="str">
        <f t="shared" si="115"/>
        <v/>
      </c>
      <c r="I952" s="21"/>
      <c r="J952" s="22" t="str">
        <f t="shared" si="116"/>
        <v/>
      </c>
      <c r="K952" s="20" t="str">
        <f t="shared" si="117"/>
        <v/>
      </c>
      <c r="L952" s="20" t="str">
        <f t="shared" si="118"/>
        <v/>
      </c>
      <c r="M952" s="6"/>
      <c r="N952" s="19" t="str">
        <f t="shared" si="119"/>
        <v/>
      </c>
      <c r="O952" s="23" t="str">
        <f>IF(B952="","",TRIM(IF(COUNTIF('Registru comenzi'!$B$5:$B$304,B952)=0,"Comandă inexistentă în registru. ","")&amp;IF(AND(D952&lt;&gt;"",E952=""),"Cod necunoscut. ","")&amp;IF(N(G952)&lt;=0,"Lipsește cantitatea. ","")&amp;IF(N(M952)&gt;N(G952),"Livrat mai mult decât s-a comandat. ","")&amp;IF(N(I952)&gt;0.3,"Discount neobișnuit de mare. ","")))</f>
        <v/>
      </c>
    </row>
    <row r="953" spans="1:15" x14ac:dyDescent="0.2">
      <c r="A953" s="1" t="str">
        <f t="shared" si="112"/>
        <v/>
      </c>
      <c r="B953" s="17"/>
      <c r="C953" s="18" t="str">
        <f>IF(B953="","",COUNTIF(INDEX($B:$B,5):B953,B953))</f>
        <v/>
      </c>
      <c r="D953" s="17"/>
      <c r="E953" s="19" t="str">
        <f t="shared" si="113"/>
        <v/>
      </c>
      <c r="F953" s="18" t="str">
        <f t="shared" si="114"/>
        <v/>
      </c>
      <c r="G953" s="6"/>
      <c r="H953" s="20" t="str">
        <f t="shared" si="115"/>
        <v/>
      </c>
      <c r="I953" s="21"/>
      <c r="J953" s="22" t="str">
        <f t="shared" si="116"/>
        <v/>
      </c>
      <c r="K953" s="20" t="str">
        <f t="shared" si="117"/>
        <v/>
      </c>
      <c r="L953" s="20" t="str">
        <f t="shared" si="118"/>
        <v/>
      </c>
      <c r="M953" s="6"/>
      <c r="N953" s="19" t="str">
        <f t="shared" si="119"/>
        <v/>
      </c>
      <c r="O953" s="23" t="str">
        <f>IF(B953="","",TRIM(IF(COUNTIF('Registru comenzi'!$B$5:$B$304,B953)=0,"Comandă inexistentă în registru. ","")&amp;IF(AND(D953&lt;&gt;"",E953=""),"Cod necunoscut. ","")&amp;IF(N(G953)&lt;=0,"Lipsește cantitatea. ","")&amp;IF(N(M953)&gt;N(G953),"Livrat mai mult decât s-a comandat. ","")&amp;IF(N(I953)&gt;0.3,"Discount neobișnuit de mare. ","")))</f>
        <v/>
      </c>
    </row>
    <row r="954" spans="1:15" x14ac:dyDescent="0.2">
      <c r="A954" s="1" t="str">
        <f t="shared" si="112"/>
        <v/>
      </c>
      <c r="B954" s="17"/>
      <c r="C954" s="18" t="str">
        <f>IF(B954="","",COUNTIF(INDEX($B:$B,5):B954,B954))</f>
        <v/>
      </c>
      <c r="D954" s="17"/>
      <c r="E954" s="19" t="str">
        <f t="shared" si="113"/>
        <v/>
      </c>
      <c r="F954" s="18" t="str">
        <f t="shared" si="114"/>
        <v/>
      </c>
      <c r="G954" s="6"/>
      <c r="H954" s="20" t="str">
        <f t="shared" si="115"/>
        <v/>
      </c>
      <c r="I954" s="21"/>
      <c r="J954" s="22" t="str">
        <f t="shared" si="116"/>
        <v/>
      </c>
      <c r="K954" s="20" t="str">
        <f t="shared" si="117"/>
        <v/>
      </c>
      <c r="L954" s="20" t="str">
        <f t="shared" si="118"/>
        <v/>
      </c>
      <c r="M954" s="6"/>
      <c r="N954" s="19" t="str">
        <f t="shared" si="119"/>
        <v/>
      </c>
      <c r="O954" s="23" t="str">
        <f>IF(B954="","",TRIM(IF(COUNTIF('Registru comenzi'!$B$5:$B$304,B954)=0,"Comandă inexistentă în registru. ","")&amp;IF(AND(D954&lt;&gt;"",E954=""),"Cod necunoscut. ","")&amp;IF(N(G954)&lt;=0,"Lipsește cantitatea. ","")&amp;IF(N(M954)&gt;N(G954),"Livrat mai mult decât s-a comandat. ","")&amp;IF(N(I954)&gt;0.3,"Discount neobișnuit de mare. ","")))</f>
        <v/>
      </c>
    </row>
    <row r="955" spans="1:15" x14ac:dyDescent="0.2">
      <c r="A955" s="1" t="str">
        <f t="shared" si="112"/>
        <v/>
      </c>
      <c r="B955" s="17"/>
      <c r="C955" s="18" t="str">
        <f>IF(B955="","",COUNTIF(INDEX($B:$B,5):B955,B955))</f>
        <v/>
      </c>
      <c r="D955" s="17"/>
      <c r="E955" s="19" t="str">
        <f t="shared" si="113"/>
        <v/>
      </c>
      <c r="F955" s="18" t="str">
        <f t="shared" si="114"/>
        <v/>
      </c>
      <c r="G955" s="6"/>
      <c r="H955" s="20" t="str">
        <f t="shared" si="115"/>
        <v/>
      </c>
      <c r="I955" s="21"/>
      <c r="J955" s="22" t="str">
        <f t="shared" si="116"/>
        <v/>
      </c>
      <c r="K955" s="20" t="str">
        <f t="shared" si="117"/>
        <v/>
      </c>
      <c r="L955" s="20" t="str">
        <f t="shared" si="118"/>
        <v/>
      </c>
      <c r="M955" s="6"/>
      <c r="N955" s="19" t="str">
        <f t="shared" si="119"/>
        <v/>
      </c>
      <c r="O955" s="23" t="str">
        <f>IF(B955="","",TRIM(IF(COUNTIF('Registru comenzi'!$B$5:$B$304,B955)=0,"Comandă inexistentă în registru. ","")&amp;IF(AND(D955&lt;&gt;"",E955=""),"Cod necunoscut. ","")&amp;IF(N(G955)&lt;=0,"Lipsește cantitatea. ","")&amp;IF(N(M955)&gt;N(G955),"Livrat mai mult decât s-a comandat. ","")&amp;IF(N(I955)&gt;0.3,"Discount neobișnuit de mare. ","")))</f>
        <v/>
      </c>
    </row>
    <row r="956" spans="1:15" x14ac:dyDescent="0.2">
      <c r="A956" s="1" t="str">
        <f t="shared" si="112"/>
        <v/>
      </c>
      <c r="B956" s="17"/>
      <c r="C956" s="18" t="str">
        <f>IF(B956="","",COUNTIF(INDEX($B:$B,5):B956,B956))</f>
        <v/>
      </c>
      <c r="D956" s="17"/>
      <c r="E956" s="19" t="str">
        <f t="shared" si="113"/>
        <v/>
      </c>
      <c r="F956" s="18" t="str">
        <f t="shared" si="114"/>
        <v/>
      </c>
      <c r="G956" s="6"/>
      <c r="H956" s="20" t="str">
        <f t="shared" si="115"/>
        <v/>
      </c>
      <c r="I956" s="21"/>
      <c r="J956" s="22" t="str">
        <f t="shared" si="116"/>
        <v/>
      </c>
      <c r="K956" s="20" t="str">
        <f t="shared" si="117"/>
        <v/>
      </c>
      <c r="L956" s="20" t="str">
        <f t="shared" si="118"/>
        <v/>
      </c>
      <c r="M956" s="6"/>
      <c r="N956" s="19" t="str">
        <f t="shared" si="119"/>
        <v/>
      </c>
      <c r="O956" s="23" t="str">
        <f>IF(B956="","",TRIM(IF(COUNTIF('Registru comenzi'!$B$5:$B$304,B956)=0,"Comandă inexistentă în registru. ","")&amp;IF(AND(D956&lt;&gt;"",E956=""),"Cod necunoscut. ","")&amp;IF(N(G956)&lt;=0,"Lipsește cantitatea. ","")&amp;IF(N(M956)&gt;N(G956),"Livrat mai mult decât s-a comandat. ","")&amp;IF(N(I956)&gt;0.3,"Discount neobișnuit de mare. ","")))</f>
        <v/>
      </c>
    </row>
    <row r="957" spans="1:15" x14ac:dyDescent="0.2">
      <c r="A957" s="1" t="str">
        <f t="shared" si="112"/>
        <v/>
      </c>
      <c r="B957" s="17"/>
      <c r="C957" s="18" t="str">
        <f>IF(B957="","",COUNTIF(INDEX($B:$B,5):B957,B957))</f>
        <v/>
      </c>
      <c r="D957" s="17"/>
      <c r="E957" s="19" t="str">
        <f t="shared" si="113"/>
        <v/>
      </c>
      <c r="F957" s="18" t="str">
        <f t="shared" si="114"/>
        <v/>
      </c>
      <c r="G957" s="6"/>
      <c r="H957" s="20" t="str">
        <f t="shared" si="115"/>
        <v/>
      </c>
      <c r="I957" s="21"/>
      <c r="J957" s="22" t="str">
        <f t="shared" si="116"/>
        <v/>
      </c>
      <c r="K957" s="20" t="str">
        <f t="shared" si="117"/>
        <v/>
      </c>
      <c r="L957" s="20" t="str">
        <f t="shared" si="118"/>
        <v/>
      </c>
      <c r="M957" s="6"/>
      <c r="N957" s="19" t="str">
        <f t="shared" si="119"/>
        <v/>
      </c>
      <c r="O957" s="23" t="str">
        <f>IF(B957="","",TRIM(IF(COUNTIF('Registru comenzi'!$B$5:$B$304,B957)=0,"Comandă inexistentă în registru. ","")&amp;IF(AND(D957&lt;&gt;"",E957=""),"Cod necunoscut. ","")&amp;IF(N(G957)&lt;=0,"Lipsește cantitatea. ","")&amp;IF(N(M957)&gt;N(G957),"Livrat mai mult decât s-a comandat. ","")&amp;IF(N(I957)&gt;0.3,"Discount neobișnuit de mare. ","")))</f>
        <v/>
      </c>
    </row>
    <row r="958" spans="1:15" x14ac:dyDescent="0.2">
      <c r="A958" s="1" t="str">
        <f t="shared" si="112"/>
        <v/>
      </c>
      <c r="B958" s="17"/>
      <c r="C958" s="18" t="str">
        <f>IF(B958="","",COUNTIF(INDEX($B:$B,5):B958,B958))</f>
        <v/>
      </c>
      <c r="D958" s="17"/>
      <c r="E958" s="19" t="str">
        <f t="shared" si="113"/>
        <v/>
      </c>
      <c r="F958" s="18" t="str">
        <f t="shared" si="114"/>
        <v/>
      </c>
      <c r="G958" s="6"/>
      <c r="H958" s="20" t="str">
        <f t="shared" si="115"/>
        <v/>
      </c>
      <c r="I958" s="21"/>
      <c r="J958" s="22" t="str">
        <f t="shared" si="116"/>
        <v/>
      </c>
      <c r="K958" s="20" t="str">
        <f t="shared" si="117"/>
        <v/>
      </c>
      <c r="L958" s="20" t="str">
        <f t="shared" si="118"/>
        <v/>
      </c>
      <c r="M958" s="6"/>
      <c r="N958" s="19" t="str">
        <f t="shared" si="119"/>
        <v/>
      </c>
      <c r="O958" s="23" t="str">
        <f>IF(B958="","",TRIM(IF(COUNTIF('Registru comenzi'!$B$5:$B$304,B958)=0,"Comandă inexistentă în registru. ","")&amp;IF(AND(D958&lt;&gt;"",E958=""),"Cod necunoscut. ","")&amp;IF(N(G958)&lt;=0,"Lipsește cantitatea. ","")&amp;IF(N(M958)&gt;N(G958),"Livrat mai mult decât s-a comandat. ","")&amp;IF(N(I958)&gt;0.3,"Discount neobișnuit de mare. ","")))</f>
        <v/>
      </c>
    </row>
    <row r="959" spans="1:15" x14ac:dyDescent="0.2">
      <c r="A959" s="1" t="str">
        <f t="shared" si="112"/>
        <v/>
      </c>
      <c r="B959" s="17"/>
      <c r="C959" s="18" t="str">
        <f>IF(B959="","",COUNTIF(INDEX($B:$B,5):B959,B959))</f>
        <v/>
      </c>
      <c r="D959" s="17"/>
      <c r="E959" s="19" t="str">
        <f t="shared" si="113"/>
        <v/>
      </c>
      <c r="F959" s="18" t="str">
        <f t="shared" si="114"/>
        <v/>
      </c>
      <c r="G959" s="6"/>
      <c r="H959" s="20" t="str">
        <f t="shared" si="115"/>
        <v/>
      </c>
      <c r="I959" s="21"/>
      <c r="J959" s="22" t="str">
        <f t="shared" si="116"/>
        <v/>
      </c>
      <c r="K959" s="20" t="str">
        <f t="shared" si="117"/>
        <v/>
      </c>
      <c r="L959" s="20" t="str">
        <f t="shared" si="118"/>
        <v/>
      </c>
      <c r="M959" s="6"/>
      <c r="N959" s="19" t="str">
        <f t="shared" si="119"/>
        <v/>
      </c>
      <c r="O959" s="23" t="str">
        <f>IF(B959="","",TRIM(IF(COUNTIF('Registru comenzi'!$B$5:$B$304,B959)=0,"Comandă inexistentă în registru. ","")&amp;IF(AND(D959&lt;&gt;"",E959=""),"Cod necunoscut. ","")&amp;IF(N(G959)&lt;=0,"Lipsește cantitatea. ","")&amp;IF(N(M959)&gt;N(G959),"Livrat mai mult decât s-a comandat. ","")&amp;IF(N(I959)&gt;0.3,"Discount neobișnuit de mare. ","")))</f>
        <v/>
      </c>
    </row>
    <row r="960" spans="1:15" x14ac:dyDescent="0.2">
      <c r="A960" s="1" t="str">
        <f t="shared" si="112"/>
        <v/>
      </c>
      <c r="B960" s="17"/>
      <c r="C960" s="18" t="str">
        <f>IF(B960="","",COUNTIF(INDEX($B:$B,5):B960,B960))</f>
        <v/>
      </c>
      <c r="D960" s="17"/>
      <c r="E960" s="19" t="str">
        <f t="shared" si="113"/>
        <v/>
      </c>
      <c r="F960" s="18" t="str">
        <f t="shared" si="114"/>
        <v/>
      </c>
      <c r="G960" s="6"/>
      <c r="H960" s="20" t="str">
        <f t="shared" si="115"/>
        <v/>
      </c>
      <c r="I960" s="21"/>
      <c r="J960" s="22" t="str">
        <f t="shared" si="116"/>
        <v/>
      </c>
      <c r="K960" s="20" t="str">
        <f t="shared" si="117"/>
        <v/>
      </c>
      <c r="L960" s="20" t="str">
        <f t="shared" si="118"/>
        <v/>
      </c>
      <c r="M960" s="6"/>
      <c r="N960" s="19" t="str">
        <f t="shared" si="119"/>
        <v/>
      </c>
      <c r="O960" s="23" t="str">
        <f>IF(B960="","",TRIM(IF(COUNTIF('Registru comenzi'!$B$5:$B$304,B960)=0,"Comandă inexistentă în registru. ","")&amp;IF(AND(D960&lt;&gt;"",E960=""),"Cod necunoscut. ","")&amp;IF(N(G960)&lt;=0,"Lipsește cantitatea. ","")&amp;IF(N(M960)&gt;N(G960),"Livrat mai mult decât s-a comandat. ","")&amp;IF(N(I960)&gt;0.3,"Discount neobișnuit de mare. ","")))</f>
        <v/>
      </c>
    </row>
    <row r="961" spans="1:15" x14ac:dyDescent="0.2">
      <c r="A961" s="1" t="str">
        <f t="shared" si="112"/>
        <v/>
      </c>
      <c r="B961" s="17"/>
      <c r="C961" s="18" t="str">
        <f>IF(B961="","",COUNTIF(INDEX($B:$B,5):B961,B961))</f>
        <v/>
      </c>
      <c r="D961" s="17"/>
      <c r="E961" s="19" t="str">
        <f t="shared" si="113"/>
        <v/>
      </c>
      <c r="F961" s="18" t="str">
        <f t="shared" si="114"/>
        <v/>
      </c>
      <c r="G961" s="6"/>
      <c r="H961" s="20" t="str">
        <f t="shared" si="115"/>
        <v/>
      </c>
      <c r="I961" s="21"/>
      <c r="J961" s="22" t="str">
        <f t="shared" si="116"/>
        <v/>
      </c>
      <c r="K961" s="20" t="str">
        <f t="shared" si="117"/>
        <v/>
      </c>
      <c r="L961" s="20" t="str">
        <f t="shared" si="118"/>
        <v/>
      </c>
      <c r="M961" s="6"/>
      <c r="N961" s="19" t="str">
        <f t="shared" si="119"/>
        <v/>
      </c>
      <c r="O961" s="23" t="str">
        <f>IF(B961="","",TRIM(IF(COUNTIF('Registru comenzi'!$B$5:$B$304,B961)=0,"Comandă inexistentă în registru. ","")&amp;IF(AND(D961&lt;&gt;"",E961=""),"Cod necunoscut. ","")&amp;IF(N(G961)&lt;=0,"Lipsește cantitatea. ","")&amp;IF(N(M961)&gt;N(G961),"Livrat mai mult decât s-a comandat. ","")&amp;IF(N(I961)&gt;0.3,"Discount neobișnuit de mare. ","")))</f>
        <v/>
      </c>
    </row>
    <row r="962" spans="1:15" x14ac:dyDescent="0.2">
      <c r="A962" s="1" t="str">
        <f t="shared" si="112"/>
        <v/>
      </c>
      <c r="B962" s="17"/>
      <c r="C962" s="18" t="str">
        <f>IF(B962="","",COUNTIF(INDEX($B:$B,5):B962,B962))</f>
        <v/>
      </c>
      <c r="D962" s="17"/>
      <c r="E962" s="19" t="str">
        <f t="shared" si="113"/>
        <v/>
      </c>
      <c r="F962" s="18" t="str">
        <f t="shared" si="114"/>
        <v/>
      </c>
      <c r="G962" s="6"/>
      <c r="H962" s="20" t="str">
        <f t="shared" si="115"/>
        <v/>
      </c>
      <c r="I962" s="21"/>
      <c r="J962" s="22" t="str">
        <f t="shared" si="116"/>
        <v/>
      </c>
      <c r="K962" s="20" t="str">
        <f t="shared" si="117"/>
        <v/>
      </c>
      <c r="L962" s="20" t="str">
        <f t="shared" si="118"/>
        <v/>
      </c>
      <c r="M962" s="6"/>
      <c r="N962" s="19" t="str">
        <f t="shared" si="119"/>
        <v/>
      </c>
      <c r="O962" s="23" t="str">
        <f>IF(B962="","",TRIM(IF(COUNTIF('Registru comenzi'!$B$5:$B$304,B962)=0,"Comandă inexistentă în registru. ","")&amp;IF(AND(D962&lt;&gt;"",E962=""),"Cod necunoscut. ","")&amp;IF(N(G962)&lt;=0,"Lipsește cantitatea. ","")&amp;IF(N(M962)&gt;N(G962),"Livrat mai mult decât s-a comandat. ","")&amp;IF(N(I962)&gt;0.3,"Discount neobișnuit de mare. ","")))</f>
        <v/>
      </c>
    </row>
    <row r="963" spans="1:15" x14ac:dyDescent="0.2">
      <c r="A963" s="1" t="str">
        <f t="shared" si="112"/>
        <v/>
      </c>
      <c r="B963" s="17"/>
      <c r="C963" s="18" t="str">
        <f>IF(B963="","",COUNTIF(INDEX($B:$B,5):B963,B963))</f>
        <v/>
      </c>
      <c r="D963" s="17"/>
      <c r="E963" s="19" t="str">
        <f t="shared" si="113"/>
        <v/>
      </c>
      <c r="F963" s="18" t="str">
        <f t="shared" si="114"/>
        <v/>
      </c>
      <c r="G963" s="6"/>
      <c r="H963" s="20" t="str">
        <f t="shared" si="115"/>
        <v/>
      </c>
      <c r="I963" s="21"/>
      <c r="J963" s="22" t="str">
        <f t="shared" si="116"/>
        <v/>
      </c>
      <c r="K963" s="20" t="str">
        <f t="shared" si="117"/>
        <v/>
      </c>
      <c r="L963" s="20" t="str">
        <f t="shared" si="118"/>
        <v/>
      </c>
      <c r="M963" s="6"/>
      <c r="N963" s="19" t="str">
        <f t="shared" si="119"/>
        <v/>
      </c>
      <c r="O963" s="23" t="str">
        <f>IF(B963="","",TRIM(IF(COUNTIF('Registru comenzi'!$B$5:$B$304,B963)=0,"Comandă inexistentă în registru. ","")&amp;IF(AND(D963&lt;&gt;"",E963=""),"Cod necunoscut. ","")&amp;IF(N(G963)&lt;=0,"Lipsește cantitatea. ","")&amp;IF(N(M963)&gt;N(G963),"Livrat mai mult decât s-a comandat. ","")&amp;IF(N(I963)&gt;0.3,"Discount neobișnuit de mare. ","")))</f>
        <v/>
      </c>
    </row>
    <row r="964" spans="1:15" x14ac:dyDescent="0.2">
      <c r="A964" s="1" t="str">
        <f t="shared" si="112"/>
        <v/>
      </c>
      <c r="B964" s="17"/>
      <c r="C964" s="18" t="str">
        <f>IF(B964="","",COUNTIF(INDEX($B:$B,5):B964,B964))</f>
        <v/>
      </c>
      <c r="D964" s="17"/>
      <c r="E964" s="19" t="str">
        <f t="shared" si="113"/>
        <v/>
      </c>
      <c r="F964" s="18" t="str">
        <f t="shared" si="114"/>
        <v/>
      </c>
      <c r="G964" s="6"/>
      <c r="H964" s="20" t="str">
        <f t="shared" si="115"/>
        <v/>
      </c>
      <c r="I964" s="21"/>
      <c r="J964" s="22" t="str">
        <f t="shared" si="116"/>
        <v/>
      </c>
      <c r="K964" s="20" t="str">
        <f t="shared" si="117"/>
        <v/>
      </c>
      <c r="L964" s="20" t="str">
        <f t="shared" si="118"/>
        <v/>
      </c>
      <c r="M964" s="6"/>
      <c r="N964" s="19" t="str">
        <f t="shared" si="119"/>
        <v/>
      </c>
      <c r="O964" s="23" t="str">
        <f>IF(B964="","",TRIM(IF(COUNTIF('Registru comenzi'!$B$5:$B$304,B964)=0,"Comandă inexistentă în registru. ","")&amp;IF(AND(D964&lt;&gt;"",E964=""),"Cod necunoscut. ","")&amp;IF(N(G964)&lt;=0,"Lipsește cantitatea. ","")&amp;IF(N(M964)&gt;N(G964),"Livrat mai mult decât s-a comandat. ","")&amp;IF(N(I964)&gt;0.3,"Discount neobișnuit de mare. ","")))</f>
        <v/>
      </c>
    </row>
    <row r="965" spans="1:15" x14ac:dyDescent="0.2">
      <c r="A965" s="1" t="str">
        <f t="shared" ref="A965:A1004" si="120">IF(B965="","",B965&amp;"|"&amp;C965)</f>
        <v/>
      </c>
      <c r="B965" s="17"/>
      <c r="C965" s="18" t="str">
        <f>IF(B965="","",COUNTIF(INDEX($B:$B,5):B965,B965))</f>
        <v/>
      </c>
      <c r="D965" s="17"/>
      <c r="E965" s="19" t="str">
        <f t="shared" ref="E965:E1028" si="121">IF(D965="","",IFERROR(VLOOKUP(D965,Catalog,2,FALSE),""))</f>
        <v/>
      </c>
      <c r="F965" s="18" t="str">
        <f t="shared" ref="F965:F1004" si="122">IF(D965="","",IFERROR(VLOOKUP(D965,Catalog,3,FALSE),""))</f>
        <v/>
      </c>
      <c r="G965" s="6"/>
      <c r="H965" s="20" t="str">
        <f t="shared" ref="H965:H1004" si="123">IF(D965="","",IFERROR(VLOOKUP(D965,Catalog,4,FALSE),""))</f>
        <v/>
      </c>
      <c r="I965" s="21"/>
      <c r="J965" s="22" t="str">
        <f t="shared" ref="J965:J1004" si="124">IF(D965="","",IFERROR(VLOOKUP(D965,Catalog,5,FALSE),""))</f>
        <v/>
      </c>
      <c r="K965" s="20" t="str">
        <f t="shared" ref="K965:K1004" si="125">IF(OR(G965="",H965=""),"",ROUND(G965*H965*(1-N(I965)),2))</f>
        <v/>
      </c>
      <c r="L965" s="20" t="str">
        <f t="shared" ref="L965:L1004" si="126">IF(OR(K965="",J965=""),"",ROUND(K965*J965,2))</f>
        <v/>
      </c>
      <c r="M965" s="6"/>
      <c r="N965" s="19" t="str">
        <f t="shared" ref="N965:N1004" si="127">IF(G965="","",G965-N(M965))</f>
        <v/>
      </c>
      <c r="O965" s="23" t="str">
        <f>IF(B965="","",TRIM(IF(COUNTIF('Registru comenzi'!$B$5:$B$304,B965)=0,"Comandă inexistentă în registru. ","")&amp;IF(AND(D965&lt;&gt;"",E965=""),"Cod necunoscut. ","")&amp;IF(N(G965)&lt;=0,"Lipsește cantitatea. ","")&amp;IF(N(M965)&gt;N(G965),"Livrat mai mult decât s-a comandat. ","")&amp;IF(N(I965)&gt;0.3,"Discount neobișnuit de mare. ","")))</f>
        <v/>
      </c>
    </row>
    <row r="966" spans="1:15" x14ac:dyDescent="0.2">
      <c r="A966" s="1" t="str">
        <f t="shared" si="120"/>
        <v/>
      </c>
      <c r="B966" s="17"/>
      <c r="C966" s="18" t="str">
        <f>IF(B966="","",COUNTIF(INDEX($B:$B,5):B966,B966))</f>
        <v/>
      </c>
      <c r="D966" s="17"/>
      <c r="E966" s="19" t="str">
        <f t="shared" si="121"/>
        <v/>
      </c>
      <c r="F966" s="18" t="str">
        <f t="shared" si="122"/>
        <v/>
      </c>
      <c r="G966" s="6"/>
      <c r="H966" s="20" t="str">
        <f t="shared" si="123"/>
        <v/>
      </c>
      <c r="I966" s="21"/>
      <c r="J966" s="22" t="str">
        <f t="shared" si="124"/>
        <v/>
      </c>
      <c r="K966" s="20" t="str">
        <f t="shared" si="125"/>
        <v/>
      </c>
      <c r="L966" s="20" t="str">
        <f t="shared" si="126"/>
        <v/>
      </c>
      <c r="M966" s="6"/>
      <c r="N966" s="19" t="str">
        <f t="shared" si="127"/>
        <v/>
      </c>
      <c r="O966" s="23" t="str">
        <f>IF(B966="","",TRIM(IF(COUNTIF('Registru comenzi'!$B$5:$B$304,B966)=0,"Comandă inexistentă în registru. ","")&amp;IF(AND(D966&lt;&gt;"",E966=""),"Cod necunoscut. ","")&amp;IF(N(G966)&lt;=0,"Lipsește cantitatea. ","")&amp;IF(N(M966)&gt;N(G966),"Livrat mai mult decât s-a comandat. ","")&amp;IF(N(I966)&gt;0.3,"Discount neobișnuit de mare. ","")))</f>
        <v/>
      </c>
    </row>
    <row r="967" spans="1:15" x14ac:dyDescent="0.2">
      <c r="A967" s="1" t="str">
        <f t="shared" si="120"/>
        <v/>
      </c>
      <c r="B967" s="17"/>
      <c r="C967" s="18" t="str">
        <f>IF(B967="","",COUNTIF(INDEX($B:$B,5):B967,B967))</f>
        <v/>
      </c>
      <c r="D967" s="17"/>
      <c r="E967" s="19" t="str">
        <f t="shared" si="121"/>
        <v/>
      </c>
      <c r="F967" s="18" t="str">
        <f t="shared" si="122"/>
        <v/>
      </c>
      <c r="G967" s="6"/>
      <c r="H967" s="20" t="str">
        <f t="shared" si="123"/>
        <v/>
      </c>
      <c r="I967" s="21"/>
      <c r="J967" s="22" t="str">
        <f t="shared" si="124"/>
        <v/>
      </c>
      <c r="K967" s="20" t="str">
        <f t="shared" si="125"/>
        <v/>
      </c>
      <c r="L967" s="20" t="str">
        <f t="shared" si="126"/>
        <v/>
      </c>
      <c r="M967" s="6"/>
      <c r="N967" s="19" t="str">
        <f t="shared" si="127"/>
        <v/>
      </c>
      <c r="O967" s="23" t="str">
        <f>IF(B967="","",TRIM(IF(COUNTIF('Registru comenzi'!$B$5:$B$304,B967)=0,"Comandă inexistentă în registru. ","")&amp;IF(AND(D967&lt;&gt;"",E967=""),"Cod necunoscut. ","")&amp;IF(N(G967)&lt;=0,"Lipsește cantitatea. ","")&amp;IF(N(M967)&gt;N(G967),"Livrat mai mult decât s-a comandat. ","")&amp;IF(N(I967)&gt;0.3,"Discount neobișnuit de mare. ","")))</f>
        <v/>
      </c>
    </row>
    <row r="968" spans="1:15" x14ac:dyDescent="0.2">
      <c r="A968" s="1" t="str">
        <f t="shared" si="120"/>
        <v/>
      </c>
      <c r="B968" s="17"/>
      <c r="C968" s="18" t="str">
        <f>IF(B968="","",COUNTIF(INDEX($B:$B,5):B968,B968))</f>
        <v/>
      </c>
      <c r="D968" s="17"/>
      <c r="E968" s="19" t="str">
        <f t="shared" si="121"/>
        <v/>
      </c>
      <c r="F968" s="18" t="str">
        <f t="shared" si="122"/>
        <v/>
      </c>
      <c r="G968" s="6"/>
      <c r="H968" s="20" t="str">
        <f t="shared" si="123"/>
        <v/>
      </c>
      <c r="I968" s="21"/>
      <c r="J968" s="22" t="str">
        <f t="shared" si="124"/>
        <v/>
      </c>
      <c r="K968" s="20" t="str">
        <f t="shared" si="125"/>
        <v/>
      </c>
      <c r="L968" s="20" t="str">
        <f t="shared" si="126"/>
        <v/>
      </c>
      <c r="M968" s="6"/>
      <c r="N968" s="19" t="str">
        <f t="shared" si="127"/>
        <v/>
      </c>
      <c r="O968" s="23" t="str">
        <f>IF(B968="","",TRIM(IF(COUNTIF('Registru comenzi'!$B$5:$B$304,B968)=0,"Comandă inexistentă în registru. ","")&amp;IF(AND(D968&lt;&gt;"",E968=""),"Cod necunoscut. ","")&amp;IF(N(G968)&lt;=0,"Lipsește cantitatea. ","")&amp;IF(N(M968)&gt;N(G968),"Livrat mai mult decât s-a comandat. ","")&amp;IF(N(I968)&gt;0.3,"Discount neobișnuit de mare. ","")))</f>
        <v/>
      </c>
    </row>
    <row r="969" spans="1:15" x14ac:dyDescent="0.2">
      <c r="A969" s="1" t="str">
        <f t="shared" si="120"/>
        <v/>
      </c>
      <c r="B969" s="17"/>
      <c r="C969" s="18" t="str">
        <f>IF(B969="","",COUNTIF(INDEX($B:$B,5):B969,B969))</f>
        <v/>
      </c>
      <c r="D969" s="17"/>
      <c r="E969" s="19" t="str">
        <f t="shared" si="121"/>
        <v/>
      </c>
      <c r="F969" s="18" t="str">
        <f t="shared" si="122"/>
        <v/>
      </c>
      <c r="G969" s="6"/>
      <c r="H969" s="20" t="str">
        <f t="shared" si="123"/>
        <v/>
      </c>
      <c r="I969" s="21"/>
      <c r="J969" s="22" t="str">
        <f t="shared" si="124"/>
        <v/>
      </c>
      <c r="K969" s="20" t="str">
        <f t="shared" si="125"/>
        <v/>
      </c>
      <c r="L969" s="20" t="str">
        <f t="shared" si="126"/>
        <v/>
      </c>
      <c r="M969" s="6"/>
      <c r="N969" s="19" t="str">
        <f t="shared" si="127"/>
        <v/>
      </c>
      <c r="O969" s="23" t="str">
        <f>IF(B969="","",TRIM(IF(COUNTIF('Registru comenzi'!$B$5:$B$304,B969)=0,"Comandă inexistentă în registru. ","")&amp;IF(AND(D969&lt;&gt;"",E969=""),"Cod necunoscut. ","")&amp;IF(N(G969)&lt;=0,"Lipsește cantitatea. ","")&amp;IF(N(M969)&gt;N(G969),"Livrat mai mult decât s-a comandat. ","")&amp;IF(N(I969)&gt;0.3,"Discount neobișnuit de mare. ","")))</f>
        <v/>
      </c>
    </row>
    <row r="970" spans="1:15" x14ac:dyDescent="0.2">
      <c r="A970" s="1" t="str">
        <f t="shared" si="120"/>
        <v/>
      </c>
      <c r="B970" s="17"/>
      <c r="C970" s="18" t="str">
        <f>IF(B970="","",COUNTIF(INDEX($B:$B,5):B970,B970))</f>
        <v/>
      </c>
      <c r="D970" s="17"/>
      <c r="E970" s="19" t="str">
        <f t="shared" si="121"/>
        <v/>
      </c>
      <c r="F970" s="18" t="str">
        <f t="shared" si="122"/>
        <v/>
      </c>
      <c r="G970" s="6"/>
      <c r="H970" s="20" t="str">
        <f t="shared" si="123"/>
        <v/>
      </c>
      <c r="I970" s="21"/>
      <c r="J970" s="22" t="str">
        <f t="shared" si="124"/>
        <v/>
      </c>
      <c r="K970" s="20" t="str">
        <f t="shared" si="125"/>
        <v/>
      </c>
      <c r="L970" s="20" t="str">
        <f t="shared" si="126"/>
        <v/>
      </c>
      <c r="M970" s="6"/>
      <c r="N970" s="19" t="str">
        <f t="shared" si="127"/>
        <v/>
      </c>
      <c r="O970" s="23" t="str">
        <f>IF(B970="","",TRIM(IF(COUNTIF('Registru comenzi'!$B$5:$B$304,B970)=0,"Comandă inexistentă în registru. ","")&amp;IF(AND(D970&lt;&gt;"",E970=""),"Cod necunoscut. ","")&amp;IF(N(G970)&lt;=0,"Lipsește cantitatea. ","")&amp;IF(N(M970)&gt;N(G970),"Livrat mai mult decât s-a comandat. ","")&amp;IF(N(I970)&gt;0.3,"Discount neobișnuit de mare. ","")))</f>
        <v/>
      </c>
    </row>
    <row r="971" spans="1:15" x14ac:dyDescent="0.2">
      <c r="A971" s="1" t="str">
        <f t="shared" si="120"/>
        <v/>
      </c>
      <c r="B971" s="17"/>
      <c r="C971" s="18" t="str">
        <f>IF(B971="","",COUNTIF(INDEX($B:$B,5):B971,B971))</f>
        <v/>
      </c>
      <c r="D971" s="17"/>
      <c r="E971" s="19" t="str">
        <f t="shared" si="121"/>
        <v/>
      </c>
      <c r="F971" s="18" t="str">
        <f t="shared" si="122"/>
        <v/>
      </c>
      <c r="G971" s="6"/>
      <c r="H971" s="20" t="str">
        <f t="shared" si="123"/>
        <v/>
      </c>
      <c r="I971" s="21"/>
      <c r="J971" s="22" t="str">
        <f t="shared" si="124"/>
        <v/>
      </c>
      <c r="K971" s="20" t="str">
        <f t="shared" si="125"/>
        <v/>
      </c>
      <c r="L971" s="20" t="str">
        <f t="shared" si="126"/>
        <v/>
      </c>
      <c r="M971" s="6"/>
      <c r="N971" s="19" t="str">
        <f t="shared" si="127"/>
        <v/>
      </c>
      <c r="O971" s="23" t="str">
        <f>IF(B971="","",TRIM(IF(COUNTIF('Registru comenzi'!$B$5:$B$304,B971)=0,"Comandă inexistentă în registru. ","")&amp;IF(AND(D971&lt;&gt;"",E971=""),"Cod necunoscut. ","")&amp;IF(N(G971)&lt;=0,"Lipsește cantitatea. ","")&amp;IF(N(M971)&gt;N(G971),"Livrat mai mult decât s-a comandat. ","")&amp;IF(N(I971)&gt;0.3,"Discount neobișnuit de mare. ","")))</f>
        <v/>
      </c>
    </row>
    <row r="972" spans="1:15" x14ac:dyDescent="0.2">
      <c r="A972" s="1" t="str">
        <f t="shared" si="120"/>
        <v/>
      </c>
      <c r="B972" s="17"/>
      <c r="C972" s="18" t="str">
        <f>IF(B972="","",COUNTIF(INDEX($B:$B,5):B972,B972))</f>
        <v/>
      </c>
      <c r="D972" s="17"/>
      <c r="E972" s="19" t="str">
        <f t="shared" si="121"/>
        <v/>
      </c>
      <c r="F972" s="18" t="str">
        <f t="shared" si="122"/>
        <v/>
      </c>
      <c r="G972" s="6"/>
      <c r="H972" s="20" t="str">
        <f t="shared" si="123"/>
        <v/>
      </c>
      <c r="I972" s="21"/>
      <c r="J972" s="22" t="str">
        <f t="shared" si="124"/>
        <v/>
      </c>
      <c r="K972" s="20" t="str">
        <f t="shared" si="125"/>
        <v/>
      </c>
      <c r="L972" s="20" t="str">
        <f t="shared" si="126"/>
        <v/>
      </c>
      <c r="M972" s="6"/>
      <c r="N972" s="19" t="str">
        <f t="shared" si="127"/>
        <v/>
      </c>
      <c r="O972" s="23" t="str">
        <f>IF(B972="","",TRIM(IF(COUNTIF('Registru comenzi'!$B$5:$B$304,B972)=0,"Comandă inexistentă în registru. ","")&amp;IF(AND(D972&lt;&gt;"",E972=""),"Cod necunoscut. ","")&amp;IF(N(G972)&lt;=0,"Lipsește cantitatea. ","")&amp;IF(N(M972)&gt;N(G972),"Livrat mai mult decât s-a comandat. ","")&amp;IF(N(I972)&gt;0.3,"Discount neobișnuit de mare. ","")))</f>
        <v/>
      </c>
    </row>
    <row r="973" spans="1:15" x14ac:dyDescent="0.2">
      <c r="A973" s="1" t="str">
        <f t="shared" si="120"/>
        <v/>
      </c>
      <c r="B973" s="17"/>
      <c r="C973" s="18" t="str">
        <f>IF(B973="","",COUNTIF(INDEX($B:$B,5):B973,B973))</f>
        <v/>
      </c>
      <c r="D973" s="17"/>
      <c r="E973" s="19" t="str">
        <f t="shared" si="121"/>
        <v/>
      </c>
      <c r="F973" s="18" t="str">
        <f t="shared" si="122"/>
        <v/>
      </c>
      <c r="G973" s="6"/>
      <c r="H973" s="20" t="str">
        <f t="shared" si="123"/>
        <v/>
      </c>
      <c r="I973" s="21"/>
      <c r="J973" s="22" t="str">
        <f t="shared" si="124"/>
        <v/>
      </c>
      <c r="K973" s="20" t="str">
        <f t="shared" si="125"/>
        <v/>
      </c>
      <c r="L973" s="20" t="str">
        <f t="shared" si="126"/>
        <v/>
      </c>
      <c r="M973" s="6"/>
      <c r="N973" s="19" t="str">
        <f t="shared" si="127"/>
        <v/>
      </c>
      <c r="O973" s="23" t="str">
        <f>IF(B973="","",TRIM(IF(COUNTIF('Registru comenzi'!$B$5:$B$304,B973)=0,"Comandă inexistentă în registru. ","")&amp;IF(AND(D973&lt;&gt;"",E973=""),"Cod necunoscut. ","")&amp;IF(N(G973)&lt;=0,"Lipsește cantitatea. ","")&amp;IF(N(M973)&gt;N(G973),"Livrat mai mult decât s-a comandat. ","")&amp;IF(N(I973)&gt;0.3,"Discount neobișnuit de mare. ","")))</f>
        <v/>
      </c>
    </row>
    <row r="974" spans="1:15" x14ac:dyDescent="0.2">
      <c r="A974" s="1" t="str">
        <f t="shared" si="120"/>
        <v/>
      </c>
      <c r="B974" s="17"/>
      <c r="C974" s="18" t="str">
        <f>IF(B974="","",COUNTIF(INDEX($B:$B,5):B974,B974))</f>
        <v/>
      </c>
      <c r="D974" s="17"/>
      <c r="E974" s="19" t="str">
        <f t="shared" si="121"/>
        <v/>
      </c>
      <c r="F974" s="18" t="str">
        <f t="shared" si="122"/>
        <v/>
      </c>
      <c r="G974" s="6"/>
      <c r="H974" s="20" t="str">
        <f t="shared" si="123"/>
        <v/>
      </c>
      <c r="I974" s="21"/>
      <c r="J974" s="22" t="str">
        <f t="shared" si="124"/>
        <v/>
      </c>
      <c r="K974" s="20" t="str">
        <f t="shared" si="125"/>
        <v/>
      </c>
      <c r="L974" s="20" t="str">
        <f t="shared" si="126"/>
        <v/>
      </c>
      <c r="M974" s="6"/>
      <c r="N974" s="19" t="str">
        <f t="shared" si="127"/>
        <v/>
      </c>
      <c r="O974" s="23" t="str">
        <f>IF(B974="","",TRIM(IF(COUNTIF('Registru comenzi'!$B$5:$B$304,B974)=0,"Comandă inexistentă în registru. ","")&amp;IF(AND(D974&lt;&gt;"",E974=""),"Cod necunoscut. ","")&amp;IF(N(G974)&lt;=0,"Lipsește cantitatea. ","")&amp;IF(N(M974)&gt;N(G974),"Livrat mai mult decât s-a comandat. ","")&amp;IF(N(I974)&gt;0.3,"Discount neobișnuit de mare. ","")))</f>
        <v/>
      </c>
    </row>
    <row r="975" spans="1:15" x14ac:dyDescent="0.2">
      <c r="A975" s="1" t="str">
        <f t="shared" si="120"/>
        <v/>
      </c>
      <c r="B975" s="17"/>
      <c r="C975" s="18" t="str">
        <f>IF(B975="","",COUNTIF(INDEX($B:$B,5):B975,B975))</f>
        <v/>
      </c>
      <c r="D975" s="17"/>
      <c r="E975" s="19" t="str">
        <f t="shared" si="121"/>
        <v/>
      </c>
      <c r="F975" s="18" t="str">
        <f t="shared" si="122"/>
        <v/>
      </c>
      <c r="G975" s="6"/>
      <c r="H975" s="20" t="str">
        <f t="shared" si="123"/>
        <v/>
      </c>
      <c r="I975" s="21"/>
      <c r="J975" s="22" t="str">
        <f t="shared" si="124"/>
        <v/>
      </c>
      <c r="K975" s="20" t="str">
        <f t="shared" si="125"/>
        <v/>
      </c>
      <c r="L975" s="20" t="str">
        <f t="shared" si="126"/>
        <v/>
      </c>
      <c r="M975" s="6"/>
      <c r="N975" s="19" t="str">
        <f t="shared" si="127"/>
        <v/>
      </c>
      <c r="O975" s="23" t="str">
        <f>IF(B975="","",TRIM(IF(COUNTIF('Registru comenzi'!$B$5:$B$304,B975)=0,"Comandă inexistentă în registru. ","")&amp;IF(AND(D975&lt;&gt;"",E975=""),"Cod necunoscut. ","")&amp;IF(N(G975)&lt;=0,"Lipsește cantitatea. ","")&amp;IF(N(M975)&gt;N(G975),"Livrat mai mult decât s-a comandat. ","")&amp;IF(N(I975)&gt;0.3,"Discount neobișnuit de mare. ","")))</f>
        <v/>
      </c>
    </row>
    <row r="976" spans="1:15" x14ac:dyDescent="0.2">
      <c r="A976" s="1" t="str">
        <f t="shared" si="120"/>
        <v/>
      </c>
      <c r="B976" s="17"/>
      <c r="C976" s="18" t="str">
        <f>IF(B976="","",COUNTIF(INDEX($B:$B,5):B976,B976))</f>
        <v/>
      </c>
      <c r="D976" s="17"/>
      <c r="E976" s="19" t="str">
        <f t="shared" si="121"/>
        <v/>
      </c>
      <c r="F976" s="18" t="str">
        <f t="shared" si="122"/>
        <v/>
      </c>
      <c r="G976" s="6"/>
      <c r="H976" s="20" t="str">
        <f t="shared" si="123"/>
        <v/>
      </c>
      <c r="I976" s="21"/>
      <c r="J976" s="22" t="str">
        <f t="shared" si="124"/>
        <v/>
      </c>
      <c r="K976" s="20" t="str">
        <f t="shared" si="125"/>
        <v/>
      </c>
      <c r="L976" s="20" t="str">
        <f t="shared" si="126"/>
        <v/>
      </c>
      <c r="M976" s="6"/>
      <c r="N976" s="19" t="str">
        <f t="shared" si="127"/>
        <v/>
      </c>
      <c r="O976" s="23" t="str">
        <f>IF(B976="","",TRIM(IF(COUNTIF('Registru comenzi'!$B$5:$B$304,B976)=0,"Comandă inexistentă în registru. ","")&amp;IF(AND(D976&lt;&gt;"",E976=""),"Cod necunoscut. ","")&amp;IF(N(G976)&lt;=0,"Lipsește cantitatea. ","")&amp;IF(N(M976)&gt;N(G976),"Livrat mai mult decât s-a comandat. ","")&amp;IF(N(I976)&gt;0.3,"Discount neobișnuit de mare. ","")))</f>
        <v/>
      </c>
    </row>
    <row r="977" spans="1:15" x14ac:dyDescent="0.2">
      <c r="A977" s="1" t="str">
        <f t="shared" si="120"/>
        <v/>
      </c>
      <c r="B977" s="17"/>
      <c r="C977" s="18" t="str">
        <f>IF(B977="","",COUNTIF(INDEX($B:$B,5):B977,B977))</f>
        <v/>
      </c>
      <c r="D977" s="17"/>
      <c r="E977" s="19" t="str">
        <f t="shared" si="121"/>
        <v/>
      </c>
      <c r="F977" s="18" t="str">
        <f t="shared" si="122"/>
        <v/>
      </c>
      <c r="G977" s="6"/>
      <c r="H977" s="20" t="str">
        <f t="shared" si="123"/>
        <v/>
      </c>
      <c r="I977" s="21"/>
      <c r="J977" s="22" t="str">
        <f t="shared" si="124"/>
        <v/>
      </c>
      <c r="K977" s="20" t="str">
        <f t="shared" si="125"/>
        <v/>
      </c>
      <c r="L977" s="20" t="str">
        <f t="shared" si="126"/>
        <v/>
      </c>
      <c r="M977" s="6"/>
      <c r="N977" s="19" t="str">
        <f t="shared" si="127"/>
        <v/>
      </c>
      <c r="O977" s="23" t="str">
        <f>IF(B977="","",TRIM(IF(COUNTIF('Registru comenzi'!$B$5:$B$304,B977)=0,"Comandă inexistentă în registru. ","")&amp;IF(AND(D977&lt;&gt;"",E977=""),"Cod necunoscut. ","")&amp;IF(N(G977)&lt;=0,"Lipsește cantitatea. ","")&amp;IF(N(M977)&gt;N(G977),"Livrat mai mult decât s-a comandat. ","")&amp;IF(N(I977)&gt;0.3,"Discount neobișnuit de mare. ","")))</f>
        <v/>
      </c>
    </row>
    <row r="978" spans="1:15" x14ac:dyDescent="0.2">
      <c r="A978" s="1" t="str">
        <f t="shared" si="120"/>
        <v/>
      </c>
      <c r="B978" s="17"/>
      <c r="C978" s="18" t="str">
        <f>IF(B978="","",COUNTIF(INDEX($B:$B,5):B978,B978))</f>
        <v/>
      </c>
      <c r="D978" s="17"/>
      <c r="E978" s="19" t="str">
        <f t="shared" si="121"/>
        <v/>
      </c>
      <c r="F978" s="18" t="str">
        <f t="shared" si="122"/>
        <v/>
      </c>
      <c r="G978" s="6"/>
      <c r="H978" s="20" t="str">
        <f t="shared" si="123"/>
        <v/>
      </c>
      <c r="I978" s="21"/>
      <c r="J978" s="22" t="str">
        <f t="shared" si="124"/>
        <v/>
      </c>
      <c r="K978" s="20" t="str">
        <f t="shared" si="125"/>
        <v/>
      </c>
      <c r="L978" s="20" t="str">
        <f t="shared" si="126"/>
        <v/>
      </c>
      <c r="M978" s="6"/>
      <c r="N978" s="19" t="str">
        <f t="shared" si="127"/>
        <v/>
      </c>
      <c r="O978" s="23" t="str">
        <f>IF(B978="","",TRIM(IF(COUNTIF('Registru comenzi'!$B$5:$B$304,B978)=0,"Comandă inexistentă în registru. ","")&amp;IF(AND(D978&lt;&gt;"",E978=""),"Cod necunoscut. ","")&amp;IF(N(G978)&lt;=0,"Lipsește cantitatea. ","")&amp;IF(N(M978)&gt;N(G978),"Livrat mai mult decât s-a comandat. ","")&amp;IF(N(I978)&gt;0.3,"Discount neobișnuit de mare. ","")))</f>
        <v/>
      </c>
    </row>
    <row r="979" spans="1:15" x14ac:dyDescent="0.2">
      <c r="A979" s="1" t="str">
        <f t="shared" si="120"/>
        <v/>
      </c>
      <c r="B979" s="17"/>
      <c r="C979" s="18" t="str">
        <f>IF(B979="","",COUNTIF(INDEX($B:$B,5):B979,B979))</f>
        <v/>
      </c>
      <c r="D979" s="17"/>
      <c r="E979" s="19" t="str">
        <f t="shared" si="121"/>
        <v/>
      </c>
      <c r="F979" s="18" t="str">
        <f t="shared" si="122"/>
        <v/>
      </c>
      <c r="G979" s="6"/>
      <c r="H979" s="20" t="str">
        <f t="shared" si="123"/>
        <v/>
      </c>
      <c r="I979" s="21"/>
      <c r="J979" s="22" t="str">
        <f t="shared" si="124"/>
        <v/>
      </c>
      <c r="K979" s="20" t="str">
        <f t="shared" si="125"/>
        <v/>
      </c>
      <c r="L979" s="20" t="str">
        <f t="shared" si="126"/>
        <v/>
      </c>
      <c r="M979" s="6"/>
      <c r="N979" s="19" t="str">
        <f t="shared" si="127"/>
        <v/>
      </c>
      <c r="O979" s="23" t="str">
        <f>IF(B979="","",TRIM(IF(COUNTIF('Registru comenzi'!$B$5:$B$304,B979)=0,"Comandă inexistentă în registru. ","")&amp;IF(AND(D979&lt;&gt;"",E979=""),"Cod necunoscut. ","")&amp;IF(N(G979)&lt;=0,"Lipsește cantitatea. ","")&amp;IF(N(M979)&gt;N(G979),"Livrat mai mult decât s-a comandat. ","")&amp;IF(N(I979)&gt;0.3,"Discount neobișnuit de mare. ","")))</f>
        <v/>
      </c>
    </row>
    <row r="980" spans="1:15" x14ac:dyDescent="0.2">
      <c r="A980" s="1" t="str">
        <f t="shared" si="120"/>
        <v/>
      </c>
      <c r="B980" s="17"/>
      <c r="C980" s="18" t="str">
        <f>IF(B980="","",COUNTIF(INDEX($B:$B,5):B980,B980))</f>
        <v/>
      </c>
      <c r="D980" s="17"/>
      <c r="E980" s="19" t="str">
        <f t="shared" si="121"/>
        <v/>
      </c>
      <c r="F980" s="18" t="str">
        <f t="shared" si="122"/>
        <v/>
      </c>
      <c r="G980" s="6"/>
      <c r="H980" s="20" t="str">
        <f t="shared" si="123"/>
        <v/>
      </c>
      <c r="I980" s="21"/>
      <c r="J980" s="22" t="str">
        <f t="shared" si="124"/>
        <v/>
      </c>
      <c r="K980" s="20" t="str">
        <f t="shared" si="125"/>
        <v/>
      </c>
      <c r="L980" s="20" t="str">
        <f t="shared" si="126"/>
        <v/>
      </c>
      <c r="M980" s="6"/>
      <c r="N980" s="19" t="str">
        <f t="shared" si="127"/>
        <v/>
      </c>
      <c r="O980" s="23" t="str">
        <f>IF(B980="","",TRIM(IF(COUNTIF('Registru comenzi'!$B$5:$B$304,B980)=0,"Comandă inexistentă în registru. ","")&amp;IF(AND(D980&lt;&gt;"",E980=""),"Cod necunoscut. ","")&amp;IF(N(G980)&lt;=0,"Lipsește cantitatea. ","")&amp;IF(N(M980)&gt;N(G980),"Livrat mai mult decât s-a comandat. ","")&amp;IF(N(I980)&gt;0.3,"Discount neobișnuit de mare. ","")))</f>
        <v/>
      </c>
    </row>
    <row r="981" spans="1:15" x14ac:dyDescent="0.2">
      <c r="A981" s="1" t="str">
        <f t="shared" si="120"/>
        <v/>
      </c>
      <c r="B981" s="17"/>
      <c r="C981" s="18" t="str">
        <f>IF(B981="","",COUNTIF(INDEX($B:$B,5):B981,B981))</f>
        <v/>
      </c>
      <c r="D981" s="17"/>
      <c r="E981" s="19" t="str">
        <f t="shared" si="121"/>
        <v/>
      </c>
      <c r="F981" s="18" t="str">
        <f t="shared" si="122"/>
        <v/>
      </c>
      <c r="G981" s="6"/>
      <c r="H981" s="20" t="str">
        <f t="shared" si="123"/>
        <v/>
      </c>
      <c r="I981" s="21"/>
      <c r="J981" s="22" t="str">
        <f t="shared" si="124"/>
        <v/>
      </c>
      <c r="K981" s="20" t="str">
        <f t="shared" si="125"/>
        <v/>
      </c>
      <c r="L981" s="20" t="str">
        <f t="shared" si="126"/>
        <v/>
      </c>
      <c r="M981" s="6"/>
      <c r="N981" s="19" t="str">
        <f t="shared" si="127"/>
        <v/>
      </c>
      <c r="O981" s="23" t="str">
        <f>IF(B981="","",TRIM(IF(COUNTIF('Registru comenzi'!$B$5:$B$304,B981)=0,"Comandă inexistentă în registru. ","")&amp;IF(AND(D981&lt;&gt;"",E981=""),"Cod necunoscut. ","")&amp;IF(N(G981)&lt;=0,"Lipsește cantitatea. ","")&amp;IF(N(M981)&gt;N(G981),"Livrat mai mult decât s-a comandat. ","")&amp;IF(N(I981)&gt;0.3,"Discount neobișnuit de mare. ","")))</f>
        <v/>
      </c>
    </row>
    <row r="982" spans="1:15" x14ac:dyDescent="0.2">
      <c r="A982" s="1" t="str">
        <f t="shared" si="120"/>
        <v/>
      </c>
      <c r="B982" s="17"/>
      <c r="C982" s="18" t="str">
        <f>IF(B982="","",COUNTIF(INDEX($B:$B,5):B982,B982))</f>
        <v/>
      </c>
      <c r="D982" s="17"/>
      <c r="E982" s="19" t="str">
        <f t="shared" si="121"/>
        <v/>
      </c>
      <c r="F982" s="18" t="str">
        <f t="shared" si="122"/>
        <v/>
      </c>
      <c r="G982" s="6"/>
      <c r="H982" s="20" t="str">
        <f t="shared" si="123"/>
        <v/>
      </c>
      <c r="I982" s="21"/>
      <c r="J982" s="22" t="str">
        <f t="shared" si="124"/>
        <v/>
      </c>
      <c r="K982" s="20" t="str">
        <f t="shared" si="125"/>
        <v/>
      </c>
      <c r="L982" s="20" t="str">
        <f t="shared" si="126"/>
        <v/>
      </c>
      <c r="M982" s="6"/>
      <c r="N982" s="19" t="str">
        <f t="shared" si="127"/>
        <v/>
      </c>
      <c r="O982" s="23" t="str">
        <f>IF(B982="","",TRIM(IF(COUNTIF('Registru comenzi'!$B$5:$B$304,B982)=0,"Comandă inexistentă în registru. ","")&amp;IF(AND(D982&lt;&gt;"",E982=""),"Cod necunoscut. ","")&amp;IF(N(G982)&lt;=0,"Lipsește cantitatea. ","")&amp;IF(N(M982)&gt;N(G982),"Livrat mai mult decât s-a comandat. ","")&amp;IF(N(I982)&gt;0.3,"Discount neobișnuit de mare. ","")))</f>
        <v/>
      </c>
    </row>
    <row r="983" spans="1:15" x14ac:dyDescent="0.2">
      <c r="A983" s="1" t="str">
        <f t="shared" si="120"/>
        <v/>
      </c>
      <c r="B983" s="17"/>
      <c r="C983" s="18" t="str">
        <f>IF(B983="","",COUNTIF(INDEX($B:$B,5):B983,B983))</f>
        <v/>
      </c>
      <c r="D983" s="17"/>
      <c r="E983" s="19" t="str">
        <f t="shared" si="121"/>
        <v/>
      </c>
      <c r="F983" s="18" t="str">
        <f t="shared" si="122"/>
        <v/>
      </c>
      <c r="G983" s="6"/>
      <c r="H983" s="20" t="str">
        <f t="shared" si="123"/>
        <v/>
      </c>
      <c r="I983" s="21"/>
      <c r="J983" s="22" t="str">
        <f t="shared" si="124"/>
        <v/>
      </c>
      <c r="K983" s="20" t="str">
        <f t="shared" si="125"/>
        <v/>
      </c>
      <c r="L983" s="20" t="str">
        <f t="shared" si="126"/>
        <v/>
      </c>
      <c r="M983" s="6"/>
      <c r="N983" s="19" t="str">
        <f t="shared" si="127"/>
        <v/>
      </c>
      <c r="O983" s="23" t="str">
        <f>IF(B983="","",TRIM(IF(COUNTIF('Registru comenzi'!$B$5:$B$304,B983)=0,"Comandă inexistentă în registru. ","")&amp;IF(AND(D983&lt;&gt;"",E983=""),"Cod necunoscut. ","")&amp;IF(N(G983)&lt;=0,"Lipsește cantitatea. ","")&amp;IF(N(M983)&gt;N(G983),"Livrat mai mult decât s-a comandat. ","")&amp;IF(N(I983)&gt;0.3,"Discount neobișnuit de mare. ","")))</f>
        <v/>
      </c>
    </row>
    <row r="984" spans="1:15" x14ac:dyDescent="0.2">
      <c r="A984" s="1" t="str">
        <f t="shared" si="120"/>
        <v/>
      </c>
      <c r="B984" s="17"/>
      <c r="C984" s="18" t="str">
        <f>IF(B984="","",COUNTIF(INDEX($B:$B,5):B984,B984))</f>
        <v/>
      </c>
      <c r="D984" s="17"/>
      <c r="E984" s="19" t="str">
        <f t="shared" si="121"/>
        <v/>
      </c>
      <c r="F984" s="18" t="str">
        <f t="shared" si="122"/>
        <v/>
      </c>
      <c r="G984" s="6"/>
      <c r="H984" s="20" t="str">
        <f t="shared" si="123"/>
        <v/>
      </c>
      <c r="I984" s="21"/>
      <c r="J984" s="22" t="str">
        <f t="shared" si="124"/>
        <v/>
      </c>
      <c r="K984" s="20" t="str">
        <f t="shared" si="125"/>
        <v/>
      </c>
      <c r="L984" s="20" t="str">
        <f t="shared" si="126"/>
        <v/>
      </c>
      <c r="M984" s="6"/>
      <c r="N984" s="19" t="str">
        <f t="shared" si="127"/>
        <v/>
      </c>
      <c r="O984" s="23" t="str">
        <f>IF(B984="","",TRIM(IF(COUNTIF('Registru comenzi'!$B$5:$B$304,B984)=0,"Comandă inexistentă în registru. ","")&amp;IF(AND(D984&lt;&gt;"",E984=""),"Cod necunoscut. ","")&amp;IF(N(G984)&lt;=0,"Lipsește cantitatea. ","")&amp;IF(N(M984)&gt;N(G984),"Livrat mai mult decât s-a comandat. ","")&amp;IF(N(I984)&gt;0.3,"Discount neobișnuit de mare. ","")))</f>
        <v/>
      </c>
    </row>
    <row r="985" spans="1:15" x14ac:dyDescent="0.2">
      <c r="A985" s="1" t="str">
        <f t="shared" si="120"/>
        <v/>
      </c>
      <c r="B985" s="17"/>
      <c r="C985" s="18" t="str">
        <f>IF(B985="","",COUNTIF(INDEX($B:$B,5):B985,B985))</f>
        <v/>
      </c>
      <c r="D985" s="17"/>
      <c r="E985" s="19" t="str">
        <f t="shared" si="121"/>
        <v/>
      </c>
      <c r="F985" s="18" t="str">
        <f t="shared" si="122"/>
        <v/>
      </c>
      <c r="G985" s="6"/>
      <c r="H985" s="20" t="str">
        <f t="shared" si="123"/>
        <v/>
      </c>
      <c r="I985" s="21"/>
      <c r="J985" s="22" t="str">
        <f t="shared" si="124"/>
        <v/>
      </c>
      <c r="K985" s="20" t="str">
        <f t="shared" si="125"/>
        <v/>
      </c>
      <c r="L985" s="20" t="str">
        <f t="shared" si="126"/>
        <v/>
      </c>
      <c r="M985" s="6"/>
      <c r="N985" s="19" t="str">
        <f t="shared" si="127"/>
        <v/>
      </c>
      <c r="O985" s="23" t="str">
        <f>IF(B985="","",TRIM(IF(COUNTIF('Registru comenzi'!$B$5:$B$304,B985)=0,"Comandă inexistentă în registru. ","")&amp;IF(AND(D985&lt;&gt;"",E985=""),"Cod necunoscut. ","")&amp;IF(N(G985)&lt;=0,"Lipsește cantitatea. ","")&amp;IF(N(M985)&gt;N(G985),"Livrat mai mult decât s-a comandat. ","")&amp;IF(N(I985)&gt;0.3,"Discount neobișnuit de mare. ","")))</f>
        <v/>
      </c>
    </row>
    <row r="986" spans="1:15" x14ac:dyDescent="0.2">
      <c r="A986" s="1" t="str">
        <f t="shared" si="120"/>
        <v/>
      </c>
      <c r="B986" s="17"/>
      <c r="C986" s="18" t="str">
        <f>IF(B986="","",COUNTIF(INDEX($B:$B,5):B986,B986))</f>
        <v/>
      </c>
      <c r="D986" s="17"/>
      <c r="E986" s="19" t="str">
        <f t="shared" si="121"/>
        <v/>
      </c>
      <c r="F986" s="18" t="str">
        <f t="shared" si="122"/>
        <v/>
      </c>
      <c r="G986" s="6"/>
      <c r="H986" s="20" t="str">
        <f t="shared" si="123"/>
        <v/>
      </c>
      <c r="I986" s="21"/>
      <c r="J986" s="22" t="str">
        <f t="shared" si="124"/>
        <v/>
      </c>
      <c r="K986" s="20" t="str">
        <f t="shared" si="125"/>
        <v/>
      </c>
      <c r="L986" s="20" t="str">
        <f t="shared" si="126"/>
        <v/>
      </c>
      <c r="M986" s="6"/>
      <c r="N986" s="19" t="str">
        <f t="shared" si="127"/>
        <v/>
      </c>
      <c r="O986" s="23" t="str">
        <f>IF(B986="","",TRIM(IF(COUNTIF('Registru comenzi'!$B$5:$B$304,B986)=0,"Comandă inexistentă în registru. ","")&amp;IF(AND(D986&lt;&gt;"",E986=""),"Cod necunoscut. ","")&amp;IF(N(G986)&lt;=0,"Lipsește cantitatea. ","")&amp;IF(N(M986)&gt;N(G986),"Livrat mai mult decât s-a comandat. ","")&amp;IF(N(I986)&gt;0.3,"Discount neobișnuit de mare. ","")))</f>
        <v/>
      </c>
    </row>
    <row r="987" spans="1:15" x14ac:dyDescent="0.2">
      <c r="A987" s="1" t="str">
        <f t="shared" si="120"/>
        <v/>
      </c>
      <c r="B987" s="17"/>
      <c r="C987" s="18" t="str">
        <f>IF(B987="","",COUNTIF(INDEX($B:$B,5):B987,B987))</f>
        <v/>
      </c>
      <c r="D987" s="17"/>
      <c r="E987" s="19" t="str">
        <f t="shared" si="121"/>
        <v/>
      </c>
      <c r="F987" s="18" t="str">
        <f t="shared" si="122"/>
        <v/>
      </c>
      <c r="G987" s="6"/>
      <c r="H987" s="20" t="str">
        <f t="shared" si="123"/>
        <v/>
      </c>
      <c r="I987" s="21"/>
      <c r="J987" s="22" t="str">
        <f t="shared" si="124"/>
        <v/>
      </c>
      <c r="K987" s="20" t="str">
        <f t="shared" si="125"/>
        <v/>
      </c>
      <c r="L987" s="20" t="str">
        <f t="shared" si="126"/>
        <v/>
      </c>
      <c r="M987" s="6"/>
      <c r="N987" s="19" t="str">
        <f t="shared" si="127"/>
        <v/>
      </c>
      <c r="O987" s="23" t="str">
        <f>IF(B987="","",TRIM(IF(COUNTIF('Registru comenzi'!$B$5:$B$304,B987)=0,"Comandă inexistentă în registru. ","")&amp;IF(AND(D987&lt;&gt;"",E987=""),"Cod necunoscut. ","")&amp;IF(N(G987)&lt;=0,"Lipsește cantitatea. ","")&amp;IF(N(M987)&gt;N(G987),"Livrat mai mult decât s-a comandat. ","")&amp;IF(N(I987)&gt;0.3,"Discount neobișnuit de mare. ","")))</f>
        <v/>
      </c>
    </row>
    <row r="988" spans="1:15" x14ac:dyDescent="0.2">
      <c r="A988" s="1" t="str">
        <f t="shared" si="120"/>
        <v/>
      </c>
      <c r="B988" s="17"/>
      <c r="C988" s="18" t="str">
        <f>IF(B988="","",COUNTIF(INDEX($B:$B,5):B988,B988))</f>
        <v/>
      </c>
      <c r="D988" s="17"/>
      <c r="E988" s="19" t="str">
        <f t="shared" si="121"/>
        <v/>
      </c>
      <c r="F988" s="18" t="str">
        <f t="shared" si="122"/>
        <v/>
      </c>
      <c r="G988" s="6"/>
      <c r="H988" s="20" t="str">
        <f t="shared" si="123"/>
        <v/>
      </c>
      <c r="I988" s="21"/>
      <c r="J988" s="22" t="str">
        <f t="shared" si="124"/>
        <v/>
      </c>
      <c r="K988" s="20" t="str">
        <f t="shared" si="125"/>
        <v/>
      </c>
      <c r="L988" s="20" t="str">
        <f t="shared" si="126"/>
        <v/>
      </c>
      <c r="M988" s="6"/>
      <c r="N988" s="19" t="str">
        <f t="shared" si="127"/>
        <v/>
      </c>
      <c r="O988" s="23" t="str">
        <f>IF(B988="","",TRIM(IF(COUNTIF('Registru comenzi'!$B$5:$B$304,B988)=0,"Comandă inexistentă în registru. ","")&amp;IF(AND(D988&lt;&gt;"",E988=""),"Cod necunoscut. ","")&amp;IF(N(G988)&lt;=0,"Lipsește cantitatea. ","")&amp;IF(N(M988)&gt;N(G988),"Livrat mai mult decât s-a comandat. ","")&amp;IF(N(I988)&gt;0.3,"Discount neobișnuit de mare. ","")))</f>
        <v/>
      </c>
    </row>
    <row r="989" spans="1:15" x14ac:dyDescent="0.2">
      <c r="A989" s="1" t="str">
        <f t="shared" si="120"/>
        <v/>
      </c>
      <c r="B989" s="17"/>
      <c r="C989" s="18" t="str">
        <f>IF(B989="","",COUNTIF(INDEX($B:$B,5):B989,B989))</f>
        <v/>
      </c>
      <c r="D989" s="17"/>
      <c r="E989" s="19" t="str">
        <f t="shared" si="121"/>
        <v/>
      </c>
      <c r="F989" s="18" t="str">
        <f t="shared" si="122"/>
        <v/>
      </c>
      <c r="G989" s="6"/>
      <c r="H989" s="20" t="str">
        <f t="shared" si="123"/>
        <v/>
      </c>
      <c r="I989" s="21"/>
      <c r="J989" s="22" t="str">
        <f t="shared" si="124"/>
        <v/>
      </c>
      <c r="K989" s="20" t="str">
        <f t="shared" si="125"/>
        <v/>
      </c>
      <c r="L989" s="20" t="str">
        <f t="shared" si="126"/>
        <v/>
      </c>
      <c r="M989" s="6"/>
      <c r="N989" s="19" t="str">
        <f t="shared" si="127"/>
        <v/>
      </c>
      <c r="O989" s="23" t="str">
        <f>IF(B989="","",TRIM(IF(COUNTIF('Registru comenzi'!$B$5:$B$304,B989)=0,"Comandă inexistentă în registru. ","")&amp;IF(AND(D989&lt;&gt;"",E989=""),"Cod necunoscut. ","")&amp;IF(N(G989)&lt;=0,"Lipsește cantitatea. ","")&amp;IF(N(M989)&gt;N(G989),"Livrat mai mult decât s-a comandat. ","")&amp;IF(N(I989)&gt;0.3,"Discount neobișnuit de mare. ","")))</f>
        <v/>
      </c>
    </row>
    <row r="990" spans="1:15" x14ac:dyDescent="0.2">
      <c r="A990" s="1" t="str">
        <f t="shared" si="120"/>
        <v/>
      </c>
      <c r="B990" s="17"/>
      <c r="C990" s="18" t="str">
        <f>IF(B990="","",COUNTIF(INDEX($B:$B,5):B990,B990))</f>
        <v/>
      </c>
      <c r="D990" s="17"/>
      <c r="E990" s="19" t="str">
        <f t="shared" si="121"/>
        <v/>
      </c>
      <c r="F990" s="18" t="str">
        <f t="shared" si="122"/>
        <v/>
      </c>
      <c r="G990" s="6"/>
      <c r="H990" s="20" t="str">
        <f t="shared" si="123"/>
        <v/>
      </c>
      <c r="I990" s="21"/>
      <c r="J990" s="22" t="str">
        <f t="shared" si="124"/>
        <v/>
      </c>
      <c r="K990" s="20" t="str">
        <f t="shared" si="125"/>
        <v/>
      </c>
      <c r="L990" s="20" t="str">
        <f t="shared" si="126"/>
        <v/>
      </c>
      <c r="M990" s="6"/>
      <c r="N990" s="19" t="str">
        <f t="shared" si="127"/>
        <v/>
      </c>
      <c r="O990" s="23" t="str">
        <f>IF(B990="","",TRIM(IF(COUNTIF('Registru comenzi'!$B$5:$B$304,B990)=0,"Comandă inexistentă în registru. ","")&amp;IF(AND(D990&lt;&gt;"",E990=""),"Cod necunoscut. ","")&amp;IF(N(G990)&lt;=0,"Lipsește cantitatea. ","")&amp;IF(N(M990)&gt;N(G990),"Livrat mai mult decât s-a comandat. ","")&amp;IF(N(I990)&gt;0.3,"Discount neobișnuit de mare. ","")))</f>
        <v/>
      </c>
    </row>
    <row r="991" spans="1:15" x14ac:dyDescent="0.2">
      <c r="A991" s="1" t="str">
        <f t="shared" si="120"/>
        <v/>
      </c>
      <c r="B991" s="17"/>
      <c r="C991" s="18" t="str">
        <f>IF(B991="","",COUNTIF(INDEX($B:$B,5):B991,B991))</f>
        <v/>
      </c>
      <c r="D991" s="17"/>
      <c r="E991" s="19" t="str">
        <f t="shared" si="121"/>
        <v/>
      </c>
      <c r="F991" s="18" t="str">
        <f t="shared" si="122"/>
        <v/>
      </c>
      <c r="G991" s="6"/>
      <c r="H991" s="20" t="str">
        <f t="shared" si="123"/>
        <v/>
      </c>
      <c r="I991" s="21"/>
      <c r="J991" s="22" t="str">
        <f t="shared" si="124"/>
        <v/>
      </c>
      <c r="K991" s="20" t="str">
        <f t="shared" si="125"/>
        <v/>
      </c>
      <c r="L991" s="20" t="str">
        <f t="shared" si="126"/>
        <v/>
      </c>
      <c r="M991" s="6"/>
      <c r="N991" s="19" t="str">
        <f t="shared" si="127"/>
        <v/>
      </c>
      <c r="O991" s="23" t="str">
        <f>IF(B991="","",TRIM(IF(COUNTIF('Registru comenzi'!$B$5:$B$304,B991)=0,"Comandă inexistentă în registru. ","")&amp;IF(AND(D991&lt;&gt;"",E991=""),"Cod necunoscut. ","")&amp;IF(N(G991)&lt;=0,"Lipsește cantitatea. ","")&amp;IF(N(M991)&gt;N(G991),"Livrat mai mult decât s-a comandat. ","")&amp;IF(N(I991)&gt;0.3,"Discount neobișnuit de mare. ","")))</f>
        <v/>
      </c>
    </row>
    <row r="992" spans="1:15" x14ac:dyDescent="0.2">
      <c r="A992" s="1" t="str">
        <f t="shared" si="120"/>
        <v/>
      </c>
      <c r="B992" s="17"/>
      <c r="C992" s="18" t="str">
        <f>IF(B992="","",COUNTIF(INDEX($B:$B,5):B992,B992))</f>
        <v/>
      </c>
      <c r="D992" s="17"/>
      <c r="E992" s="19" t="str">
        <f t="shared" si="121"/>
        <v/>
      </c>
      <c r="F992" s="18" t="str">
        <f t="shared" si="122"/>
        <v/>
      </c>
      <c r="G992" s="6"/>
      <c r="H992" s="20" t="str">
        <f t="shared" si="123"/>
        <v/>
      </c>
      <c r="I992" s="21"/>
      <c r="J992" s="22" t="str">
        <f t="shared" si="124"/>
        <v/>
      </c>
      <c r="K992" s="20" t="str">
        <f t="shared" si="125"/>
        <v/>
      </c>
      <c r="L992" s="20" t="str">
        <f t="shared" si="126"/>
        <v/>
      </c>
      <c r="M992" s="6"/>
      <c r="N992" s="19" t="str">
        <f t="shared" si="127"/>
        <v/>
      </c>
      <c r="O992" s="23" t="str">
        <f>IF(B992="","",TRIM(IF(COUNTIF('Registru comenzi'!$B$5:$B$304,B992)=0,"Comandă inexistentă în registru. ","")&amp;IF(AND(D992&lt;&gt;"",E992=""),"Cod necunoscut. ","")&amp;IF(N(G992)&lt;=0,"Lipsește cantitatea. ","")&amp;IF(N(M992)&gt;N(G992),"Livrat mai mult decât s-a comandat. ","")&amp;IF(N(I992)&gt;0.3,"Discount neobișnuit de mare. ","")))</f>
        <v/>
      </c>
    </row>
    <row r="993" spans="1:15" x14ac:dyDescent="0.2">
      <c r="A993" s="1" t="str">
        <f t="shared" si="120"/>
        <v/>
      </c>
      <c r="B993" s="17"/>
      <c r="C993" s="18" t="str">
        <f>IF(B993="","",COUNTIF(INDEX($B:$B,5):B993,B993))</f>
        <v/>
      </c>
      <c r="D993" s="17"/>
      <c r="E993" s="19" t="str">
        <f t="shared" si="121"/>
        <v/>
      </c>
      <c r="F993" s="18" t="str">
        <f t="shared" si="122"/>
        <v/>
      </c>
      <c r="G993" s="6"/>
      <c r="H993" s="20" t="str">
        <f t="shared" si="123"/>
        <v/>
      </c>
      <c r="I993" s="21"/>
      <c r="J993" s="22" t="str">
        <f t="shared" si="124"/>
        <v/>
      </c>
      <c r="K993" s="20" t="str">
        <f t="shared" si="125"/>
        <v/>
      </c>
      <c r="L993" s="20" t="str">
        <f t="shared" si="126"/>
        <v/>
      </c>
      <c r="M993" s="6"/>
      <c r="N993" s="19" t="str">
        <f t="shared" si="127"/>
        <v/>
      </c>
      <c r="O993" s="23" t="str">
        <f>IF(B993="","",TRIM(IF(COUNTIF('Registru comenzi'!$B$5:$B$304,B993)=0,"Comandă inexistentă în registru. ","")&amp;IF(AND(D993&lt;&gt;"",E993=""),"Cod necunoscut. ","")&amp;IF(N(G993)&lt;=0,"Lipsește cantitatea. ","")&amp;IF(N(M993)&gt;N(G993),"Livrat mai mult decât s-a comandat. ","")&amp;IF(N(I993)&gt;0.3,"Discount neobișnuit de mare. ","")))</f>
        <v/>
      </c>
    </row>
    <row r="994" spans="1:15" x14ac:dyDescent="0.2">
      <c r="A994" s="1" t="str">
        <f t="shared" si="120"/>
        <v/>
      </c>
      <c r="B994" s="17"/>
      <c r="C994" s="18" t="str">
        <f>IF(B994="","",COUNTIF(INDEX($B:$B,5):B994,B994))</f>
        <v/>
      </c>
      <c r="D994" s="17"/>
      <c r="E994" s="19" t="str">
        <f t="shared" si="121"/>
        <v/>
      </c>
      <c r="F994" s="18" t="str">
        <f t="shared" si="122"/>
        <v/>
      </c>
      <c r="G994" s="6"/>
      <c r="H994" s="20" t="str">
        <f t="shared" si="123"/>
        <v/>
      </c>
      <c r="I994" s="21"/>
      <c r="J994" s="22" t="str">
        <f t="shared" si="124"/>
        <v/>
      </c>
      <c r="K994" s="20" t="str">
        <f t="shared" si="125"/>
        <v/>
      </c>
      <c r="L994" s="20" t="str">
        <f t="shared" si="126"/>
        <v/>
      </c>
      <c r="M994" s="6"/>
      <c r="N994" s="19" t="str">
        <f t="shared" si="127"/>
        <v/>
      </c>
      <c r="O994" s="23" t="str">
        <f>IF(B994="","",TRIM(IF(COUNTIF('Registru comenzi'!$B$5:$B$304,B994)=0,"Comandă inexistentă în registru. ","")&amp;IF(AND(D994&lt;&gt;"",E994=""),"Cod necunoscut. ","")&amp;IF(N(G994)&lt;=0,"Lipsește cantitatea. ","")&amp;IF(N(M994)&gt;N(G994),"Livrat mai mult decât s-a comandat. ","")&amp;IF(N(I994)&gt;0.3,"Discount neobișnuit de mare. ","")))</f>
        <v/>
      </c>
    </row>
    <row r="995" spans="1:15" x14ac:dyDescent="0.2">
      <c r="A995" s="1" t="str">
        <f t="shared" si="120"/>
        <v/>
      </c>
      <c r="B995" s="17"/>
      <c r="C995" s="18" t="str">
        <f>IF(B995="","",COUNTIF(INDEX($B:$B,5):B995,B995))</f>
        <v/>
      </c>
      <c r="D995" s="17"/>
      <c r="E995" s="19" t="str">
        <f t="shared" si="121"/>
        <v/>
      </c>
      <c r="F995" s="18" t="str">
        <f t="shared" si="122"/>
        <v/>
      </c>
      <c r="G995" s="6"/>
      <c r="H995" s="20" t="str">
        <f t="shared" si="123"/>
        <v/>
      </c>
      <c r="I995" s="21"/>
      <c r="J995" s="22" t="str">
        <f t="shared" si="124"/>
        <v/>
      </c>
      <c r="K995" s="20" t="str">
        <f t="shared" si="125"/>
        <v/>
      </c>
      <c r="L995" s="20" t="str">
        <f t="shared" si="126"/>
        <v/>
      </c>
      <c r="M995" s="6"/>
      <c r="N995" s="19" t="str">
        <f t="shared" si="127"/>
        <v/>
      </c>
      <c r="O995" s="23" t="str">
        <f>IF(B995="","",TRIM(IF(COUNTIF('Registru comenzi'!$B$5:$B$304,B995)=0,"Comandă inexistentă în registru. ","")&amp;IF(AND(D995&lt;&gt;"",E995=""),"Cod necunoscut. ","")&amp;IF(N(G995)&lt;=0,"Lipsește cantitatea. ","")&amp;IF(N(M995)&gt;N(G995),"Livrat mai mult decât s-a comandat. ","")&amp;IF(N(I995)&gt;0.3,"Discount neobișnuit de mare. ","")))</f>
        <v/>
      </c>
    </row>
    <row r="996" spans="1:15" x14ac:dyDescent="0.2">
      <c r="A996" s="1" t="str">
        <f t="shared" si="120"/>
        <v/>
      </c>
      <c r="B996" s="17"/>
      <c r="C996" s="18" t="str">
        <f>IF(B996="","",COUNTIF(INDEX($B:$B,5):B996,B996))</f>
        <v/>
      </c>
      <c r="D996" s="17"/>
      <c r="E996" s="19" t="str">
        <f t="shared" si="121"/>
        <v/>
      </c>
      <c r="F996" s="18" t="str">
        <f t="shared" si="122"/>
        <v/>
      </c>
      <c r="G996" s="6"/>
      <c r="H996" s="20" t="str">
        <f t="shared" si="123"/>
        <v/>
      </c>
      <c r="I996" s="21"/>
      <c r="J996" s="22" t="str">
        <f t="shared" si="124"/>
        <v/>
      </c>
      <c r="K996" s="20" t="str">
        <f t="shared" si="125"/>
        <v/>
      </c>
      <c r="L996" s="20" t="str">
        <f t="shared" si="126"/>
        <v/>
      </c>
      <c r="M996" s="6"/>
      <c r="N996" s="19" t="str">
        <f t="shared" si="127"/>
        <v/>
      </c>
      <c r="O996" s="23" t="str">
        <f>IF(B996="","",TRIM(IF(COUNTIF('Registru comenzi'!$B$5:$B$304,B996)=0,"Comandă inexistentă în registru. ","")&amp;IF(AND(D996&lt;&gt;"",E996=""),"Cod necunoscut. ","")&amp;IF(N(G996)&lt;=0,"Lipsește cantitatea. ","")&amp;IF(N(M996)&gt;N(G996),"Livrat mai mult decât s-a comandat. ","")&amp;IF(N(I996)&gt;0.3,"Discount neobișnuit de mare. ","")))</f>
        <v/>
      </c>
    </row>
    <row r="997" spans="1:15" x14ac:dyDescent="0.2">
      <c r="A997" s="1" t="str">
        <f t="shared" si="120"/>
        <v/>
      </c>
      <c r="B997" s="17"/>
      <c r="C997" s="18" t="str">
        <f>IF(B997="","",COUNTIF(INDEX($B:$B,5):B997,B997))</f>
        <v/>
      </c>
      <c r="D997" s="17"/>
      <c r="E997" s="19" t="str">
        <f t="shared" si="121"/>
        <v/>
      </c>
      <c r="F997" s="18" t="str">
        <f t="shared" si="122"/>
        <v/>
      </c>
      <c r="G997" s="6"/>
      <c r="H997" s="20" t="str">
        <f t="shared" si="123"/>
        <v/>
      </c>
      <c r="I997" s="21"/>
      <c r="J997" s="22" t="str">
        <f t="shared" si="124"/>
        <v/>
      </c>
      <c r="K997" s="20" t="str">
        <f t="shared" si="125"/>
        <v/>
      </c>
      <c r="L997" s="20" t="str">
        <f t="shared" si="126"/>
        <v/>
      </c>
      <c r="M997" s="6"/>
      <c r="N997" s="19" t="str">
        <f t="shared" si="127"/>
        <v/>
      </c>
      <c r="O997" s="23" t="str">
        <f>IF(B997="","",TRIM(IF(COUNTIF('Registru comenzi'!$B$5:$B$304,B997)=0,"Comandă inexistentă în registru. ","")&amp;IF(AND(D997&lt;&gt;"",E997=""),"Cod necunoscut. ","")&amp;IF(N(G997)&lt;=0,"Lipsește cantitatea. ","")&amp;IF(N(M997)&gt;N(G997),"Livrat mai mult decât s-a comandat. ","")&amp;IF(N(I997)&gt;0.3,"Discount neobișnuit de mare. ","")))</f>
        <v/>
      </c>
    </row>
    <row r="998" spans="1:15" x14ac:dyDescent="0.2">
      <c r="A998" s="1" t="str">
        <f t="shared" si="120"/>
        <v/>
      </c>
      <c r="B998" s="17"/>
      <c r="C998" s="18" t="str">
        <f>IF(B998="","",COUNTIF(INDEX($B:$B,5):B998,B998))</f>
        <v/>
      </c>
      <c r="D998" s="17"/>
      <c r="E998" s="19" t="str">
        <f t="shared" si="121"/>
        <v/>
      </c>
      <c r="F998" s="18" t="str">
        <f t="shared" si="122"/>
        <v/>
      </c>
      <c r="G998" s="6"/>
      <c r="H998" s="20" t="str">
        <f t="shared" si="123"/>
        <v/>
      </c>
      <c r="I998" s="21"/>
      <c r="J998" s="22" t="str">
        <f t="shared" si="124"/>
        <v/>
      </c>
      <c r="K998" s="20" t="str">
        <f t="shared" si="125"/>
        <v/>
      </c>
      <c r="L998" s="20" t="str">
        <f t="shared" si="126"/>
        <v/>
      </c>
      <c r="M998" s="6"/>
      <c r="N998" s="19" t="str">
        <f t="shared" si="127"/>
        <v/>
      </c>
      <c r="O998" s="23" t="str">
        <f>IF(B998="","",TRIM(IF(COUNTIF('Registru comenzi'!$B$5:$B$304,B998)=0,"Comandă inexistentă în registru. ","")&amp;IF(AND(D998&lt;&gt;"",E998=""),"Cod necunoscut. ","")&amp;IF(N(G998)&lt;=0,"Lipsește cantitatea. ","")&amp;IF(N(M998)&gt;N(G998),"Livrat mai mult decât s-a comandat. ","")&amp;IF(N(I998)&gt;0.3,"Discount neobișnuit de mare. ","")))</f>
        <v/>
      </c>
    </row>
    <row r="999" spans="1:15" x14ac:dyDescent="0.2">
      <c r="A999" s="1" t="str">
        <f t="shared" si="120"/>
        <v/>
      </c>
      <c r="B999" s="17"/>
      <c r="C999" s="18" t="str">
        <f>IF(B999="","",COUNTIF(INDEX($B:$B,5):B999,B999))</f>
        <v/>
      </c>
      <c r="D999" s="17"/>
      <c r="E999" s="19" t="str">
        <f t="shared" si="121"/>
        <v/>
      </c>
      <c r="F999" s="18" t="str">
        <f t="shared" si="122"/>
        <v/>
      </c>
      <c r="G999" s="6"/>
      <c r="H999" s="20" t="str">
        <f t="shared" si="123"/>
        <v/>
      </c>
      <c r="I999" s="21"/>
      <c r="J999" s="22" t="str">
        <f t="shared" si="124"/>
        <v/>
      </c>
      <c r="K999" s="20" t="str">
        <f t="shared" si="125"/>
        <v/>
      </c>
      <c r="L999" s="20" t="str">
        <f t="shared" si="126"/>
        <v/>
      </c>
      <c r="M999" s="6"/>
      <c r="N999" s="19" t="str">
        <f t="shared" si="127"/>
        <v/>
      </c>
      <c r="O999" s="23" t="str">
        <f>IF(B999="","",TRIM(IF(COUNTIF('Registru comenzi'!$B$5:$B$304,B999)=0,"Comandă inexistentă în registru. ","")&amp;IF(AND(D999&lt;&gt;"",E999=""),"Cod necunoscut. ","")&amp;IF(N(G999)&lt;=0,"Lipsește cantitatea. ","")&amp;IF(N(M999)&gt;N(G999),"Livrat mai mult decât s-a comandat. ","")&amp;IF(N(I999)&gt;0.3,"Discount neobișnuit de mare. ","")))</f>
        <v/>
      </c>
    </row>
    <row r="1000" spans="1:15" x14ac:dyDescent="0.2">
      <c r="A1000" s="1" t="str">
        <f t="shared" si="120"/>
        <v/>
      </c>
      <c r="B1000" s="17"/>
      <c r="C1000" s="18" t="str">
        <f>IF(B1000="","",COUNTIF(INDEX($B:$B,5):B1000,B1000))</f>
        <v/>
      </c>
      <c r="D1000" s="17"/>
      <c r="E1000" s="19" t="str">
        <f t="shared" si="121"/>
        <v/>
      </c>
      <c r="F1000" s="18" t="str">
        <f t="shared" si="122"/>
        <v/>
      </c>
      <c r="G1000" s="6"/>
      <c r="H1000" s="20" t="str">
        <f t="shared" si="123"/>
        <v/>
      </c>
      <c r="I1000" s="21"/>
      <c r="J1000" s="22" t="str">
        <f t="shared" si="124"/>
        <v/>
      </c>
      <c r="K1000" s="20" t="str">
        <f t="shared" si="125"/>
        <v/>
      </c>
      <c r="L1000" s="20" t="str">
        <f t="shared" si="126"/>
        <v/>
      </c>
      <c r="M1000" s="6"/>
      <c r="N1000" s="19" t="str">
        <f t="shared" si="127"/>
        <v/>
      </c>
      <c r="O1000" s="23" t="str">
        <f>IF(B1000="","",TRIM(IF(COUNTIF('Registru comenzi'!$B$5:$B$304,B1000)=0,"Comandă inexistentă în registru. ","")&amp;IF(AND(D1000&lt;&gt;"",E1000=""),"Cod necunoscut. ","")&amp;IF(N(G1000)&lt;=0,"Lipsește cantitatea. ","")&amp;IF(N(M1000)&gt;N(G1000),"Livrat mai mult decât s-a comandat. ","")&amp;IF(N(I1000)&gt;0.3,"Discount neobișnuit de mare. ","")))</f>
        <v/>
      </c>
    </row>
    <row r="1001" spans="1:15" x14ac:dyDescent="0.2">
      <c r="A1001" s="1" t="str">
        <f t="shared" si="120"/>
        <v/>
      </c>
      <c r="B1001" s="17"/>
      <c r="C1001" s="18" t="str">
        <f>IF(B1001="","",COUNTIF(INDEX($B:$B,5):B1001,B1001))</f>
        <v/>
      </c>
      <c r="D1001" s="17"/>
      <c r="E1001" s="19" t="str">
        <f t="shared" si="121"/>
        <v/>
      </c>
      <c r="F1001" s="18" t="str">
        <f t="shared" si="122"/>
        <v/>
      </c>
      <c r="G1001" s="6"/>
      <c r="H1001" s="20" t="str">
        <f t="shared" si="123"/>
        <v/>
      </c>
      <c r="I1001" s="21"/>
      <c r="J1001" s="22" t="str">
        <f t="shared" si="124"/>
        <v/>
      </c>
      <c r="K1001" s="20" t="str">
        <f t="shared" si="125"/>
        <v/>
      </c>
      <c r="L1001" s="20" t="str">
        <f t="shared" si="126"/>
        <v/>
      </c>
      <c r="M1001" s="6"/>
      <c r="N1001" s="19" t="str">
        <f t="shared" si="127"/>
        <v/>
      </c>
      <c r="O1001" s="23" t="str">
        <f>IF(B1001="","",TRIM(IF(COUNTIF('Registru comenzi'!$B$5:$B$304,B1001)=0,"Comandă inexistentă în registru. ","")&amp;IF(AND(D1001&lt;&gt;"",E1001=""),"Cod necunoscut. ","")&amp;IF(N(G1001)&lt;=0,"Lipsește cantitatea. ","")&amp;IF(N(M1001)&gt;N(G1001),"Livrat mai mult decât s-a comandat. ","")&amp;IF(N(I1001)&gt;0.3,"Discount neobișnuit de mare. ","")))</f>
        <v/>
      </c>
    </row>
    <row r="1002" spans="1:15" x14ac:dyDescent="0.2">
      <c r="A1002" s="1" t="str">
        <f t="shared" si="120"/>
        <v/>
      </c>
      <c r="B1002" s="17"/>
      <c r="C1002" s="18" t="str">
        <f>IF(B1002="","",COUNTIF(INDEX($B:$B,5):B1002,B1002))</f>
        <v/>
      </c>
      <c r="D1002" s="17"/>
      <c r="E1002" s="19" t="str">
        <f t="shared" si="121"/>
        <v/>
      </c>
      <c r="F1002" s="18" t="str">
        <f t="shared" si="122"/>
        <v/>
      </c>
      <c r="G1002" s="6"/>
      <c r="H1002" s="20" t="str">
        <f t="shared" si="123"/>
        <v/>
      </c>
      <c r="I1002" s="21"/>
      <c r="J1002" s="22" t="str">
        <f t="shared" si="124"/>
        <v/>
      </c>
      <c r="K1002" s="20" t="str">
        <f t="shared" si="125"/>
        <v/>
      </c>
      <c r="L1002" s="20" t="str">
        <f t="shared" si="126"/>
        <v/>
      </c>
      <c r="M1002" s="6"/>
      <c r="N1002" s="19" t="str">
        <f t="shared" si="127"/>
        <v/>
      </c>
      <c r="O1002" s="23" t="str">
        <f>IF(B1002="","",TRIM(IF(COUNTIF('Registru comenzi'!$B$5:$B$304,B1002)=0,"Comandă inexistentă în registru. ","")&amp;IF(AND(D1002&lt;&gt;"",E1002=""),"Cod necunoscut. ","")&amp;IF(N(G1002)&lt;=0,"Lipsește cantitatea. ","")&amp;IF(N(M1002)&gt;N(G1002),"Livrat mai mult decât s-a comandat. ","")&amp;IF(N(I1002)&gt;0.3,"Discount neobișnuit de mare. ","")))</f>
        <v/>
      </c>
    </row>
    <row r="1003" spans="1:15" x14ac:dyDescent="0.2">
      <c r="A1003" s="1" t="str">
        <f t="shared" si="120"/>
        <v/>
      </c>
      <c r="B1003" s="17"/>
      <c r="C1003" s="18" t="str">
        <f>IF(B1003="","",COUNTIF(INDEX($B:$B,5):B1003,B1003))</f>
        <v/>
      </c>
      <c r="D1003" s="17"/>
      <c r="E1003" s="19" t="str">
        <f t="shared" si="121"/>
        <v/>
      </c>
      <c r="F1003" s="18" t="str">
        <f t="shared" si="122"/>
        <v/>
      </c>
      <c r="G1003" s="6"/>
      <c r="H1003" s="20" t="str">
        <f t="shared" si="123"/>
        <v/>
      </c>
      <c r="I1003" s="21"/>
      <c r="J1003" s="22" t="str">
        <f t="shared" si="124"/>
        <v/>
      </c>
      <c r="K1003" s="20" t="str">
        <f t="shared" si="125"/>
        <v/>
      </c>
      <c r="L1003" s="20" t="str">
        <f t="shared" si="126"/>
        <v/>
      </c>
      <c r="M1003" s="6"/>
      <c r="N1003" s="19" t="str">
        <f t="shared" si="127"/>
        <v/>
      </c>
      <c r="O1003" s="23" t="str">
        <f>IF(B1003="","",TRIM(IF(COUNTIF('Registru comenzi'!$B$5:$B$304,B1003)=0,"Comandă inexistentă în registru. ","")&amp;IF(AND(D1003&lt;&gt;"",E1003=""),"Cod necunoscut. ","")&amp;IF(N(G1003)&lt;=0,"Lipsește cantitatea. ","")&amp;IF(N(M1003)&gt;N(G1003),"Livrat mai mult decât s-a comandat. ","")&amp;IF(N(I1003)&gt;0.3,"Discount neobișnuit de mare. ","")))</f>
        <v/>
      </c>
    </row>
    <row r="1004" spans="1:15" x14ac:dyDescent="0.2">
      <c r="A1004" s="1" t="str">
        <f t="shared" si="120"/>
        <v/>
      </c>
      <c r="B1004" s="17"/>
      <c r="C1004" s="18" t="str">
        <f>IF(B1004="","",COUNTIF(INDEX($B:$B,5):B1004,B1004))</f>
        <v/>
      </c>
      <c r="D1004" s="17"/>
      <c r="E1004" s="19" t="str">
        <f t="shared" si="121"/>
        <v/>
      </c>
      <c r="F1004" s="18" t="str">
        <f t="shared" si="122"/>
        <v/>
      </c>
      <c r="G1004" s="6"/>
      <c r="H1004" s="20" t="str">
        <f t="shared" si="123"/>
        <v/>
      </c>
      <c r="I1004" s="21"/>
      <c r="J1004" s="22" t="str">
        <f t="shared" si="124"/>
        <v/>
      </c>
      <c r="K1004" s="20" t="str">
        <f t="shared" si="125"/>
        <v/>
      </c>
      <c r="L1004" s="20" t="str">
        <f t="shared" si="126"/>
        <v/>
      </c>
      <c r="M1004" s="6"/>
      <c r="N1004" s="19" t="str">
        <f t="shared" si="127"/>
        <v/>
      </c>
      <c r="O1004" s="23" t="str">
        <f>IF(B1004="","",TRIM(IF(COUNTIF('Registru comenzi'!$B$5:$B$304,B1004)=0,"Comandă inexistentă în registru. ","")&amp;IF(AND(D1004&lt;&gt;"",E1004=""),"Cod necunoscut. ","")&amp;IF(N(G1004)&lt;=0,"Lipsește cantitatea. ","")&amp;IF(N(M1004)&gt;N(G1004),"Livrat mai mult decât s-a comandat. ","")&amp;IF(N(I1004)&gt;0.3,"Discount neobișnuit de mare. ","")))</f>
        <v/>
      </c>
    </row>
  </sheetData>
  <conditionalFormatting sqref="N5:N1004">
    <cfRule type="cellIs" dxfId="0" priority="1" stopIfTrue="1" operator="greaterThan">
      <formula>0</formula>
    </cfRule>
  </conditionalFormatting>
  <dataValidations count="1">
    <dataValidation type="list" allowBlank="1" showInputMessage="1" sqref="D5:D1004" xr:uid="{B533D06E-2148-4D9D-92ED-D4BDD074AFB3}">
      <formula1>Coduri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A039-C59C-4383-A33E-6A8B3BC32B27}">
  <dimension ref="B1:F2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8.7109375" style="1" customWidth="1"/>
    <col min="4" max="4" width="7.7109375" style="1" customWidth="1"/>
    <col min="5" max="5" width="14.7109375" style="1" customWidth="1"/>
    <col min="6" max="6" width="9.7109375" style="1" customWidth="1"/>
    <col min="7" max="16384" width="11.42578125" style="1"/>
  </cols>
  <sheetData>
    <row r="1" spans="2:6" ht="21" x14ac:dyDescent="0.35">
      <c r="B1" s="2" t="s">
        <v>22</v>
      </c>
    </row>
    <row r="2" spans="2:6" x14ac:dyDescent="0.2">
      <c r="B2" s="3" t="s">
        <v>23</v>
      </c>
    </row>
    <row r="4" spans="2:6" ht="25.5" x14ac:dyDescent="0.2"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2:6" x14ac:dyDescent="0.2">
      <c r="B5" s="6" t="s">
        <v>29</v>
      </c>
      <c r="C5" s="6" t="s">
        <v>30</v>
      </c>
      <c r="D5" s="6" t="s">
        <v>31</v>
      </c>
      <c r="E5" s="8">
        <v>4.8499999999999996</v>
      </c>
      <c r="F5" s="9">
        <v>0.21</v>
      </c>
    </row>
    <row r="6" spans="2:6" x14ac:dyDescent="0.2">
      <c r="B6" s="6" t="s">
        <v>32</v>
      </c>
      <c r="C6" s="6" t="s">
        <v>33</v>
      </c>
      <c r="D6" s="6" t="s">
        <v>31</v>
      </c>
      <c r="E6" s="8">
        <v>1.9</v>
      </c>
      <c r="F6" s="9">
        <v>0.21</v>
      </c>
    </row>
    <row r="7" spans="2:6" x14ac:dyDescent="0.2">
      <c r="B7" s="6" t="s">
        <v>34</v>
      </c>
      <c r="C7" s="6" t="s">
        <v>35</v>
      </c>
      <c r="D7" s="6" t="s">
        <v>36</v>
      </c>
      <c r="E7" s="8">
        <v>1.2</v>
      </c>
      <c r="F7" s="9">
        <v>0.21</v>
      </c>
    </row>
    <row r="8" spans="2:6" x14ac:dyDescent="0.2">
      <c r="B8" s="6" t="s">
        <v>37</v>
      </c>
      <c r="C8" s="6" t="s">
        <v>38</v>
      </c>
      <c r="D8" s="6" t="s">
        <v>36</v>
      </c>
      <c r="E8" s="8">
        <v>14.5</v>
      </c>
      <c r="F8" s="9">
        <v>0.21</v>
      </c>
    </row>
    <row r="9" spans="2:6" x14ac:dyDescent="0.2">
      <c r="B9" s="6" t="s">
        <v>39</v>
      </c>
      <c r="C9" s="6" t="s">
        <v>40</v>
      </c>
      <c r="D9" s="6" t="s">
        <v>36</v>
      </c>
      <c r="E9" s="8">
        <v>18.899999999999999</v>
      </c>
      <c r="F9" s="9">
        <v>0.21</v>
      </c>
    </row>
    <row r="10" spans="2:6" x14ac:dyDescent="0.2">
      <c r="B10" s="6" t="s">
        <v>41</v>
      </c>
      <c r="C10" s="6" t="s">
        <v>42</v>
      </c>
      <c r="D10" s="6" t="s">
        <v>36</v>
      </c>
      <c r="E10" s="8">
        <v>145</v>
      </c>
      <c r="F10" s="9">
        <v>0.21</v>
      </c>
    </row>
    <row r="11" spans="2:6" x14ac:dyDescent="0.2">
      <c r="B11" s="6" t="s">
        <v>43</v>
      </c>
      <c r="C11" s="6" t="s">
        <v>44</v>
      </c>
      <c r="D11" s="6" t="s">
        <v>36</v>
      </c>
      <c r="E11" s="8">
        <v>22.4</v>
      </c>
      <c r="F11" s="9">
        <v>0.21</v>
      </c>
    </row>
    <row r="12" spans="2:6" x14ac:dyDescent="0.2">
      <c r="B12" s="6" t="s">
        <v>45</v>
      </c>
      <c r="C12" s="6" t="s">
        <v>46</v>
      </c>
      <c r="D12" s="6" t="s">
        <v>36</v>
      </c>
      <c r="E12" s="8">
        <v>89</v>
      </c>
      <c r="F12" s="9">
        <v>0.21</v>
      </c>
    </row>
    <row r="13" spans="2:6" x14ac:dyDescent="0.2">
      <c r="B13" s="6" t="s">
        <v>47</v>
      </c>
      <c r="C13" s="6" t="s">
        <v>48</v>
      </c>
      <c r="D13" s="6" t="s">
        <v>49</v>
      </c>
      <c r="E13" s="8">
        <v>85</v>
      </c>
      <c r="F13" s="9">
        <v>0.21</v>
      </c>
    </row>
    <row r="14" spans="2:6" x14ac:dyDescent="0.2">
      <c r="B14" s="6"/>
      <c r="C14" s="6"/>
      <c r="D14" s="6"/>
      <c r="E14" s="8"/>
      <c r="F14" s="9"/>
    </row>
    <row r="15" spans="2:6" x14ac:dyDescent="0.2">
      <c r="B15" s="6"/>
      <c r="C15" s="6"/>
      <c r="D15" s="6"/>
      <c r="E15" s="8"/>
      <c r="F15" s="9"/>
    </row>
    <row r="16" spans="2:6" x14ac:dyDescent="0.2">
      <c r="B16" s="6"/>
      <c r="C16" s="6"/>
      <c r="D16" s="6"/>
      <c r="E16" s="8"/>
      <c r="F16" s="9"/>
    </row>
    <row r="17" spans="2:6" x14ac:dyDescent="0.2">
      <c r="B17" s="6"/>
      <c r="C17" s="6"/>
      <c r="D17" s="6"/>
      <c r="E17" s="8"/>
      <c r="F17" s="9"/>
    </row>
    <row r="18" spans="2:6" x14ac:dyDescent="0.2">
      <c r="B18" s="6"/>
      <c r="C18" s="6"/>
      <c r="D18" s="6"/>
      <c r="E18" s="8"/>
      <c r="F18" s="9"/>
    </row>
    <row r="19" spans="2:6" x14ac:dyDescent="0.2">
      <c r="B19" s="6"/>
      <c r="C19" s="6"/>
      <c r="D19" s="6"/>
      <c r="E19" s="8"/>
      <c r="F19" s="9"/>
    </row>
    <row r="20" spans="2:6" x14ac:dyDescent="0.2">
      <c r="B20" s="6"/>
      <c r="C20" s="6"/>
      <c r="D20" s="6"/>
      <c r="E20" s="8"/>
      <c r="F20" s="9"/>
    </row>
    <row r="21" spans="2:6" x14ac:dyDescent="0.2">
      <c r="B21" s="6"/>
      <c r="C21" s="6"/>
      <c r="D21" s="6"/>
      <c r="E21" s="8"/>
      <c r="F21" s="9"/>
    </row>
    <row r="22" spans="2:6" x14ac:dyDescent="0.2">
      <c r="B22" s="6"/>
      <c r="C22" s="6"/>
      <c r="D22" s="6"/>
      <c r="E22" s="8"/>
      <c r="F22" s="9"/>
    </row>
    <row r="23" spans="2:6" x14ac:dyDescent="0.2">
      <c r="B23" s="6"/>
      <c r="C23" s="6"/>
      <c r="D23" s="6"/>
      <c r="E23" s="8"/>
      <c r="F23" s="9"/>
    </row>
    <row r="24" spans="2:6" x14ac:dyDescent="0.2">
      <c r="B24" s="6"/>
      <c r="C24" s="6"/>
      <c r="D24" s="6"/>
      <c r="E24" s="8"/>
      <c r="F24" s="9"/>
    </row>
    <row r="25" spans="2:6" x14ac:dyDescent="0.2">
      <c r="B25" s="6"/>
      <c r="C25" s="6"/>
      <c r="D25" s="6"/>
      <c r="E25" s="8"/>
      <c r="F25" s="9"/>
    </row>
    <row r="26" spans="2:6" x14ac:dyDescent="0.2">
      <c r="B26" s="6"/>
      <c r="C26" s="6"/>
      <c r="D26" s="6"/>
      <c r="E26" s="8"/>
      <c r="F26" s="9"/>
    </row>
    <row r="27" spans="2:6" x14ac:dyDescent="0.2">
      <c r="B27" s="6"/>
      <c r="C27" s="6"/>
      <c r="D27" s="6"/>
      <c r="E27" s="8"/>
      <c r="F27" s="9"/>
    </row>
    <row r="28" spans="2:6" x14ac:dyDescent="0.2">
      <c r="B28" s="6"/>
      <c r="C28" s="6"/>
      <c r="D28" s="6"/>
      <c r="E28" s="8"/>
      <c r="F28" s="9"/>
    </row>
    <row r="29" spans="2:6" x14ac:dyDescent="0.2">
      <c r="B29" s="6"/>
      <c r="C29" s="6"/>
      <c r="D29" s="6"/>
      <c r="E29" s="8"/>
      <c r="F29" s="9"/>
    </row>
    <row r="30" spans="2:6" x14ac:dyDescent="0.2">
      <c r="B30" s="6"/>
      <c r="C30" s="6"/>
      <c r="D30" s="6"/>
      <c r="E30" s="8"/>
      <c r="F30" s="9"/>
    </row>
    <row r="31" spans="2:6" x14ac:dyDescent="0.2">
      <c r="B31" s="6"/>
      <c r="C31" s="6"/>
      <c r="D31" s="6"/>
      <c r="E31" s="8"/>
      <c r="F31" s="9"/>
    </row>
    <row r="32" spans="2:6" x14ac:dyDescent="0.2">
      <c r="B32" s="6"/>
      <c r="C32" s="6"/>
      <c r="D32" s="6"/>
      <c r="E32" s="8"/>
      <c r="F32" s="9"/>
    </row>
    <row r="33" spans="2:6" x14ac:dyDescent="0.2">
      <c r="B33" s="6"/>
      <c r="C33" s="6"/>
      <c r="D33" s="6"/>
      <c r="E33" s="8"/>
      <c r="F33" s="9"/>
    </row>
    <row r="34" spans="2:6" x14ac:dyDescent="0.2">
      <c r="B34" s="6"/>
      <c r="C34" s="6"/>
      <c r="D34" s="6"/>
      <c r="E34" s="8"/>
      <c r="F34" s="9"/>
    </row>
    <row r="35" spans="2:6" x14ac:dyDescent="0.2">
      <c r="B35" s="6"/>
      <c r="C35" s="6"/>
      <c r="D35" s="6"/>
      <c r="E35" s="8"/>
      <c r="F35" s="9"/>
    </row>
    <row r="36" spans="2:6" x14ac:dyDescent="0.2">
      <c r="B36" s="6"/>
      <c r="C36" s="6"/>
      <c r="D36" s="6"/>
      <c r="E36" s="8"/>
      <c r="F36" s="9"/>
    </row>
    <row r="37" spans="2:6" x14ac:dyDescent="0.2">
      <c r="B37" s="6"/>
      <c r="C37" s="6"/>
      <c r="D37" s="6"/>
      <c r="E37" s="8"/>
      <c r="F37" s="9"/>
    </row>
    <row r="38" spans="2:6" x14ac:dyDescent="0.2">
      <c r="B38" s="6"/>
      <c r="C38" s="6"/>
      <c r="D38" s="6"/>
      <c r="E38" s="8"/>
      <c r="F38" s="9"/>
    </row>
    <row r="39" spans="2:6" x14ac:dyDescent="0.2">
      <c r="B39" s="6"/>
      <c r="C39" s="6"/>
      <c r="D39" s="6"/>
      <c r="E39" s="8"/>
      <c r="F39" s="9"/>
    </row>
    <row r="40" spans="2:6" x14ac:dyDescent="0.2">
      <c r="B40" s="6"/>
      <c r="C40" s="6"/>
      <c r="D40" s="6"/>
      <c r="E40" s="8"/>
      <c r="F40" s="9"/>
    </row>
    <row r="41" spans="2:6" x14ac:dyDescent="0.2">
      <c r="B41" s="6"/>
      <c r="C41" s="6"/>
      <c r="D41" s="6"/>
      <c r="E41" s="8"/>
      <c r="F41" s="9"/>
    </row>
    <row r="42" spans="2:6" x14ac:dyDescent="0.2">
      <c r="B42" s="6"/>
      <c r="C42" s="6"/>
      <c r="D42" s="6"/>
      <c r="E42" s="8"/>
      <c r="F42" s="9"/>
    </row>
    <row r="43" spans="2:6" x14ac:dyDescent="0.2">
      <c r="B43" s="6"/>
      <c r="C43" s="6"/>
      <c r="D43" s="6"/>
      <c r="E43" s="8"/>
      <c r="F43" s="9"/>
    </row>
    <row r="44" spans="2:6" x14ac:dyDescent="0.2">
      <c r="B44" s="6"/>
      <c r="C44" s="6"/>
      <c r="D44" s="6"/>
      <c r="E44" s="8"/>
      <c r="F44" s="9"/>
    </row>
    <row r="45" spans="2:6" x14ac:dyDescent="0.2">
      <c r="B45" s="6"/>
      <c r="C45" s="6"/>
      <c r="D45" s="6"/>
      <c r="E45" s="8"/>
      <c r="F45" s="9"/>
    </row>
    <row r="46" spans="2:6" x14ac:dyDescent="0.2">
      <c r="B46" s="6"/>
      <c r="C46" s="6"/>
      <c r="D46" s="6"/>
      <c r="E46" s="8"/>
      <c r="F46" s="9"/>
    </row>
    <row r="47" spans="2:6" x14ac:dyDescent="0.2">
      <c r="B47" s="6"/>
      <c r="C47" s="6"/>
      <c r="D47" s="6"/>
      <c r="E47" s="8"/>
      <c r="F47" s="9"/>
    </row>
    <row r="48" spans="2:6" x14ac:dyDescent="0.2">
      <c r="B48" s="6"/>
      <c r="C48" s="6"/>
      <c r="D48" s="6"/>
      <c r="E48" s="8"/>
      <c r="F48" s="9"/>
    </row>
    <row r="49" spans="2:6" x14ac:dyDescent="0.2">
      <c r="B49" s="6"/>
      <c r="C49" s="6"/>
      <c r="D49" s="6"/>
      <c r="E49" s="8"/>
      <c r="F49" s="9"/>
    </row>
    <row r="50" spans="2:6" x14ac:dyDescent="0.2">
      <c r="B50" s="6"/>
      <c r="C50" s="6"/>
      <c r="D50" s="6"/>
      <c r="E50" s="8"/>
      <c r="F50" s="9"/>
    </row>
    <row r="51" spans="2:6" x14ac:dyDescent="0.2">
      <c r="B51" s="6"/>
      <c r="C51" s="6"/>
      <c r="D51" s="6"/>
      <c r="E51" s="8"/>
      <c r="F51" s="9"/>
    </row>
    <row r="52" spans="2:6" x14ac:dyDescent="0.2">
      <c r="B52" s="6"/>
      <c r="C52" s="6"/>
      <c r="D52" s="6"/>
      <c r="E52" s="8"/>
      <c r="F52" s="9"/>
    </row>
    <row r="53" spans="2:6" x14ac:dyDescent="0.2">
      <c r="B53" s="6"/>
      <c r="C53" s="6"/>
      <c r="D53" s="6"/>
      <c r="E53" s="8"/>
      <c r="F53" s="9"/>
    </row>
    <row r="54" spans="2:6" x14ac:dyDescent="0.2">
      <c r="B54" s="6"/>
      <c r="C54" s="6"/>
      <c r="D54" s="6"/>
      <c r="E54" s="8"/>
      <c r="F54" s="9"/>
    </row>
    <row r="55" spans="2:6" x14ac:dyDescent="0.2">
      <c r="B55" s="6"/>
      <c r="C55" s="6"/>
      <c r="D55" s="6"/>
      <c r="E55" s="8"/>
      <c r="F55" s="9"/>
    </row>
    <row r="56" spans="2:6" x14ac:dyDescent="0.2">
      <c r="B56" s="6"/>
      <c r="C56" s="6"/>
      <c r="D56" s="6"/>
      <c r="E56" s="8"/>
      <c r="F56" s="9"/>
    </row>
    <row r="57" spans="2:6" x14ac:dyDescent="0.2">
      <c r="B57" s="6"/>
      <c r="C57" s="6"/>
      <c r="D57" s="6"/>
      <c r="E57" s="8"/>
      <c r="F57" s="9"/>
    </row>
    <row r="58" spans="2:6" x14ac:dyDescent="0.2">
      <c r="B58" s="6"/>
      <c r="C58" s="6"/>
      <c r="D58" s="6"/>
      <c r="E58" s="8"/>
      <c r="F58" s="9"/>
    </row>
    <row r="59" spans="2:6" x14ac:dyDescent="0.2">
      <c r="B59" s="6"/>
      <c r="C59" s="6"/>
      <c r="D59" s="6"/>
      <c r="E59" s="8"/>
      <c r="F59" s="9"/>
    </row>
    <row r="60" spans="2:6" x14ac:dyDescent="0.2">
      <c r="B60" s="6"/>
      <c r="C60" s="6"/>
      <c r="D60" s="6"/>
      <c r="E60" s="8"/>
      <c r="F60" s="9"/>
    </row>
    <row r="61" spans="2:6" x14ac:dyDescent="0.2">
      <c r="B61" s="6"/>
      <c r="C61" s="6"/>
      <c r="D61" s="6"/>
      <c r="E61" s="8"/>
      <c r="F61" s="9"/>
    </row>
    <row r="62" spans="2:6" x14ac:dyDescent="0.2">
      <c r="B62" s="6"/>
      <c r="C62" s="6"/>
      <c r="D62" s="6"/>
      <c r="E62" s="8"/>
      <c r="F62" s="9"/>
    </row>
    <row r="63" spans="2:6" x14ac:dyDescent="0.2">
      <c r="B63" s="6"/>
      <c r="C63" s="6"/>
      <c r="D63" s="6"/>
      <c r="E63" s="8"/>
      <c r="F63" s="9"/>
    </row>
    <row r="64" spans="2:6" x14ac:dyDescent="0.2">
      <c r="B64" s="6"/>
      <c r="C64" s="6"/>
      <c r="D64" s="6"/>
      <c r="E64" s="8"/>
      <c r="F64" s="9"/>
    </row>
    <row r="65" spans="2:6" x14ac:dyDescent="0.2">
      <c r="B65" s="6"/>
      <c r="C65" s="6"/>
      <c r="D65" s="6"/>
      <c r="E65" s="8"/>
      <c r="F65" s="9"/>
    </row>
    <row r="66" spans="2:6" x14ac:dyDescent="0.2">
      <c r="B66" s="6"/>
      <c r="C66" s="6"/>
      <c r="D66" s="6"/>
      <c r="E66" s="8"/>
      <c r="F66" s="9"/>
    </row>
    <row r="67" spans="2:6" x14ac:dyDescent="0.2">
      <c r="B67" s="6"/>
      <c r="C67" s="6"/>
      <c r="D67" s="6"/>
      <c r="E67" s="8"/>
      <c r="F67" s="9"/>
    </row>
    <row r="68" spans="2:6" x14ac:dyDescent="0.2">
      <c r="B68" s="6"/>
      <c r="C68" s="6"/>
      <c r="D68" s="6"/>
      <c r="E68" s="8"/>
      <c r="F68" s="9"/>
    </row>
    <row r="69" spans="2:6" x14ac:dyDescent="0.2">
      <c r="B69" s="6"/>
      <c r="C69" s="6"/>
      <c r="D69" s="6"/>
      <c r="E69" s="8"/>
      <c r="F69" s="9"/>
    </row>
    <row r="70" spans="2:6" x14ac:dyDescent="0.2">
      <c r="B70" s="6"/>
      <c r="C70" s="6"/>
      <c r="D70" s="6"/>
      <c r="E70" s="8"/>
      <c r="F70" s="9"/>
    </row>
    <row r="71" spans="2:6" x14ac:dyDescent="0.2">
      <c r="B71" s="6"/>
      <c r="C71" s="6"/>
      <c r="D71" s="6"/>
      <c r="E71" s="8"/>
      <c r="F71" s="9"/>
    </row>
    <row r="72" spans="2:6" x14ac:dyDescent="0.2">
      <c r="B72" s="6"/>
      <c r="C72" s="6"/>
      <c r="D72" s="6"/>
      <c r="E72" s="8"/>
      <c r="F72" s="9"/>
    </row>
    <row r="73" spans="2:6" x14ac:dyDescent="0.2">
      <c r="B73" s="6"/>
      <c r="C73" s="6"/>
      <c r="D73" s="6"/>
      <c r="E73" s="8"/>
      <c r="F73" s="9"/>
    </row>
    <row r="74" spans="2:6" x14ac:dyDescent="0.2">
      <c r="B74" s="6"/>
      <c r="C74" s="6"/>
      <c r="D74" s="6"/>
      <c r="E74" s="8"/>
      <c r="F74" s="9"/>
    </row>
    <row r="75" spans="2:6" x14ac:dyDescent="0.2">
      <c r="B75" s="6"/>
      <c r="C75" s="6"/>
      <c r="D75" s="6"/>
      <c r="E75" s="8"/>
      <c r="F75" s="9"/>
    </row>
    <row r="76" spans="2:6" x14ac:dyDescent="0.2">
      <c r="B76" s="6"/>
      <c r="C76" s="6"/>
      <c r="D76" s="6"/>
      <c r="E76" s="8"/>
      <c r="F76" s="9"/>
    </row>
    <row r="77" spans="2:6" x14ac:dyDescent="0.2">
      <c r="B77" s="6"/>
      <c r="C77" s="6"/>
      <c r="D77" s="6"/>
      <c r="E77" s="8"/>
      <c r="F77" s="9"/>
    </row>
    <row r="78" spans="2:6" x14ac:dyDescent="0.2">
      <c r="B78" s="6"/>
      <c r="C78" s="6"/>
      <c r="D78" s="6"/>
      <c r="E78" s="8"/>
      <c r="F78" s="9"/>
    </row>
    <row r="79" spans="2:6" x14ac:dyDescent="0.2">
      <c r="B79" s="6"/>
      <c r="C79" s="6"/>
      <c r="D79" s="6"/>
      <c r="E79" s="8"/>
      <c r="F79" s="9"/>
    </row>
    <row r="80" spans="2:6" x14ac:dyDescent="0.2">
      <c r="B80" s="6"/>
      <c r="C80" s="6"/>
      <c r="D80" s="6"/>
      <c r="E80" s="8"/>
      <c r="F80" s="9"/>
    </row>
    <row r="81" spans="2:6" x14ac:dyDescent="0.2">
      <c r="B81" s="6"/>
      <c r="C81" s="6"/>
      <c r="D81" s="6"/>
      <c r="E81" s="8"/>
      <c r="F81" s="9"/>
    </row>
    <row r="82" spans="2:6" x14ac:dyDescent="0.2">
      <c r="B82" s="6"/>
      <c r="C82" s="6"/>
      <c r="D82" s="6"/>
      <c r="E82" s="8"/>
      <c r="F82" s="9"/>
    </row>
    <row r="83" spans="2:6" x14ac:dyDescent="0.2">
      <c r="B83" s="6"/>
      <c r="C83" s="6"/>
      <c r="D83" s="6"/>
      <c r="E83" s="8"/>
      <c r="F83" s="9"/>
    </row>
    <row r="84" spans="2:6" x14ac:dyDescent="0.2">
      <c r="B84" s="6"/>
      <c r="C84" s="6"/>
      <c r="D84" s="6"/>
      <c r="E84" s="8"/>
      <c r="F84" s="9"/>
    </row>
    <row r="85" spans="2:6" x14ac:dyDescent="0.2">
      <c r="B85" s="6"/>
      <c r="C85" s="6"/>
      <c r="D85" s="6"/>
      <c r="E85" s="8"/>
      <c r="F85" s="9"/>
    </row>
    <row r="86" spans="2:6" x14ac:dyDescent="0.2">
      <c r="B86" s="6"/>
      <c r="C86" s="6"/>
      <c r="D86" s="6"/>
      <c r="E86" s="8"/>
      <c r="F86" s="9"/>
    </row>
    <row r="87" spans="2:6" x14ac:dyDescent="0.2">
      <c r="B87" s="6"/>
      <c r="C87" s="6"/>
      <c r="D87" s="6"/>
      <c r="E87" s="8"/>
      <c r="F87" s="9"/>
    </row>
    <row r="88" spans="2:6" x14ac:dyDescent="0.2">
      <c r="B88" s="6"/>
      <c r="C88" s="6"/>
      <c r="D88" s="6"/>
      <c r="E88" s="8"/>
      <c r="F88" s="9"/>
    </row>
    <row r="89" spans="2:6" x14ac:dyDescent="0.2">
      <c r="B89" s="6"/>
      <c r="C89" s="6"/>
      <c r="D89" s="6"/>
      <c r="E89" s="8"/>
      <c r="F89" s="9"/>
    </row>
    <row r="90" spans="2:6" x14ac:dyDescent="0.2">
      <c r="B90" s="6"/>
      <c r="C90" s="6"/>
      <c r="D90" s="6"/>
      <c r="E90" s="8"/>
      <c r="F90" s="9"/>
    </row>
    <row r="91" spans="2:6" x14ac:dyDescent="0.2">
      <c r="B91" s="6"/>
      <c r="C91" s="6"/>
      <c r="D91" s="6"/>
      <c r="E91" s="8"/>
      <c r="F91" s="9"/>
    </row>
    <row r="92" spans="2:6" x14ac:dyDescent="0.2">
      <c r="B92" s="6"/>
      <c r="C92" s="6"/>
      <c r="D92" s="6"/>
      <c r="E92" s="8"/>
      <c r="F92" s="9"/>
    </row>
    <row r="93" spans="2:6" x14ac:dyDescent="0.2">
      <c r="B93" s="6"/>
      <c r="C93" s="6"/>
      <c r="D93" s="6"/>
      <c r="E93" s="8"/>
      <c r="F93" s="9"/>
    </row>
    <row r="94" spans="2:6" x14ac:dyDescent="0.2">
      <c r="B94" s="6"/>
      <c r="C94" s="6"/>
      <c r="D94" s="6"/>
      <c r="E94" s="8"/>
      <c r="F94" s="9"/>
    </row>
    <row r="95" spans="2:6" x14ac:dyDescent="0.2">
      <c r="B95" s="6"/>
      <c r="C95" s="6"/>
      <c r="D95" s="6"/>
      <c r="E95" s="8"/>
      <c r="F95" s="9"/>
    </row>
    <row r="96" spans="2:6" x14ac:dyDescent="0.2">
      <c r="B96" s="6"/>
      <c r="C96" s="6"/>
      <c r="D96" s="6"/>
      <c r="E96" s="8"/>
      <c r="F96" s="9"/>
    </row>
    <row r="97" spans="2:6" x14ac:dyDescent="0.2">
      <c r="B97" s="6"/>
      <c r="C97" s="6"/>
      <c r="D97" s="6"/>
      <c r="E97" s="8"/>
      <c r="F97" s="9"/>
    </row>
    <row r="98" spans="2:6" x14ac:dyDescent="0.2">
      <c r="B98" s="6"/>
      <c r="C98" s="6"/>
      <c r="D98" s="6"/>
      <c r="E98" s="8"/>
      <c r="F98" s="9"/>
    </row>
    <row r="99" spans="2:6" x14ac:dyDescent="0.2">
      <c r="B99" s="6"/>
      <c r="C99" s="6"/>
      <c r="D99" s="6"/>
      <c r="E99" s="8"/>
      <c r="F99" s="9"/>
    </row>
    <row r="100" spans="2:6" x14ac:dyDescent="0.2">
      <c r="B100" s="6"/>
      <c r="C100" s="6"/>
      <c r="D100" s="6"/>
      <c r="E100" s="8"/>
      <c r="F100" s="9"/>
    </row>
    <row r="101" spans="2:6" x14ac:dyDescent="0.2">
      <c r="B101" s="6"/>
      <c r="C101" s="6"/>
      <c r="D101" s="6"/>
      <c r="E101" s="8"/>
      <c r="F101" s="9"/>
    </row>
    <row r="102" spans="2:6" x14ac:dyDescent="0.2">
      <c r="B102" s="6"/>
      <c r="C102" s="6"/>
      <c r="D102" s="6"/>
      <c r="E102" s="8"/>
      <c r="F102" s="9"/>
    </row>
    <row r="103" spans="2:6" x14ac:dyDescent="0.2">
      <c r="B103" s="6"/>
      <c r="C103" s="6"/>
      <c r="D103" s="6"/>
      <c r="E103" s="8"/>
      <c r="F103" s="9"/>
    </row>
    <row r="104" spans="2:6" x14ac:dyDescent="0.2">
      <c r="B104" s="6"/>
      <c r="C104" s="6"/>
      <c r="D104" s="6"/>
      <c r="E104" s="8"/>
      <c r="F104" s="9"/>
    </row>
    <row r="105" spans="2:6" x14ac:dyDescent="0.2">
      <c r="B105" s="6"/>
      <c r="C105" s="6"/>
      <c r="D105" s="6"/>
      <c r="E105" s="8"/>
      <c r="F105" s="9"/>
    </row>
    <row r="106" spans="2:6" x14ac:dyDescent="0.2">
      <c r="B106" s="6"/>
      <c r="C106" s="6"/>
      <c r="D106" s="6"/>
      <c r="E106" s="8"/>
      <c r="F106" s="9"/>
    </row>
    <row r="107" spans="2:6" x14ac:dyDescent="0.2">
      <c r="B107" s="6"/>
      <c r="C107" s="6"/>
      <c r="D107" s="6"/>
      <c r="E107" s="8"/>
      <c r="F107" s="9"/>
    </row>
    <row r="108" spans="2:6" x14ac:dyDescent="0.2">
      <c r="B108" s="6"/>
      <c r="C108" s="6"/>
      <c r="D108" s="6"/>
      <c r="E108" s="8"/>
      <c r="F108" s="9"/>
    </row>
    <row r="109" spans="2:6" x14ac:dyDescent="0.2">
      <c r="B109" s="6"/>
      <c r="C109" s="6"/>
      <c r="D109" s="6"/>
      <c r="E109" s="8"/>
      <c r="F109" s="9"/>
    </row>
    <row r="110" spans="2:6" x14ac:dyDescent="0.2">
      <c r="B110" s="6"/>
      <c r="C110" s="6"/>
      <c r="D110" s="6"/>
      <c r="E110" s="8"/>
      <c r="F110" s="9"/>
    </row>
    <row r="111" spans="2:6" x14ac:dyDescent="0.2">
      <c r="B111" s="6"/>
      <c r="C111" s="6"/>
      <c r="D111" s="6"/>
      <c r="E111" s="8"/>
      <c r="F111" s="9"/>
    </row>
    <row r="112" spans="2:6" x14ac:dyDescent="0.2">
      <c r="B112" s="6"/>
      <c r="C112" s="6"/>
      <c r="D112" s="6"/>
      <c r="E112" s="8"/>
      <c r="F112" s="9"/>
    </row>
    <row r="113" spans="2:6" x14ac:dyDescent="0.2">
      <c r="B113" s="6"/>
      <c r="C113" s="6"/>
      <c r="D113" s="6"/>
      <c r="E113" s="8"/>
      <c r="F113" s="9"/>
    </row>
    <row r="114" spans="2:6" x14ac:dyDescent="0.2">
      <c r="B114" s="6"/>
      <c r="C114" s="6"/>
      <c r="D114" s="6"/>
      <c r="E114" s="8"/>
      <c r="F114" s="9"/>
    </row>
    <row r="115" spans="2:6" x14ac:dyDescent="0.2">
      <c r="B115" s="6"/>
      <c r="C115" s="6"/>
      <c r="D115" s="6"/>
      <c r="E115" s="8"/>
      <c r="F115" s="9"/>
    </row>
    <row r="116" spans="2:6" x14ac:dyDescent="0.2">
      <c r="B116" s="6"/>
      <c r="C116" s="6"/>
      <c r="D116" s="6"/>
      <c r="E116" s="8"/>
      <c r="F116" s="9"/>
    </row>
    <row r="117" spans="2:6" x14ac:dyDescent="0.2">
      <c r="B117" s="6"/>
      <c r="C117" s="6"/>
      <c r="D117" s="6"/>
      <c r="E117" s="8"/>
      <c r="F117" s="9"/>
    </row>
    <row r="118" spans="2:6" x14ac:dyDescent="0.2">
      <c r="B118" s="6"/>
      <c r="C118" s="6"/>
      <c r="D118" s="6"/>
      <c r="E118" s="8"/>
      <c r="F118" s="9"/>
    </row>
    <row r="119" spans="2:6" x14ac:dyDescent="0.2">
      <c r="B119" s="6"/>
      <c r="C119" s="6"/>
      <c r="D119" s="6"/>
      <c r="E119" s="8"/>
      <c r="F119" s="9"/>
    </row>
    <row r="120" spans="2:6" x14ac:dyDescent="0.2">
      <c r="B120" s="6"/>
      <c r="C120" s="6"/>
      <c r="D120" s="6"/>
      <c r="E120" s="8"/>
      <c r="F120" s="9"/>
    </row>
    <row r="121" spans="2:6" x14ac:dyDescent="0.2">
      <c r="B121" s="6"/>
      <c r="C121" s="6"/>
      <c r="D121" s="6"/>
      <c r="E121" s="8"/>
      <c r="F121" s="9"/>
    </row>
    <row r="122" spans="2:6" x14ac:dyDescent="0.2">
      <c r="B122" s="6"/>
      <c r="C122" s="6"/>
      <c r="D122" s="6"/>
      <c r="E122" s="8"/>
      <c r="F122" s="9"/>
    </row>
    <row r="123" spans="2:6" x14ac:dyDescent="0.2">
      <c r="B123" s="6"/>
      <c r="C123" s="6"/>
      <c r="D123" s="6"/>
      <c r="E123" s="8"/>
      <c r="F123" s="9"/>
    </row>
    <row r="124" spans="2:6" x14ac:dyDescent="0.2">
      <c r="B124" s="6"/>
      <c r="C124" s="6"/>
      <c r="D124" s="6"/>
      <c r="E124" s="8"/>
      <c r="F124" s="9"/>
    </row>
    <row r="125" spans="2:6" x14ac:dyDescent="0.2">
      <c r="B125" s="6"/>
      <c r="C125" s="6"/>
      <c r="D125" s="6"/>
      <c r="E125" s="8"/>
      <c r="F125" s="9"/>
    </row>
    <row r="126" spans="2:6" x14ac:dyDescent="0.2">
      <c r="B126" s="6"/>
      <c r="C126" s="6"/>
      <c r="D126" s="6"/>
      <c r="E126" s="8"/>
      <c r="F126" s="9"/>
    </row>
    <row r="127" spans="2:6" x14ac:dyDescent="0.2">
      <c r="B127" s="6"/>
      <c r="C127" s="6"/>
      <c r="D127" s="6"/>
      <c r="E127" s="8"/>
      <c r="F127" s="9"/>
    </row>
    <row r="128" spans="2:6" x14ac:dyDescent="0.2">
      <c r="B128" s="6"/>
      <c r="C128" s="6"/>
      <c r="D128" s="6"/>
      <c r="E128" s="8"/>
      <c r="F128" s="9"/>
    </row>
    <row r="129" spans="2:6" x14ac:dyDescent="0.2">
      <c r="B129" s="6"/>
      <c r="C129" s="6"/>
      <c r="D129" s="6"/>
      <c r="E129" s="8"/>
      <c r="F129" s="9"/>
    </row>
    <row r="130" spans="2:6" x14ac:dyDescent="0.2">
      <c r="B130" s="6"/>
      <c r="C130" s="6"/>
      <c r="D130" s="6"/>
      <c r="E130" s="8"/>
      <c r="F130" s="9"/>
    </row>
    <row r="131" spans="2:6" x14ac:dyDescent="0.2">
      <c r="B131" s="6"/>
      <c r="C131" s="6"/>
      <c r="D131" s="6"/>
      <c r="E131" s="8"/>
      <c r="F131" s="9"/>
    </row>
    <row r="132" spans="2:6" x14ac:dyDescent="0.2">
      <c r="B132" s="6"/>
      <c r="C132" s="6"/>
      <c r="D132" s="6"/>
      <c r="E132" s="8"/>
      <c r="F132" s="9"/>
    </row>
    <row r="133" spans="2:6" x14ac:dyDescent="0.2">
      <c r="B133" s="6"/>
      <c r="C133" s="6"/>
      <c r="D133" s="6"/>
      <c r="E133" s="8"/>
      <c r="F133" s="9"/>
    </row>
    <row r="134" spans="2:6" x14ac:dyDescent="0.2">
      <c r="B134" s="6"/>
      <c r="C134" s="6"/>
      <c r="D134" s="6"/>
      <c r="E134" s="8"/>
      <c r="F134" s="9"/>
    </row>
    <row r="135" spans="2:6" x14ac:dyDescent="0.2">
      <c r="B135" s="6"/>
      <c r="C135" s="6"/>
      <c r="D135" s="6"/>
      <c r="E135" s="8"/>
      <c r="F135" s="9"/>
    </row>
    <row r="136" spans="2:6" x14ac:dyDescent="0.2">
      <c r="B136" s="6"/>
      <c r="C136" s="6"/>
      <c r="D136" s="6"/>
      <c r="E136" s="8"/>
      <c r="F136" s="9"/>
    </row>
    <row r="137" spans="2:6" x14ac:dyDescent="0.2">
      <c r="B137" s="6"/>
      <c r="C137" s="6"/>
      <c r="D137" s="6"/>
      <c r="E137" s="8"/>
      <c r="F137" s="9"/>
    </row>
    <row r="138" spans="2:6" x14ac:dyDescent="0.2">
      <c r="B138" s="6"/>
      <c r="C138" s="6"/>
      <c r="D138" s="6"/>
      <c r="E138" s="8"/>
      <c r="F138" s="9"/>
    </row>
    <row r="139" spans="2:6" x14ac:dyDescent="0.2">
      <c r="B139" s="6"/>
      <c r="C139" s="6"/>
      <c r="D139" s="6"/>
      <c r="E139" s="8"/>
      <c r="F139" s="9"/>
    </row>
    <row r="140" spans="2:6" x14ac:dyDescent="0.2">
      <c r="B140" s="6"/>
      <c r="C140" s="6"/>
      <c r="D140" s="6"/>
      <c r="E140" s="8"/>
      <c r="F140" s="9"/>
    </row>
    <row r="141" spans="2:6" x14ac:dyDescent="0.2">
      <c r="B141" s="6"/>
      <c r="C141" s="6"/>
      <c r="D141" s="6"/>
      <c r="E141" s="8"/>
      <c r="F141" s="9"/>
    </row>
    <row r="142" spans="2:6" x14ac:dyDescent="0.2">
      <c r="B142" s="6"/>
      <c r="C142" s="6"/>
      <c r="D142" s="6"/>
      <c r="E142" s="8"/>
      <c r="F142" s="9"/>
    </row>
    <row r="143" spans="2:6" x14ac:dyDescent="0.2">
      <c r="B143" s="6"/>
      <c r="C143" s="6"/>
      <c r="D143" s="6"/>
      <c r="E143" s="8"/>
      <c r="F143" s="9"/>
    </row>
    <row r="144" spans="2:6" x14ac:dyDescent="0.2">
      <c r="B144" s="6"/>
      <c r="C144" s="6"/>
      <c r="D144" s="6"/>
      <c r="E144" s="8"/>
      <c r="F144" s="9"/>
    </row>
    <row r="145" spans="2:6" x14ac:dyDescent="0.2">
      <c r="B145" s="6"/>
      <c r="C145" s="6"/>
      <c r="D145" s="6"/>
      <c r="E145" s="8"/>
      <c r="F145" s="9"/>
    </row>
    <row r="146" spans="2:6" x14ac:dyDescent="0.2">
      <c r="B146" s="6"/>
      <c r="C146" s="6"/>
      <c r="D146" s="6"/>
      <c r="E146" s="8"/>
      <c r="F146" s="9"/>
    </row>
    <row r="147" spans="2:6" x14ac:dyDescent="0.2">
      <c r="B147" s="6"/>
      <c r="C147" s="6"/>
      <c r="D147" s="6"/>
      <c r="E147" s="8"/>
      <c r="F147" s="9"/>
    </row>
    <row r="148" spans="2:6" x14ac:dyDescent="0.2">
      <c r="B148" s="6"/>
      <c r="C148" s="6"/>
      <c r="D148" s="6"/>
      <c r="E148" s="8"/>
      <c r="F148" s="9"/>
    </row>
    <row r="149" spans="2:6" x14ac:dyDescent="0.2">
      <c r="B149" s="6"/>
      <c r="C149" s="6"/>
      <c r="D149" s="6"/>
      <c r="E149" s="8"/>
      <c r="F149" s="9"/>
    </row>
    <row r="150" spans="2:6" x14ac:dyDescent="0.2">
      <c r="B150" s="6"/>
      <c r="C150" s="6"/>
      <c r="D150" s="6"/>
      <c r="E150" s="8"/>
      <c r="F150" s="9"/>
    </row>
    <row r="151" spans="2:6" x14ac:dyDescent="0.2">
      <c r="B151" s="6"/>
      <c r="C151" s="6"/>
      <c r="D151" s="6"/>
      <c r="E151" s="8"/>
      <c r="F151" s="9"/>
    </row>
    <row r="152" spans="2:6" x14ac:dyDescent="0.2">
      <c r="B152" s="6"/>
      <c r="C152" s="6"/>
      <c r="D152" s="6"/>
      <c r="E152" s="8"/>
      <c r="F152" s="9"/>
    </row>
    <row r="153" spans="2:6" x14ac:dyDescent="0.2">
      <c r="B153" s="6"/>
      <c r="C153" s="6"/>
      <c r="D153" s="6"/>
      <c r="E153" s="8"/>
      <c r="F153" s="9"/>
    </row>
    <row r="154" spans="2:6" x14ac:dyDescent="0.2">
      <c r="B154" s="6"/>
      <c r="C154" s="6"/>
      <c r="D154" s="6"/>
      <c r="E154" s="8"/>
      <c r="F154" s="9"/>
    </row>
    <row r="155" spans="2:6" x14ac:dyDescent="0.2">
      <c r="B155" s="6"/>
      <c r="C155" s="6"/>
      <c r="D155" s="6"/>
      <c r="E155" s="8"/>
      <c r="F155" s="9"/>
    </row>
    <row r="156" spans="2:6" x14ac:dyDescent="0.2">
      <c r="B156" s="6"/>
      <c r="C156" s="6"/>
      <c r="D156" s="6"/>
      <c r="E156" s="8"/>
      <c r="F156" s="9"/>
    </row>
    <row r="157" spans="2:6" x14ac:dyDescent="0.2">
      <c r="B157" s="6"/>
      <c r="C157" s="6"/>
      <c r="D157" s="6"/>
      <c r="E157" s="8"/>
      <c r="F157" s="9"/>
    </row>
    <row r="158" spans="2:6" x14ac:dyDescent="0.2">
      <c r="B158" s="6"/>
      <c r="C158" s="6"/>
      <c r="D158" s="6"/>
      <c r="E158" s="8"/>
      <c r="F158" s="9"/>
    </row>
    <row r="159" spans="2:6" x14ac:dyDescent="0.2">
      <c r="B159" s="6"/>
      <c r="C159" s="6"/>
      <c r="D159" s="6"/>
      <c r="E159" s="8"/>
      <c r="F159" s="9"/>
    </row>
    <row r="160" spans="2:6" x14ac:dyDescent="0.2">
      <c r="B160" s="6"/>
      <c r="C160" s="6"/>
      <c r="D160" s="6"/>
      <c r="E160" s="8"/>
      <c r="F160" s="9"/>
    </row>
    <row r="161" spans="2:6" x14ac:dyDescent="0.2">
      <c r="B161" s="6"/>
      <c r="C161" s="6"/>
      <c r="D161" s="6"/>
      <c r="E161" s="8"/>
      <c r="F161" s="9"/>
    </row>
    <row r="162" spans="2:6" x14ac:dyDescent="0.2">
      <c r="B162" s="6"/>
      <c r="C162" s="6"/>
      <c r="D162" s="6"/>
      <c r="E162" s="8"/>
      <c r="F162" s="9"/>
    </row>
    <row r="163" spans="2:6" x14ac:dyDescent="0.2">
      <c r="B163" s="6"/>
      <c r="C163" s="6"/>
      <c r="D163" s="6"/>
      <c r="E163" s="8"/>
      <c r="F163" s="9"/>
    </row>
    <row r="164" spans="2:6" x14ac:dyDescent="0.2">
      <c r="B164" s="6"/>
      <c r="C164" s="6"/>
      <c r="D164" s="6"/>
      <c r="E164" s="8"/>
      <c r="F164" s="9"/>
    </row>
    <row r="165" spans="2:6" x14ac:dyDescent="0.2">
      <c r="B165" s="6"/>
      <c r="C165" s="6"/>
      <c r="D165" s="6"/>
      <c r="E165" s="8"/>
      <c r="F165" s="9"/>
    </row>
    <row r="166" spans="2:6" x14ac:dyDescent="0.2">
      <c r="B166" s="6"/>
      <c r="C166" s="6"/>
      <c r="D166" s="6"/>
      <c r="E166" s="8"/>
      <c r="F166" s="9"/>
    </row>
    <row r="167" spans="2:6" x14ac:dyDescent="0.2">
      <c r="B167" s="6"/>
      <c r="C167" s="6"/>
      <c r="D167" s="6"/>
      <c r="E167" s="8"/>
      <c r="F167" s="9"/>
    </row>
    <row r="168" spans="2:6" x14ac:dyDescent="0.2">
      <c r="B168" s="6"/>
      <c r="C168" s="6"/>
      <c r="D168" s="6"/>
      <c r="E168" s="8"/>
      <c r="F168" s="9"/>
    </row>
    <row r="169" spans="2:6" x14ac:dyDescent="0.2">
      <c r="B169" s="6"/>
      <c r="C169" s="6"/>
      <c r="D169" s="6"/>
      <c r="E169" s="8"/>
      <c r="F169" s="9"/>
    </row>
    <row r="170" spans="2:6" x14ac:dyDescent="0.2">
      <c r="B170" s="6"/>
      <c r="C170" s="6"/>
      <c r="D170" s="6"/>
      <c r="E170" s="8"/>
      <c r="F170" s="9"/>
    </row>
    <row r="171" spans="2:6" x14ac:dyDescent="0.2">
      <c r="B171" s="6"/>
      <c r="C171" s="6"/>
      <c r="D171" s="6"/>
      <c r="E171" s="8"/>
      <c r="F171" s="9"/>
    </row>
    <row r="172" spans="2:6" x14ac:dyDescent="0.2">
      <c r="B172" s="6"/>
      <c r="C172" s="6"/>
      <c r="D172" s="6"/>
      <c r="E172" s="8"/>
      <c r="F172" s="9"/>
    </row>
    <row r="173" spans="2:6" x14ac:dyDescent="0.2">
      <c r="B173" s="6"/>
      <c r="C173" s="6"/>
      <c r="D173" s="6"/>
      <c r="E173" s="8"/>
      <c r="F173" s="9"/>
    </row>
    <row r="174" spans="2:6" x14ac:dyDescent="0.2">
      <c r="B174" s="6"/>
      <c r="C174" s="6"/>
      <c r="D174" s="6"/>
      <c r="E174" s="8"/>
      <c r="F174" s="9"/>
    </row>
    <row r="175" spans="2:6" x14ac:dyDescent="0.2">
      <c r="B175" s="6"/>
      <c r="C175" s="6"/>
      <c r="D175" s="6"/>
      <c r="E175" s="8"/>
      <c r="F175" s="9"/>
    </row>
    <row r="176" spans="2:6" x14ac:dyDescent="0.2">
      <c r="B176" s="6"/>
      <c r="C176" s="6"/>
      <c r="D176" s="6"/>
      <c r="E176" s="8"/>
      <c r="F176" s="9"/>
    </row>
    <row r="177" spans="2:6" x14ac:dyDescent="0.2">
      <c r="B177" s="6"/>
      <c r="C177" s="6"/>
      <c r="D177" s="6"/>
      <c r="E177" s="8"/>
      <c r="F177" s="9"/>
    </row>
    <row r="178" spans="2:6" x14ac:dyDescent="0.2">
      <c r="B178" s="6"/>
      <c r="C178" s="6"/>
      <c r="D178" s="6"/>
      <c r="E178" s="8"/>
      <c r="F178" s="9"/>
    </row>
    <row r="179" spans="2:6" x14ac:dyDescent="0.2">
      <c r="B179" s="6"/>
      <c r="C179" s="6"/>
      <c r="D179" s="6"/>
      <c r="E179" s="8"/>
      <c r="F179" s="9"/>
    </row>
    <row r="180" spans="2:6" x14ac:dyDescent="0.2">
      <c r="B180" s="6"/>
      <c r="C180" s="6"/>
      <c r="D180" s="6"/>
      <c r="E180" s="8"/>
      <c r="F180" s="9"/>
    </row>
    <row r="181" spans="2:6" x14ac:dyDescent="0.2">
      <c r="B181" s="6"/>
      <c r="C181" s="6"/>
      <c r="D181" s="6"/>
      <c r="E181" s="8"/>
      <c r="F181" s="9"/>
    </row>
    <row r="182" spans="2:6" x14ac:dyDescent="0.2">
      <c r="B182" s="6"/>
      <c r="C182" s="6"/>
      <c r="D182" s="6"/>
      <c r="E182" s="8"/>
      <c r="F182" s="9"/>
    </row>
    <row r="183" spans="2:6" x14ac:dyDescent="0.2">
      <c r="B183" s="6"/>
      <c r="C183" s="6"/>
      <c r="D183" s="6"/>
      <c r="E183" s="8"/>
      <c r="F183" s="9"/>
    </row>
    <row r="184" spans="2:6" x14ac:dyDescent="0.2">
      <c r="B184" s="6"/>
      <c r="C184" s="6"/>
      <c r="D184" s="6"/>
      <c r="E184" s="8"/>
      <c r="F184" s="9"/>
    </row>
    <row r="185" spans="2:6" x14ac:dyDescent="0.2">
      <c r="B185" s="6"/>
      <c r="C185" s="6"/>
      <c r="D185" s="6"/>
      <c r="E185" s="8"/>
      <c r="F185" s="9"/>
    </row>
    <row r="186" spans="2:6" x14ac:dyDescent="0.2">
      <c r="B186" s="6"/>
      <c r="C186" s="6"/>
      <c r="D186" s="6"/>
      <c r="E186" s="8"/>
      <c r="F186" s="9"/>
    </row>
    <row r="187" spans="2:6" x14ac:dyDescent="0.2">
      <c r="B187" s="6"/>
      <c r="C187" s="6"/>
      <c r="D187" s="6"/>
      <c r="E187" s="8"/>
      <c r="F187" s="9"/>
    </row>
    <row r="188" spans="2:6" x14ac:dyDescent="0.2">
      <c r="B188" s="6"/>
      <c r="C188" s="6"/>
      <c r="D188" s="6"/>
      <c r="E188" s="8"/>
      <c r="F188" s="9"/>
    </row>
    <row r="189" spans="2:6" x14ac:dyDescent="0.2">
      <c r="B189" s="6"/>
      <c r="C189" s="6"/>
      <c r="D189" s="6"/>
      <c r="E189" s="8"/>
      <c r="F189" s="9"/>
    </row>
    <row r="190" spans="2:6" x14ac:dyDescent="0.2">
      <c r="B190" s="6"/>
      <c r="C190" s="6"/>
      <c r="D190" s="6"/>
      <c r="E190" s="8"/>
      <c r="F190" s="9"/>
    </row>
    <row r="191" spans="2:6" x14ac:dyDescent="0.2">
      <c r="B191" s="6"/>
      <c r="C191" s="6"/>
      <c r="D191" s="6"/>
      <c r="E191" s="8"/>
      <c r="F191" s="9"/>
    </row>
    <row r="192" spans="2:6" x14ac:dyDescent="0.2">
      <c r="B192" s="6"/>
      <c r="C192" s="6"/>
      <c r="D192" s="6"/>
      <c r="E192" s="8"/>
      <c r="F192" s="9"/>
    </row>
    <row r="193" spans="2:6" x14ac:dyDescent="0.2">
      <c r="B193" s="6"/>
      <c r="C193" s="6"/>
      <c r="D193" s="6"/>
      <c r="E193" s="8"/>
      <c r="F193" s="9"/>
    </row>
    <row r="194" spans="2:6" x14ac:dyDescent="0.2">
      <c r="B194" s="6"/>
      <c r="C194" s="6"/>
      <c r="D194" s="6"/>
      <c r="E194" s="8"/>
      <c r="F194" s="9"/>
    </row>
    <row r="195" spans="2:6" x14ac:dyDescent="0.2">
      <c r="B195" s="6"/>
      <c r="C195" s="6"/>
      <c r="D195" s="6"/>
      <c r="E195" s="8"/>
      <c r="F195" s="9"/>
    </row>
    <row r="196" spans="2:6" x14ac:dyDescent="0.2">
      <c r="B196" s="6"/>
      <c r="C196" s="6"/>
      <c r="D196" s="6"/>
      <c r="E196" s="8"/>
      <c r="F196" s="9"/>
    </row>
    <row r="197" spans="2:6" x14ac:dyDescent="0.2">
      <c r="B197" s="6"/>
      <c r="C197" s="6"/>
      <c r="D197" s="6"/>
      <c r="E197" s="8"/>
      <c r="F197" s="9"/>
    </row>
    <row r="198" spans="2:6" x14ac:dyDescent="0.2">
      <c r="B198" s="6"/>
      <c r="C198" s="6"/>
      <c r="D198" s="6"/>
      <c r="E198" s="8"/>
      <c r="F198" s="9"/>
    </row>
    <row r="199" spans="2:6" x14ac:dyDescent="0.2">
      <c r="B199" s="6"/>
      <c r="C199" s="6"/>
      <c r="D199" s="6"/>
      <c r="E199" s="8"/>
      <c r="F199" s="9"/>
    </row>
    <row r="200" spans="2:6" x14ac:dyDescent="0.2">
      <c r="B200" s="6"/>
      <c r="C200" s="6"/>
      <c r="D200" s="6"/>
      <c r="E200" s="8"/>
      <c r="F200" s="9"/>
    </row>
    <row r="201" spans="2:6" x14ac:dyDescent="0.2">
      <c r="B201" s="6"/>
      <c r="C201" s="6"/>
      <c r="D201" s="6"/>
      <c r="E201" s="8"/>
      <c r="F201" s="9"/>
    </row>
    <row r="202" spans="2:6" x14ac:dyDescent="0.2">
      <c r="B202" s="6"/>
      <c r="C202" s="6"/>
      <c r="D202" s="6"/>
      <c r="E202" s="8"/>
      <c r="F202" s="9"/>
    </row>
    <row r="203" spans="2:6" x14ac:dyDescent="0.2">
      <c r="B203" s="6"/>
      <c r="C203" s="6"/>
      <c r="D203" s="6"/>
      <c r="E203" s="8"/>
      <c r="F203" s="9"/>
    </row>
    <row r="204" spans="2:6" x14ac:dyDescent="0.2">
      <c r="B204" s="6"/>
      <c r="C204" s="6"/>
      <c r="D204" s="6"/>
      <c r="E204" s="8"/>
      <c r="F20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C36C-5F1C-4509-AB80-CE84E20201D2}">
  <dimension ref="B1:F1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38.7109375" style="1" customWidth="1"/>
    <col min="4" max="4" width="3.7109375" style="1" customWidth="1"/>
    <col min="5" max="6" width="18.7109375" style="1" customWidth="1"/>
    <col min="7" max="16384" width="11.42578125" style="1"/>
  </cols>
  <sheetData>
    <row r="1" spans="2:6" ht="21" x14ac:dyDescent="0.35">
      <c r="B1" s="2" t="s">
        <v>0</v>
      </c>
    </row>
    <row r="2" spans="2:6" x14ac:dyDescent="0.2">
      <c r="B2" s="3" t="s">
        <v>1</v>
      </c>
    </row>
    <row r="4" spans="2:6" x14ac:dyDescent="0.2">
      <c r="B4" s="5" t="s">
        <v>2</v>
      </c>
      <c r="C4" s="6" t="s">
        <v>3</v>
      </c>
      <c r="E4" s="7" t="s">
        <v>13</v>
      </c>
      <c r="F4" s="7" t="s">
        <v>18</v>
      </c>
    </row>
    <row r="5" spans="2:6" x14ac:dyDescent="0.2">
      <c r="B5" s="5" t="s">
        <v>4</v>
      </c>
      <c r="C5" s="6" t="s">
        <v>5</v>
      </c>
      <c r="E5" s="6" t="s">
        <v>14</v>
      </c>
      <c r="F5" s="6" t="s">
        <v>19</v>
      </c>
    </row>
    <row r="6" spans="2:6" x14ac:dyDescent="0.2">
      <c r="B6" s="5" t="s">
        <v>6</v>
      </c>
      <c r="C6" s="6" t="s">
        <v>7</v>
      </c>
      <c r="E6" s="6" t="s">
        <v>15</v>
      </c>
      <c r="F6" s="6" t="s">
        <v>20</v>
      </c>
    </row>
    <row r="7" spans="2:6" x14ac:dyDescent="0.2">
      <c r="B7" s="5" t="s">
        <v>8</v>
      </c>
      <c r="C7" s="6" t="s">
        <v>9</v>
      </c>
      <c r="E7" s="6" t="s">
        <v>16</v>
      </c>
      <c r="F7" s="6" t="s">
        <v>21</v>
      </c>
    </row>
    <row r="8" spans="2:6" x14ac:dyDescent="0.2">
      <c r="B8" s="5" t="s">
        <v>10</v>
      </c>
      <c r="C8" s="6" t="s">
        <v>11</v>
      </c>
      <c r="E8" s="6" t="s">
        <v>17</v>
      </c>
    </row>
    <row r="9" spans="2:6" x14ac:dyDescent="0.2">
      <c r="B9" s="5" t="s">
        <v>12</v>
      </c>
      <c r="C9" s="6">
        <v>2</v>
      </c>
    </row>
    <row r="11" spans="2:6" x14ac:dyDescent="0.2">
      <c r="B11" s="63" t="s">
        <v>123</v>
      </c>
    </row>
    <row r="12" spans="2:6" x14ac:dyDescent="0.2">
      <c r="B12" s="64" t="s">
        <v>124</v>
      </c>
    </row>
    <row r="13" spans="2:6" x14ac:dyDescent="0.2">
      <c r="B13" s="65" t="s">
        <v>125</v>
      </c>
    </row>
  </sheetData>
  <hyperlinks>
    <hyperlink ref="B13" r:id="rId1" tooltip="Instrucțiuni și alte modele gratuite" xr:uid="{62D663E7-8B43-4F0C-8ED9-3AB89CE59A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13</vt:i4>
      </vt:variant>
    </vt:vector>
  </HeadingPairs>
  <TitlesOfParts>
    <vt:vector size="18" baseType="lpstr">
      <vt:lpstr>Notă de comandă</vt:lpstr>
      <vt:lpstr>Registru comenzi</vt:lpstr>
      <vt:lpstr>Linii comandă</vt:lpstr>
      <vt:lpstr>Produse</vt:lpstr>
      <vt:lpstr>Setări</vt:lpstr>
      <vt:lpstr>Adresa</vt:lpstr>
      <vt:lpstr>'Notă de comandă'!Área_de_impresión</vt:lpstr>
      <vt:lpstr>Catalog</vt:lpstr>
      <vt:lpstr>CIF</vt:lpstr>
      <vt:lpstr>Coduri</vt:lpstr>
      <vt:lpstr>Contact</vt:lpstr>
      <vt:lpstr>Firma</vt:lpstr>
      <vt:lpstr>ListaConf</vt:lpstr>
      <vt:lpstr>ListaPlata</vt:lpstr>
      <vt:lpstr>RandC</vt:lpstr>
      <vt:lpstr>Seria</vt:lpstr>
      <vt:lpstr>'Registru comenzi'!Títulos_a_imprimir</vt:lpstr>
      <vt:lpstr>ZileConf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notă de comandă Excel</dc:title>
  <dc:subject>Model Excel gratuit în limba română</dc:subject>
  <dc:creator>Ray Moreno · modelexcel.ro</dc:creator>
  <cp:keywords>modelexcel.ro, model Excel, Model notă de comandă Excel</cp:keywords>
  <dc:description>© 2026 Ray Moreno – modelexcel.ro. Model gratuit: îl poți folosi și adapta în activitatea ta. Nu este permisă revânzarea lui sau publicarea pe alte site-uri. https://modelexcel.ro/model-nota-de-comanda-excel/</dc:description>
  <cp:lastModifiedBy>Ray Moreno · modelexcel.ro</cp:lastModifiedBy>
  <dcterms:created xsi:type="dcterms:W3CDTF">2026-10-12T17:35:10Z</dcterms:created>
  <dcterms:modified xsi:type="dcterms:W3CDTF">2026-10-13T17:30:41Z</dcterms:modified>
  <cp:category>Model Excel</cp:category>
</cp:coreProperties>
</file>