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B76F292-28F9-46E0-8601-EE356753B3C9}" xr6:coauthVersionLast="47" xr6:coauthVersionMax="47" xr10:uidLastSave="{00000000-0000-0000-0000-000000000000}"/>
  <bookViews>
    <workbookView xWindow="-28920" yWindow="-120" windowWidth="29040" windowHeight="15720" xr2:uid="{A23309E2-9578-49E4-B732-721D5F43FF7C}"/>
  </bookViews>
  <sheets>
    <sheet name="Ofertă" sheetId="1" r:id="rId1"/>
    <sheet name="Registru oferte" sheetId="2" r:id="rId2"/>
    <sheet name="Linii ofertă" sheetId="3" r:id="rId3"/>
    <sheet name="Sumar oferte" sheetId="4" r:id="rId4"/>
    <sheet name="Produse și servicii" sheetId="5" r:id="rId5"/>
    <sheet name="Setări" sheetId="6" r:id="rId6"/>
  </sheets>
  <definedNames>
    <definedName name="Adresa">Setări!$C$7</definedName>
    <definedName name="_xlnm.Print_Area" localSheetId="0">Ofertă!$A$1:$K$47</definedName>
    <definedName name="CodCat">'Produse și servicii'!$B$5:$B$204</definedName>
    <definedName name="Contact">Setări!$C$8</definedName>
    <definedName name="CoteTVA">Setări!$E$4:$E$8</definedName>
    <definedName name="CUI">Setări!$C$5</definedName>
    <definedName name="Firma">Setări!$C$4</definedName>
    <definedName name="IBAN">Setări!$C$9</definedName>
    <definedName name="Intocmit">Setări!$C$10</definedName>
    <definedName name="ListaStatus">Setări!$G$4:$G$7</definedName>
    <definedName name="MarjaMin">Setări!$C$11</definedName>
    <definedName name="NrOf">Ofertă!$I$1</definedName>
    <definedName name="RandOf">Ofertă!$M$1</definedName>
    <definedName name="RegCom">Setări!$C$6</definedName>
    <definedName name="TabCat">'Produse și servicii'!$B$5:$G$204</definedName>
    <definedName name="ValImpl">Setări!$C$12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7" i="1" l="1"/>
  <c r="B45" i="1"/>
  <c r="B44" i="1"/>
  <c r="B42" i="1"/>
  <c r="B40" i="1"/>
  <c r="B38" i="1"/>
  <c r="J35" i="1"/>
  <c r="J34" i="1"/>
  <c r="J33" i="1"/>
  <c r="J32" i="1"/>
  <c r="K31" i="1"/>
  <c r="J31" i="1"/>
  <c r="I31" i="1"/>
  <c r="H31" i="1"/>
  <c r="G31" i="1"/>
  <c r="F31" i="1"/>
  <c r="C31" i="1"/>
  <c r="B31" i="1"/>
  <c r="K30" i="1"/>
  <c r="J30" i="1"/>
  <c r="I30" i="1"/>
  <c r="H30" i="1"/>
  <c r="G30" i="1"/>
  <c r="F30" i="1"/>
  <c r="C30" i="1"/>
  <c r="B30" i="1"/>
  <c r="K29" i="1"/>
  <c r="J29" i="1"/>
  <c r="I29" i="1"/>
  <c r="H29" i="1"/>
  <c r="G29" i="1"/>
  <c r="F29" i="1"/>
  <c r="C29" i="1"/>
  <c r="B29" i="1"/>
  <c r="K28" i="1"/>
  <c r="J28" i="1"/>
  <c r="I28" i="1"/>
  <c r="H28" i="1"/>
  <c r="G28" i="1"/>
  <c r="F28" i="1"/>
  <c r="C28" i="1"/>
  <c r="B28" i="1"/>
  <c r="K27" i="1"/>
  <c r="J27" i="1"/>
  <c r="I27" i="1"/>
  <c r="H27" i="1"/>
  <c r="G27" i="1"/>
  <c r="F27" i="1"/>
  <c r="C27" i="1"/>
  <c r="B27" i="1"/>
  <c r="K26" i="1"/>
  <c r="J26" i="1"/>
  <c r="I26" i="1"/>
  <c r="H26" i="1"/>
  <c r="G26" i="1"/>
  <c r="F26" i="1"/>
  <c r="C26" i="1"/>
  <c r="B26" i="1"/>
  <c r="K25" i="1"/>
  <c r="J25" i="1"/>
  <c r="I25" i="1"/>
  <c r="H25" i="1"/>
  <c r="G25" i="1"/>
  <c r="F25" i="1"/>
  <c r="C25" i="1"/>
  <c r="B25" i="1"/>
  <c r="K24" i="1"/>
  <c r="J24" i="1"/>
  <c r="I24" i="1"/>
  <c r="H24" i="1"/>
  <c r="G24" i="1"/>
  <c r="F24" i="1"/>
  <c r="C24" i="1"/>
  <c r="B24" i="1"/>
  <c r="K23" i="1"/>
  <c r="J23" i="1"/>
  <c r="I23" i="1"/>
  <c r="H23" i="1"/>
  <c r="G23" i="1"/>
  <c r="F23" i="1"/>
  <c r="C23" i="1"/>
  <c r="B23" i="1"/>
  <c r="K22" i="1"/>
  <c r="J22" i="1"/>
  <c r="I22" i="1"/>
  <c r="H22" i="1"/>
  <c r="G22" i="1"/>
  <c r="F22" i="1"/>
  <c r="C22" i="1"/>
  <c r="B22" i="1"/>
  <c r="K21" i="1"/>
  <c r="J21" i="1"/>
  <c r="I21" i="1"/>
  <c r="H21" i="1"/>
  <c r="G21" i="1"/>
  <c r="F21" i="1"/>
  <c r="C21" i="1"/>
  <c r="B21" i="1"/>
  <c r="K20" i="1"/>
  <c r="J20" i="1"/>
  <c r="I20" i="1"/>
  <c r="H20" i="1"/>
  <c r="G20" i="1"/>
  <c r="F20" i="1"/>
  <c r="C20" i="1"/>
  <c r="B20" i="1"/>
  <c r="K19" i="1"/>
  <c r="J19" i="1"/>
  <c r="I19" i="1"/>
  <c r="H19" i="1"/>
  <c r="G19" i="1"/>
  <c r="F19" i="1"/>
  <c r="C19" i="1"/>
  <c r="B19" i="1"/>
  <c r="K18" i="1"/>
  <c r="J18" i="1"/>
  <c r="I18" i="1"/>
  <c r="H18" i="1"/>
  <c r="G18" i="1"/>
  <c r="F18" i="1"/>
  <c r="C18" i="1"/>
  <c r="B18" i="1"/>
  <c r="K17" i="1"/>
  <c r="J17" i="1"/>
  <c r="I17" i="1"/>
  <c r="H17" i="1"/>
  <c r="G17" i="1"/>
  <c r="F17" i="1"/>
  <c r="C17" i="1"/>
  <c r="B17" i="1"/>
  <c r="K16" i="1"/>
  <c r="J16" i="1"/>
  <c r="I16" i="1"/>
  <c r="H16" i="1"/>
  <c r="G16" i="1"/>
  <c r="F16" i="1"/>
  <c r="C16" i="1"/>
  <c r="B16" i="1"/>
  <c r="K15" i="1"/>
  <c r="J15" i="1"/>
  <c r="I15" i="1"/>
  <c r="H15" i="1"/>
  <c r="G15" i="1"/>
  <c r="F15" i="1"/>
  <c r="C15" i="1"/>
  <c r="B15" i="1"/>
  <c r="K14" i="1"/>
  <c r="J14" i="1"/>
  <c r="I14" i="1"/>
  <c r="H14" i="1"/>
  <c r="G14" i="1"/>
  <c r="F14" i="1"/>
  <c r="C14" i="1"/>
  <c r="B14" i="1"/>
  <c r="K13" i="1"/>
  <c r="J13" i="1"/>
  <c r="I13" i="1"/>
  <c r="H13" i="1"/>
  <c r="G13" i="1"/>
  <c r="F13" i="1"/>
  <c r="C13" i="1"/>
  <c r="B13" i="1"/>
  <c r="K12" i="1"/>
  <c r="J12" i="1"/>
  <c r="I12" i="1"/>
  <c r="H12" i="1"/>
  <c r="G12" i="1"/>
  <c r="F12" i="1"/>
  <c r="C12" i="1"/>
  <c r="B12" i="1"/>
  <c r="C9" i="1"/>
  <c r="C8" i="1"/>
  <c r="I3" i="1"/>
  <c r="I2" i="1"/>
  <c r="M1" i="1"/>
  <c r="B4" i="1"/>
  <c r="B3" i="1"/>
  <c r="B2" i="1"/>
  <c r="B1" i="1"/>
  <c r="C8" i="2"/>
  <c r="C7" i="2"/>
  <c r="O6" i="2"/>
  <c r="C6" i="2"/>
  <c r="O5" i="2"/>
  <c r="C5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S305" i="2"/>
  <c r="S306" i="2"/>
  <c r="S307" i="2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20" i="2"/>
  <c r="S421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457" i="2"/>
  <c r="S458" i="2"/>
  <c r="S459" i="2"/>
  <c r="S460" i="2"/>
  <c r="S461" i="2"/>
  <c r="S462" i="2"/>
  <c r="S463" i="2"/>
  <c r="S464" i="2"/>
  <c r="S465" i="2"/>
  <c r="S466" i="2"/>
  <c r="S467" i="2"/>
  <c r="S468" i="2"/>
  <c r="S469" i="2"/>
  <c r="S470" i="2"/>
  <c r="S471" i="2"/>
  <c r="S472" i="2"/>
  <c r="S473" i="2"/>
  <c r="S474" i="2"/>
  <c r="S475" i="2"/>
  <c r="S476" i="2"/>
  <c r="S477" i="2"/>
  <c r="S478" i="2"/>
  <c r="S479" i="2"/>
  <c r="S480" i="2"/>
  <c r="S481" i="2"/>
  <c r="S482" i="2"/>
  <c r="S483" i="2"/>
  <c r="S484" i="2"/>
  <c r="S485" i="2"/>
  <c r="S486" i="2"/>
  <c r="S487" i="2"/>
  <c r="S488" i="2"/>
  <c r="S489" i="2"/>
  <c r="S490" i="2"/>
  <c r="S491" i="2"/>
  <c r="S492" i="2"/>
  <c r="S493" i="2"/>
  <c r="S494" i="2"/>
  <c r="S495" i="2"/>
  <c r="S496" i="2"/>
  <c r="S497" i="2"/>
  <c r="S498" i="2"/>
  <c r="S499" i="2"/>
  <c r="S500" i="2"/>
  <c r="S501" i="2"/>
  <c r="S502" i="2"/>
  <c r="S503" i="2"/>
  <c r="S504" i="2"/>
  <c r="P5" i="2"/>
  <c r="P6" i="2"/>
  <c r="P7" i="2"/>
  <c r="P8" i="2"/>
  <c r="T8" i="2" s="1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H5" i="2"/>
  <c r="S5" i="2" s="1"/>
  <c r="H6" i="2"/>
  <c r="S6" i="2" s="1"/>
  <c r="H7" i="2"/>
  <c r="S7" i="2" s="1"/>
  <c r="H8" i="2"/>
  <c r="S8" i="2" s="1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T243" i="2"/>
  <c r="T244" i="2"/>
  <c r="T245" i="2"/>
  <c r="T246" i="2"/>
  <c r="T247" i="2"/>
  <c r="T248" i="2"/>
  <c r="T249" i="2"/>
  <c r="T250" i="2"/>
  <c r="T251" i="2"/>
  <c r="T252" i="2"/>
  <c r="T253" i="2"/>
  <c r="T254" i="2"/>
  <c r="T255" i="2"/>
  <c r="T256" i="2"/>
  <c r="T257" i="2"/>
  <c r="T258" i="2"/>
  <c r="T259" i="2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T291" i="2"/>
  <c r="T292" i="2"/>
  <c r="T293" i="2"/>
  <c r="T294" i="2"/>
  <c r="T295" i="2"/>
  <c r="T296" i="2"/>
  <c r="T297" i="2"/>
  <c r="T298" i="2"/>
  <c r="T299" i="2"/>
  <c r="T300" i="2"/>
  <c r="T301" i="2"/>
  <c r="T302" i="2"/>
  <c r="T303" i="2"/>
  <c r="T304" i="2"/>
  <c r="T305" i="2"/>
  <c r="T306" i="2"/>
  <c r="T307" i="2"/>
  <c r="T308" i="2"/>
  <c r="T309" i="2"/>
  <c r="T310" i="2"/>
  <c r="T311" i="2"/>
  <c r="T312" i="2"/>
  <c r="T313" i="2"/>
  <c r="T314" i="2"/>
  <c r="T315" i="2"/>
  <c r="T316" i="2"/>
  <c r="T317" i="2"/>
  <c r="T318" i="2"/>
  <c r="T319" i="2"/>
  <c r="T320" i="2"/>
  <c r="T321" i="2"/>
  <c r="T322" i="2"/>
  <c r="T323" i="2"/>
  <c r="T324" i="2"/>
  <c r="T325" i="2"/>
  <c r="T326" i="2"/>
  <c r="T327" i="2"/>
  <c r="T328" i="2"/>
  <c r="T329" i="2"/>
  <c r="T330" i="2"/>
  <c r="T331" i="2"/>
  <c r="T332" i="2"/>
  <c r="T333" i="2"/>
  <c r="T334" i="2"/>
  <c r="T335" i="2"/>
  <c r="T336" i="2"/>
  <c r="T337" i="2"/>
  <c r="T338" i="2"/>
  <c r="T339" i="2"/>
  <c r="T340" i="2"/>
  <c r="T341" i="2"/>
  <c r="T342" i="2"/>
  <c r="T343" i="2"/>
  <c r="T344" i="2"/>
  <c r="T345" i="2"/>
  <c r="T346" i="2"/>
  <c r="T347" i="2"/>
  <c r="T348" i="2"/>
  <c r="T349" i="2"/>
  <c r="T350" i="2"/>
  <c r="T351" i="2"/>
  <c r="T352" i="2"/>
  <c r="T353" i="2"/>
  <c r="T354" i="2"/>
  <c r="T355" i="2"/>
  <c r="T356" i="2"/>
  <c r="T357" i="2"/>
  <c r="T358" i="2"/>
  <c r="T359" i="2"/>
  <c r="T360" i="2"/>
  <c r="T361" i="2"/>
  <c r="T362" i="2"/>
  <c r="T363" i="2"/>
  <c r="T364" i="2"/>
  <c r="T365" i="2"/>
  <c r="T366" i="2"/>
  <c r="T367" i="2"/>
  <c r="T368" i="2"/>
  <c r="T369" i="2"/>
  <c r="T370" i="2"/>
  <c r="T371" i="2"/>
  <c r="T372" i="2"/>
  <c r="T373" i="2"/>
  <c r="T374" i="2"/>
  <c r="T375" i="2"/>
  <c r="T376" i="2"/>
  <c r="T377" i="2"/>
  <c r="T378" i="2"/>
  <c r="T379" i="2"/>
  <c r="T380" i="2"/>
  <c r="T381" i="2"/>
  <c r="T382" i="2"/>
  <c r="T383" i="2"/>
  <c r="T384" i="2"/>
  <c r="T385" i="2"/>
  <c r="T386" i="2"/>
  <c r="T387" i="2"/>
  <c r="T388" i="2"/>
  <c r="T389" i="2"/>
  <c r="T390" i="2"/>
  <c r="T391" i="2"/>
  <c r="T392" i="2"/>
  <c r="T393" i="2"/>
  <c r="T394" i="2"/>
  <c r="T395" i="2"/>
  <c r="T396" i="2"/>
  <c r="T397" i="2"/>
  <c r="T398" i="2"/>
  <c r="T399" i="2"/>
  <c r="T400" i="2"/>
  <c r="T401" i="2"/>
  <c r="T402" i="2"/>
  <c r="T403" i="2"/>
  <c r="T404" i="2"/>
  <c r="T405" i="2"/>
  <c r="T406" i="2"/>
  <c r="T407" i="2"/>
  <c r="T408" i="2"/>
  <c r="T409" i="2"/>
  <c r="T410" i="2"/>
  <c r="T411" i="2"/>
  <c r="T412" i="2"/>
  <c r="T413" i="2"/>
  <c r="T414" i="2"/>
  <c r="T415" i="2"/>
  <c r="T416" i="2"/>
  <c r="T417" i="2"/>
  <c r="T418" i="2"/>
  <c r="T419" i="2"/>
  <c r="T420" i="2"/>
  <c r="T421" i="2"/>
  <c r="T422" i="2"/>
  <c r="T423" i="2"/>
  <c r="T424" i="2"/>
  <c r="T425" i="2"/>
  <c r="T426" i="2"/>
  <c r="T427" i="2"/>
  <c r="T428" i="2"/>
  <c r="T429" i="2"/>
  <c r="T430" i="2"/>
  <c r="T431" i="2"/>
  <c r="T432" i="2"/>
  <c r="T433" i="2"/>
  <c r="T434" i="2"/>
  <c r="T435" i="2"/>
  <c r="T436" i="2"/>
  <c r="T437" i="2"/>
  <c r="T438" i="2"/>
  <c r="T439" i="2"/>
  <c r="T440" i="2"/>
  <c r="T441" i="2"/>
  <c r="T442" i="2"/>
  <c r="T443" i="2"/>
  <c r="T444" i="2"/>
  <c r="T445" i="2"/>
  <c r="T446" i="2"/>
  <c r="T447" i="2"/>
  <c r="T448" i="2"/>
  <c r="T449" i="2"/>
  <c r="T450" i="2"/>
  <c r="T451" i="2"/>
  <c r="T452" i="2"/>
  <c r="T453" i="2"/>
  <c r="T454" i="2"/>
  <c r="T455" i="2"/>
  <c r="T456" i="2"/>
  <c r="T457" i="2"/>
  <c r="T458" i="2"/>
  <c r="T459" i="2"/>
  <c r="T460" i="2"/>
  <c r="T461" i="2"/>
  <c r="T462" i="2"/>
  <c r="T463" i="2"/>
  <c r="T464" i="2"/>
  <c r="T465" i="2"/>
  <c r="T466" i="2"/>
  <c r="T467" i="2"/>
  <c r="T468" i="2"/>
  <c r="T469" i="2"/>
  <c r="T470" i="2"/>
  <c r="T471" i="2"/>
  <c r="T472" i="2"/>
  <c r="T473" i="2"/>
  <c r="T474" i="2"/>
  <c r="T475" i="2"/>
  <c r="T476" i="2"/>
  <c r="T477" i="2"/>
  <c r="T478" i="2"/>
  <c r="T479" i="2"/>
  <c r="T480" i="2"/>
  <c r="T481" i="2"/>
  <c r="T482" i="2"/>
  <c r="T483" i="2"/>
  <c r="T484" i="2"/>
  <c r="T485" i="2"/>
  <c r="T486" i="2"/>
  <c r="T487" i="2"/>
  <c r="T488" i="2"/>
  <c r="T489" i="2"/>
  <c r="T490" i="2"/>
  <c r="T491" i="2"/>
  <c r="T492" i="2"/>
  <c r="T493" i="2"/>
  <c r="T494" i="2"/>
  <c r="T495" i="2"/>
  <c r="T496" i="2"/>
  <c r="T497" i="2"/>
  <c r="T498" i="2"/>
  <c r="T499" i="2"/>
  <c r="T500" i="2"/>
  <c r="T501" i="2"/>
  <c r="T502" i="2"/>
  <c r="T503" i="2"/>
  <c r="T504" i="2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G5" i="3"/>
  <c r="I5" i="3" s="1"/>
  <c r="J5" i="3" s="1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I6" i="3"/>
  <c r="J6" i="3" s="1"/>
  <c r="I7" i="3"/>
  <c r="J7" i="3" s="1"/>
  <c r="I8" i="3"/>
  <c r="J8" i="3" s="1"/>
  <c r="I9" i="3"/>
  <c r="J9" i="3" s="1"/>
  <c r="I10" i="3"/>
  <c r="J10" i="3" s="1"/>
  <c r="I11" i="3"/>
  <c r="J11" i="3" s="1"/>
  <c r="I12" i="3"/>
  <c r="J12" i="3" s="1"/>
  <c r="I13" i="3"/>
  <c r="J13" i="3" s="1"/>
  <c r="I14" i="3"/>
  <c r="J14" i="3" s="1"/>
  <c r="I15" i="3"/>
  <c r="J15" i="3" s="1"/>
  <c r="I16" i="3"/>
  <c r="J16" i="3" s="1"/>
  <c r="I17" i="3"/>
  <c r="J17" i="3" s="1"/>
  <c r="I18" i="3"/>
  <c r="J18" i="3" s="1"/>
  <c r="I19" i="3"/>
  <c r="J19" i="3" s="1"/>
  <c r="I20" i="3"/>
  <c r="J20" i="3" s="1"/>
  <c r="I21" i="3"/>
  <c r="J21" i="3" s="1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J22" i="3"/>
  <c r="Q22" i="3" s="1"/>
  <c r="J23" i="3"/>
  <c r="Q23" i="3" s="1"/>
  <c r="J24" i="3"/>
  <c r="Q24" i="3" s="1"/>
  <c r="J25" i="3"/>
  <c r="Q25" i="3" s="1"/>
  <c r="J26" i="3"/>
  <c r="Q26" i="3" s="1"/>
  <c r="J27" i="3"/>
  <c r="Q27" i="3" s="1"/>
  <c r="J28" i="3"/>
  <c r="Q28" i="3" s="1"/>
  <c r="J29" i="3"/>
  <c r="Q29" i="3" s="1"/>
  <c r="J30" i="3"/>
  <c r="Q30" i="3" s="1"/>
  <c r="J31" i="3"/>
  <c r="Q31" i="3" s="1"/>
  <c r="J32" i="3"/>
  <c r="Q32" i="3" s="1"/>
  <c r="J33" i="3"/>
  <c r="Q33" i="3" s="1"/>
  <c r="J34" i="3"/>
  <c r="Q34" i="3" s="1"/>
  <c r="J35" i="3"/>
  <c r="Q35" i="3" s="1"/>
  <c r="J36" i="3"/>
  <c r="Q36" i="3" s="1"/>
  <c r="J37" i="3"/>
  <c r="Q37" i="3" s="1"/>
  <c r="J38" i="3"/>
  <c r="Q38" i="3" s="1"/>
  <c r="J39" i="3"/>
  <c r="Q39" i="3" s="1"/>
  <c r="J40" i="3"/>
  <c r="Q40" i="3" s="1"/>
  <c r="J41" i="3"/>
  <c r="Q41" i="3" s="1"/>
  <c r="J42" i="3"/>
  <c r="Q42" i="3" s="1"/>
  <c r="J43" i="3"/>
  <c r="Q43" i="3" s="1"/>
  <c r="J44" i="3"/>
  <c r="Q44" i="3" s="1"/>
  <c r="J45" i="3"/>
  <c r="Q45" i="3" s="1"/>
  <c r="J46" i="3"/>
  <c r="Q46" i="3" s="1"/>
  <c r="J47" i="3"/>
  <c r="Q47" i="3" s="1"/>
  <c r="J48" i="3"/>
  <c r="Q48" i="3" s="1"/>
  <c r="J49" i="3"/>
  <c r="Q49" i="3" s="1"/>
  <c r="J50" i="3"/>
  <c r="Q50" i="3" s="1"/>
  <c r="J51" i="3"/>
  <c r="Q51" i="3" s="1"/>
  <c r="J52" i="3"/>
  <c r="Q52" i="3" s="1"/>
  <c r="J53" i="3"/>
  <c r="Q53" i="3" s="1"/>
  <c r="J54" i="3"/>
  <c r="Q54" i="3" s="1"/>
  <c r="J55" i="3"/>
  <c r="Q55" i="3" s="1"/>
  <c r="J56" i="3"/>
  <c r="Q56" i="3" s="1"/>
  <c r="J57" i="3"/>
  <c r="Q57" i="3" s="1"/>
  <c r="J58" i="3"/>
  <c r="Q58" i="3" s="1"/>
  <c r="J59" i="3"/>
  <c r="Q59" i="3" s="1"/>
  <c r="J60" i="3"/>
  <c r="Q60" i="3" s="1"/>
  <c r="J61" i="3"/>
  <c r="Q61" i="3" s="1"/>
  <c r="J62" i="3"/>
  <c r="Q62" i="3" s="1"/>
  <c r="J63" i="3"/>
  <c r="Q63" i="3" s="1"/>
  <c r="J64" i="3"/>
  <c r="Q64" i="3" s="1"/>
  <c r="J65" i="3"/>
  <c r="Q65" i="3" s="1"/>
  <c r="J66" i="3"/>
  <c r="Q66" i="3" s="1"/>
  <c r="J67" i="3"/>
  <c r="Q67" i="3" s="1"/>
  <c r="J68" i="3"/>
  <c r="Q68" i="3" s="1"/>
  <c r="J69" i="3"/>
  <c r="Q69" i="3" s="1"/>
  <c r="J70" i="3"/>
  <c r="Q70" i="3" s="1"/>
  <c r="J71" i="3"/>
  <c r="Q71" i="3" s="1"/>
  <c r="J72" i="3"/>
  <c r="Q72" i="3" s="1"/>
  <c r="J73" i="3"/>
  <c r="Q73" i="3" s="1"/>
  <c r="J74" i="3"/>
  <c r="Q74" i="3" s="1"/>
  <c r="J75" i="3"/>
  <c r="Q75" i="3" s="1"/>
  <c r="J76" i="3"/>
  <c r="Q76" i="3" s="1"/>
  <c r="J77" i="3"/>
  <c r="Q77" i="3" s="1"/>
  <c r="J78" i="3"/>
  <c r="Q78" i="3" s="1"/>
  <c r="J79" i="3"/>
  <c r="Q79" i="3" s="1"/>
  <c r="J80" i="3"/>
  <c r="Q80" i="3" s="1"/>
  <c r="J81" i="3"/>
  <c r="Q81" i="3" s="1"/>
  <c r="J82" i="3"/>
  <c r="Q82" i="3" s="1"/>
  <c r="J83" i="3"/>
  <c r="Q83" i="3" s="1"/>
  <c r="J84" i="3"/>
  <c r="Q84" i="3" s="1"/>
  <c r="J85" i="3"/>
  <c r="Q85" i="3" s="1"/>
  <c r="J86" i="3"/>
  <c r="Q86" i="3" s="1"/>
  <c r="J87" i="3"/>
  <c r="Q87" i="3" s="1"/>
  <c r="J88" i="3"/>
  <c r="Q88" i="3" s="1"/>
  <c r="J89" i="3"/>
  <c r="Q89" i="3" s="1"/>
  <c r="J90" i="3"/>
  <c r="Q90" i="3" s="1"/>
  <c r="J91" i="3"/>
  <c r="Q91" i="3" s="1"/>
  <c r="J92" i="3"/>
  <c r="Q92" i="3" s="1"/>
  <c r="J93" i="3"/>
  <c r="Q93" i="3" s="1"/>
  <c r="J94" i="3"/>
  <c r="Q94" i="3" s="1"/>
  <c r="J95" i="3"/>
  <c r="Q95" i="3" s="1"/>
  <c r="J96" i="3"/>
  <c r="Q96" i="3" s="1"/>
  <c r="J97" i="3"/>
  <c r="Q97" i="3" s="1"/>
  <c r="J98" i="3"/>
  <c r="Q98" i="3" s="1"/>
  <c r="J99" i="3"/>
  <c r="Q99" i="3" s="1"/>
  <c r="J100" i="3"/>
  <c r="Q100" i="3" s="1"/>
  <c r="J101" i="3"/>
  <c r="Q101" i="3" s="1"/>
  <c r="J102" i="3"/>
  <c r="Q102" i="3" s="1"/>
  <c r="J103" i="3"/>
  <c r="Q103" i="3" s="1"/>
  <c r="J104" i="3"/>
  <c r="Q104" i="3" s="1"/>
  <c r="J105" i="3"/>
  <c r="Q105" i="3" s="1"/>
  <c r="J106" i="3"/>
  <c r="Q106" i="3" s="1"/>
  <c r="J107" i="3"/>
  <c r="Q107" i="3" s="1"/>
  <c r="J108" i="3"/>
  <c r="Q108" i="3" s="1"/>
  <c r="J109" i="3"/>
  <c r="Q109" i="3" s="1"/>
  <c r="J110" i="3"/>
  <c r="Q110" i="3" s="1"/>
  <c r="J111" i="3"/>
  <c r="Q111" i="3" s="1"/>
  <c r="J112" i="3"/>
  <c r="Q112" i="3" s="1"/>
  <c r="J113" i="3"/>
  <c r="Q113" i="3" s="1"/>
  <c r="J114" i="3"/>
  <c r="Q114" i="3" s="1"/>
  <c r="J115" i="3"/>
  <c r="Q115" i="3" s="1"/>
  <c r="J116" i="3"/>
  <c r="Q116" i="3" s="1"/>
  <c r="J117" i="3"/>
  <c r="Q117" i="3" s="1"/>
  <c r="J118" i="3"/>
  <c r="Q118" i="3" s="1"/>
  <c r="J119" i="3"/>
  <c r="Q119" i="3" s="1"/>
  <c r="J120" i="3"/>
  <c r="Q120" i="3" s="1"/>
  <c r="J121" i="3"/>
  <c r="Q121" i="3" s="1"/>
  <c r="J122" i="3"/>
  <c r="Q122" i="3" s="1"/>
  <c r="J123" i="3"/>
  <c r="Q123" i="3" s="1"/>
  <c r="J124" i="3"/>
  <c r="Q124" i="3" s="1"/>
  <c r="J125" i="3"/>
  <c r="Q125" i="3" s="1"/>
  <c r="J126" i="3"/>
  <c r="Q126" i="3" s="1"/>
  <c r="J127" i="3"/>
  <c r="Q127" i="3" s="1"/>
  <c r="J128" i="3"/>
  <c r="Q128" i="3" s="1"/>
  <c r="J129" i="3"/>
  <c r="Q129" i="3" s="1"/>
  <c r="J130" i="3"/>
  <c r="Q130" i="3" s="1"/>
  <c r="J131" i="3"/>
  <c r="Q131" i="3" s="1"/>
  <c r="J132" i="3"/>
  <c r="Q132" i="3" s="1"/>
  <c r="J133" i="3"/>
  <c r="Q133" i="3" s="1"/>
  <c r="J134" i="3"/>
  <c r="Q134" i="3" s="1"/>
  <c r="J135" i="3"/>
  <c r="Q135" i="3" s="1"/>
  <c r="J136" i="3"/>
  <c r="Q136" i="3" s="1"/>
  <c r="J137" i="3"/>
  <c r="Q137" i="3" s="1"/>
  <c r="J138" i="3"/>
  <c r="Q138" i="3" s="1"/>
  <c r="J139" i="3"/>
  <c r="Q139" i="3" s="1"/>
  <c r="J140" i="3"/>
  <c r="Q140" i="3" s="1"/>
  <c r="J141" i="3"/>
  <c r="Q141" i="3" s="1"/>
  <c r="J142" i="3"/>
  <c r="Q142" i="3" s="1"/>
  <c r="J143" i="3"/>
  <c r="Q143" i="3" s="1"/>
  <c r="J144" i="3"/>
  <c r="Q144" i="3" s="1"/>
  <c r="J145" i="3"/>
  <c r="Q145" i="3" s="1"/>
  <c r="J146" i="3"/>
  <c r="Q146" i="3" s="1"/>
  <c r="J147" i="3"/>
  <c r="Q147" i="3" s="1"/>
  <c r="J148" i="3"/>
  <c r="Q148" i="3" s="1"/>
  <c r="J149" i="3"/>
  <c r="Q149" i="3" s="1"/>
  <c r="J150" i="3"/>
  <c r="Q150" i="3" s="1"/>
  <c r="J151" i="3"/>
  <c r="Q151" i="3" s="1"/>
  <c r="J152" i="3"/>
  <c r="Q152" i="3" s="1"/>
  <c r="J153" i="3"/>
  <c r="Q153" i="3" s="1"/>
  <c r="J154" i="3"/>
  <c r="Q154" i="3" s="1"/>
  <c r="J155" i="3"/>
  <c r="Q155" i="3" s="1"/>
  <c r="J156" i="3"/>
  <c r="Q156" i="3" s="1"/>
  <c r="J157" i="3"/>
  <c r="Q157" i="3" s="1"/>
  <c r="J158" i="3"/>
  <c r="Q158" i="3" s="1"/>
  <c r="J159" i="3"/>
  <c r="Q159" i="3" s="1"/>
  <c r="J160" i="3"/>
  <c r="Q160" i="3" s="1"/>
  <c r="J161" i="3"/>
  <c r="Q161" i="3" s="1"/>
  <c r="J162" i="3"/>
  <c r="Q162" i="3" s="1"/>
  <c r="J163" i="3"/>
  <c r="Q163" i="3" s="1"/>
  <c r="J164" i="3"/>
  <c r="Q164" i="3" s="1"/>
  <c r="J165" i="3"/>
  <c r="Q165" i="3" s="1"/>
  <c r="J166" i="3"/>
  <c r="Q166" i="3" s="1"/>
  <c r="J167" i="3"/>
  <c r="Q167" i="3" s="1"/>
  <c r="J168" i="3"/>
  <c r="Q168" i="3" s="1"/>
  <c r="J169" i="3"/>
  <c r="Q169" i="3" s="1"/>
  <c r="J170" i="3"/>
  <c r="Q170" i="3" s="1"/>
  <c r="J171" i="3"/>
  <c r="Q171" i="3" s="1"/>
  <c r="J172" i="3"/>
  <c r="Q172" i="3" s="1"/>
  <c r="J173" i="3"/>
  <c r="Q173" i="3" s="1"/>
  <c r="J174" i="3"/>
  <c r="Q174" i="3" s="1"/>
  <c r="J175" i="3"/>
  <c r="Q175" i="3" s="1"/>
  <c r="J176" i="3"/>
  <c r="Q176" i="3" s="1"/>
  <c r="J177" i="3"/>
  <c r="Q177" i="3" s="1"/>
  <c r="J178" i="3"/>
  <c r="Q178" i="3" s="1"/>
  <c r="J179" i="3"/>
  <c r="Q179" i="3" s="1"/>
  <c r="J180" i="3"/>
  <c r="Q180" i="3" s="1"/>
  <c r="J181" i="3"/>
  <c r="Q181" i="3" s="1"/>
  <c r="J182" i="3"/>
  <c r="Q182" i="3" s="1"/>
  <c r="J183" i="3"/>
  <c r="Q183" i="3" s="1"/>
  <c r="J184" i="3"/>
  <c r="Q184" i="3" s="1"/>
  <c r="J185" i="3"/>
  <c r="Q185" i="3" s="1"/>
  <c r="J186" i="3"/>
  <c r="Q186" i="3" s="1"/>
  <c r="J187" i="3"/>
  <c r="Q187" i="3" s="1"/>
  <c r="J188" i="3"/>
  <c r="Q188" i="3" s="1"/>
  <c r="J189" i="3"/>
  <c r="Q189" i="3" s="1"/>
  <c r="J190" i="3"/>
  <c r="Q190" i="3" s="1"/>
  <c r="J191" i="3"/>
  <c r="Q191" i="3" s="1"/>
  <c r="J192" i="3"/>
  <c r="Q192" i="3" s="1"/>
  <c r="J193" i="3"/>
  <c r="Q193" i="3" s="1"/>
  <c r="J194" i="3"/>
  <c r="Q194" i="3" s="1"/>
  <c r="J195" i="3"/>
  <c r="Q195" i="3" s="1"/>
  <c r="J196" i="3"/>
  <c r="Q196" i="3" s="1"/>
  <c r="J197" i="3"/>
  <c r="Q197" i="3" s="1"/>
  <c r="J198" i="3"/>
  <c r="Q198" i="3" s="1"/>
  <c r="J199" i="3"/>
  <c r="Q199" i="3" s="1"/>
  <c r="J200" i="3"/>
  <c r="Q200" i="3" s="1"/>
  <c r="J201" i="3"/>
  <c r="Q201" i="3" s="1"/>
  <c r="J202" i="3"/>
  <c r="Q202" i="3" s="1"/>
  <c r="J203" i="3"/>
  <c r="Q203" i="3" s="1"/>
  <c r="J204" i="3"/>
  <c r="Q204" i="3" s="1"/>
  <c r="J205" i="3"/>
  <c r="Q205" i="3" s="1"/>
  <c r="J206" i="3"/>
  <c r="Q206" i="3" s="1"/>
  <c r="J207" i="3"/>
  <c r="Q207" i="3" s="1"/>
  <c r="J208" i="3"/>
  <c r="Q208" i="3" s="1"/>
  <c r="J209" i="3"/>
  <c r="Q209" i="3" s="1"/>
  <c r="J210" i="3"/>
  <c r="Q210" i="3" s="1"/>
  <c r="J211" i="3"/>
  <c r="Q211" i="3" s="1"/>
  <c r="J212" i="3"/>
  <c r="Q212" i="3" s="1"/>
  <c r="J213" i="3"/>
  <c r="Q213" i="3" s="1"/>
  <c r="J214" i="3"/>
  <c r="Q214" i="3" s="1"/>
  <c r="J215" i="3"/>
  <c r="Q215" i="3" s="1"/>
  <c r="J216" i="3"/>
  <c r="Q216" i="3" s="1"/>
  <c r="J217" i="3"/>
  <c r="Q217" i="3" s="1"/>
  <c r="J218" i="3"/>
  <c r="Q218" i="3" s="1"/>
  <c r="J219" i="3"/>
  <c r="Q219" i="3" s="1"/>
  <c r="J220" i="3"/>
  <c r="Q220" i="3" s="1"/>
  <c r="J221" i="3"/>
  <c r="Q221" i="3" s="1"/>
  <c r="J222" i="3"/>
  <c r="Q222" i="3" s="1"/>
  <c r="J223" i="3"/>
  <c r="Q223" i="3" s="1"/>
  <c r="J224" i="3"/>
  <c r="Q224" i="3" s="1"/>
  <c r="J225" i="3"/>
  <c r="Q225" i="3" s="1"/>
  <c r="J226" i="3"/>
  <c r="Q226" i="3" s="1"/>
  <c r="J227" i="3"/>
  <c r="Q227" i="3" s="1"/>
  <c r="J228" i="3"/>
  <c r="Q228" i="3" s="1"/>
  <c r="J229" i="3"/>
  <c r="Q229" i="3" s="1"/>
  <c r="J230" i="3"/>
  <c r="Q230" i="3" s="1"/>
  <c r="J231" i="3"/>
  <c r="Q231" i="3" s="1"/>
  <c r="J232" i="3"/>
  <c r="Q232" i="3" s="1"/>
  <c r="J233" i="3"/>
  <c r="Q233" i="3" s="1"/>
  <c r="J234" i="3"/>
  <c r="Q234" i="3" s="1"/>
  <c r="J235" i="3"/>
  <c r="Q235" i="3" s="1"/>
  <c r="J236" i="3"/>
  <c r="Q236" i="3" s="1"/>
  <c r="J237" i="3"/>
  <c r="Q237" i="3" s="1"/>
  <c r="J238" i="3"/>
  <c r="Q238" i="3" s="1"/>
  <c r="J239" i="3"/>
  <c r="Q239" i="3" s="1"/>
  <c r="J240" i="3"/>
  <c r="Q240" i="3" s="1"/>
  <c r="J241" i="3"/>
  <c r="Q241" i="3" s="1"/>
  <c r="J242" i="3"/>
  <c r="Q242" i="3" s="1"/>
  <c r="J243" i="3"/>
  <c r="Q243" i="3" s="1"/>
  <c r="J244" i="3"/>
  <c r="Q244" i="3" s="1"/>
  <c r="J245" i="3"/>
  <c r="Q245" i="3" s="1"/>
  <c r="J246" i="3"/>
  <c r="Q246" i="3" s="1"/>
  <c r="J247" i="3"/>
  <c r="Q247" i="3" s="1"/>
  <c r="J248" i="3"/>
  <c r="Q248" i="3" s="1"/>
  <c r="J249" i="3"/>
  <c r="Q249" i="3" s="1"/>
  <c r="J250" i="3"/>
  <c r="Q250" i="3" s="1"/>
  <c r="J251" i="3"/>
  <c r="Q251" i="3" s="1"/>
  <c r="J252" i="3"/>
  <c r="Q252" i="3" s="1"/>
  <c r="J253" i="3"/>
  <c r="Q253" i="3" s="1"/>
  <c r="J254" i="3"/>
  <c r="Q254" i="3" s="1"/>
  <c r="J255" i="3"/>
  <c r="Q255" i="3" s="1"/>
  <c r="J256" i="3"/>
  <c r="Q256" i="3" s="1"/>
  <c r="J257" i="3"/>
  <c r="Q257" i="3" s="1"/>
  <c r="J258" i="3"/>
  <c r="Q258" i="3" s="1"/>
  <c r="J259" i="3"/>
  <c r="Q259" i="3" s="1"/>
  <c r="J260" i="3"/>
  <c r="Q260" i="3" s="1"/>
  <c r="J261" i="3"/>
  <c r="Q261" i="3" s="1"/>
  <c r="J262" i="3"/>
  <c r="Q262" i="3" s="1"/>
  <c r="J263" i="3"/>
  <c r="Q263" i="3" s="1"/>
  <c r="J264" i="3"/>
  <c r="Q264" i="3" s="1"/>
  <c r="J265" i="3"/>
  <c r="Q265" i="3" s="1"/>
  <c r="J266" i="3"/>
  <c r="Q266" i="3" s="1"/>
  <c r="J267" i="3"/>
  <c r="Q267" i="3" s="1"/>
  <c r="J268" i="3"/>
  <c r="Q268" i="3" s="1"/>
  <c r="J269" i="3"/>
  <c r="Q269" i="3" s="1"/>
  <c r="J270" i="3"/>
  <c r="Q270" i="3" s="1"/>
  <c r="J271" i="3"/>
  <c r="Q271" i="3" s="1"/>
  <c r="J272" i="3"/>
  <c r="Q272" i="3" s="1"/>
  <c r="J273" i="3"/>
  <c r="Q273" i="3" s="1"/>
  <c r="J274" i="3"/>
  <c r="Q274" i="3" s="1"/>
  <c r="J275" i="3"/>
  <c r="Q275" i="3" s="1"/>
  <c r="J276" i="3"/>
  <c r="Q276" i="3" s="1"/>
  <c r="J277" i="3"/>
  <c r="Q277" i="3" s="1"/>
  <c r="J278" i="3"/>
  <c r="Q278" i="3" s="1"/>
  <c r="J279" i="3"/>
  <c r="Q279" i="3" s="1"/>
  <c r="J280" i="3"/>
  <c r="Q280" i="3" s="1"/>
  <c r="J281" i="3"/>
  <c r="Q281" i="3" s="1"/>
  <c r="J282" i="3"/>
  <c r="Q282" i="3" s="1"/>
  <c r="J283" i="3"/>
  <c r="Q283" i="3" s="1"/>
  <c r="J284" i="3"/>
  <c r="Q284" i="3" s="1"/>
  <c r="J285" i="3"/>
  <c r="Q285" i="3" s="1"/>
  <c r="J286" i="3"/>
  <c r="Q286" i="3" s="1"/>
  <c r="J287" i="3"/>
  <c r="Q287" i="3" s="1"/>
  <c r="J288" i="3"/>
  <c r="Q288" i="3" s="1"/>
  <c r="J289" i="3"/>
  <c r="Q289" i="3" s="1"/>
  <c r="J290" i="3"/>
  <c r="Q290" i="3" s="1"/>
  <c r="J291" i="3"/>
  <c r="Q291" i="3" s="1"/>
  <c r="J292" i="3"/>
  <c r="Q292" i="3" s="1"/>
  <c r="J293" i="3"/>
  <c r="Q293" i="3" s="1"/>
  <c r="J294" i="3"/>
  <c r="Q294" i="3" s="1"/>
  <c r="J295" i="3"/>
  <c r="Q295" i="3" s="1"/>
  <c r="J296" i="3"/>
  <c r="Q296" i="3" s="1"/>
  <c r="J297" i="3"/>
  <c r="Q297" i="3" s="1"/>
  <c r="J298" i="3"/>
  <c r="Q298" i="3" s="1"/>
  <c r="J299" i="3"/>
  <c r="Q299" i="3" s="1"/>
  <c r="J300" i="3"/>
  <c r="Q300" i="3" s="1"/>
  <c r="J301" i="3"/>
  <c r="Q301" i="3" s="1"/>
  <c r="J302" i="3"/>
  <c r="Q302" i="3" s="1"/>
  <c r="J303" i="3"/>
  <c r="Q303" i="3" s="1"/>
  <c r="J304" i="3"/>
  <c r="Q304" i="3" s="1"/>
  <c r="J305" i="3"/>
  <c r="Q305" i="3" s="1"/>
  <c r="J306" i="3"/>
  <c r="Q306" i="3" s="1"/>
  <c r="J307" i="3"/>
  <c r="Q307" i="3" s="1"/>
  <c r="J308" i="3"/>
  <c r="Q308" i="3" s="1"/>
  <c r="J309" i="3"/>
  <c r="Q309" i="3" s="1"/>
  <c r="J310" i="3"/>
  <c r="Q310" i="3" s="1"/>
  <c r="J311" i="3"/>
  <c r="Q311" i="3" s="1"/>
  <c r="J312" i="3"/>
  <c r="Q312" i="3" s="1"/>
  <c r="J313" i="3"/>
  <c r="Q313" i="3" s="1"/>
  <c r="J314" i="3"/>
  <c r="Q314" i="3" s="1"/>
  <c r="J315" i="3"/>
  <c r="Q315" i="3" s="1"/>
  <c r="J316" i="3"/>
  <c r="Q316" i="3" s="1"/>
  <c r="J317" i="3"/>
  <c r="Q317" i="3" s="1"/>
  <c r="J318" i="3"/>
  <c r="Q318" i="3" s="1"/>
  <c r="J319" i="3"/>
  <c r="Q319" i="3" s="1"/>
  <c r="J320" i="3"/>
  <c r="Q320" i="3" s="1"/>
  <c r="J321" i="3"/>
  <c r="Q321" i="3" s="1"/>
  <c r="J322" i="3"/>
  <c r="Q322" i="3" s="1"/>
  <c r="J323" i="3"/>
  <c r="Q323" i="3" s="1"/>
  <c r="J324" i="3"/>
  <c r="Q324" i="3" s="1"/>
  <c r="J325" i="3"/>
  <c r="Q325" i="3" s="1"/>
  <c r="J326" i="3"/>
  <c r="Q326" i="3" s="1"/>
  <c r="J327" i="3"/>
  <c r="Q327" i="3" s="1"/>
  <c r="J328" i="3"/>
  <c r="Q328" i="3" s="1"/>
  <c r="J329" i="3"/>
  <c r="Q329" i="3" s="1"/>
  <c r="J330" i="3"/>
  <c r="Q330" i="3" s="1"/>
  <c r="J331" i="3"/>
  <c r="Q331" i="3" s="1"/>
  <c r="J332" i="3"/>
  <c r="Q332" i="3" s="1"/>
  <c r="J333" i="3"/>
  <c r="Q333" i="3" s="1"/>
  <c r="J334" i="3"/>
  <c r="Q334" i="3" s="1"/>
  <c r="J335" i="3"/>
  <c r="Q335" i="3" s="1"/>
  <c r="J336" i="3"/>
  <c r="Q336" i="3" s="1"/>
  <c r="J337" i="3"/>
  <c r="Q337" i="3" s="1"/>
  <c r="J338" i="3"/>
  <c r="Q338" i="3" s="1"/>
  <c r="J339" i="3"/>
  <c r="Q339" i="3" s="1"/>
  <c r="J340" i="3"/>
  <c r="Q340" i="3" s="1"/>
  <c r="J341" i="3"/>
  <c r="Q341" i="3" s="1"/>
  <c r="J342" i="3"/>
  <c r="Q342" i="3" s="1"/>
  <c r="J343" i="3"/>
  <c r="Q343" i="3" s="1"/>
  <c r="J344" i="3"/>
  <c r="Q344" i="3" s="1"/>
  <c r="J345" i="3"/>
  <c r="Q345" i="3" s="1"/>
  <c r="J346" i="3"/>
  <c r="Q346" i="3" s="1"/>
  <c r="J347" i="3"/>
  <c r="Q347" i="3" s="1"/>
  <c r="J348" i="3"/>
  <c r="Q348" i="3" s="1"/>
  <c r="J349" i="3"/>
  <c r="Q349" i="3" s="1"/>
  <c r="J350" i="3"/>
  <c r="Q350" i="3" s="1"/>
  <c r="J351" i="3"/>
  <c r="Q351" i="3" s="1"/>
  <c r="J352" i="3"/>
  <c r="Q352" i="3" s="1"/>
  <c r="J353" i="3"/>
  <c r="Q353" i="3" s="1"/>
  <c r="J354" i="3"/>
  <c r="Q354" i="3" s="1"/>
  <c r="J355" i="3"/>
  <c r="Q355" i="3" s="1"/>
  <c r="J356" i="3"/>
  <c r="Q356" i="3" s="1"/>
  <c r="J357" i="3"/>
  <c r="Q357" i="3" s="1"/>
  <c r="J358" i="3"/>
  <c r="Q358" i="3" s="1"/>
  <c r="J359" i="3"/>
  <c r="Q359" i="3" s="1"/>
  <c r="J360" i="3"/>
  <c r="Q360" i="3" s="1"/>
  <c r="J361" i="3"/>
  <c r="Q361" i="3" s="1"/>
  <c r="J362" i="3"/>
  <c r="Q362" i="3" s="1"/>
  <c r="J363" i="3"/>
  <c r="Q363" i="3" s="1"/>
  <c r="J364" i="3"/>
  <c r="Q364" i="3" s="1"/>
  <c r="J365" i="3"/>
  <c r="Q365" i="3" s="1"/>
  <c r="J366" i="3"/>
  <c r="Q366" i="3" s="1"/>
  <c r="J367" i="3"/>
  <c r="Q367" i="3" s="1"/>
  <c r="J368" i="3"/>
  <c r="Q368" i="3" s="1"/>
  <c r="J369" i="3"/>
  <c r="Q369" i="3" s="1"/>
  <c r="J370" i="3"/>
  <c r="Q370" i="3" s="1"/>
  <c r="J371" i="3"/>
  <c r="Q371" i="3" s="1"/>
  <c r="J372" i="3"/>
  <c r="Q372" i="3" s="1"/>
  <c r="J373" i="3"/>
  <c r="Q373" i="3" s="1"/>
  <c r="J374" i="3"/>
  <c r="Q374" i="3" s="1"/>
  <c r="J375" i="3"/>
  <c r="Q375" i="3" s="1"/>
  <c r="J376" i="3"/>
  <c r="Q376" i="3" s="1"/>
  <c r="J377" i="3"/>
  <c r="Q377" i="3" s="1"/>
  <c r="J378" i="3"/>
  <c r="Q378" i="3" s="1"/>
  <c r="J379" i="3"/>
  <c r="Q379" i="3" s="1"/>
  <c r="J380" i="3"/>
  <c r="Q380" i="3" s="1"/>
  <c r="J381" i="3"/>
  <c r="Q381" i="3" s="1"/>
  <c r="J382" i="3"/>
  <c r="Q382" i="3" s="1"/>
  <c r="J383" i="3"/>
  <c r="Q383" i="3" s="1"/>
  <c r="J384" i="3"/>
  <c r="Q384" i="3" s="1"/>
  <c r="J385" i="3"/>
  <c r="Q385" i="3" s="1"/>
  <c r="J386" i="3"/>
  <c r="Q386" i="3" s="1"/>
  <c r="J387" i="3"/>
  <c r="Q387" i="3" s="1"/>
  <c r="J388" i="3"/>
  <c r="Q388" i="3" s="1"/>
  <c r="J389" i="3"/>
  <c r="Q389" i="3" s="1"/>
  <c r="J390" i="3"/>
  <c r="Q390" i="3" s="1"/>
  <c r="J391" i="3"/>
  <c r="Q391" i="3" s="1"/>
  <c r="J392" i="3"/>
  <c r="Q392" i="3" s="1"/>
  <c r="J393" i="3"/>
  <c r="Q393" i="3" s="1"/>
  <c r="J394" i="3"/>
  <c r="Q394" i="3" s="1"/>
  <c r="J395" i="3"/>
  <c r="Q395" i="3" s="1"/>
  <c r="J396" i="3"/>
  <c r="Q396" i="3" s="1"/>
  <c r="J397" i="3"/>
  <c r="Q397" i="3" s="1"/>
  <c r="J398" i="3"/>
  <c r="Q398" i="3" s="1"/>
  <c r="J399" i="3"/>
  <c r="Q399" i="3" s="1"/>
  <c r="J400" i="3"/>
  <c r="Q400" i="3" s="1"/>
  <c r="J401" i="3"/>
  <c r="Q401" i="3" s="1"/>
  <c r="J402" i="3"/>
  <c r="Q402" i="3" s="1"/>
  <c r="J403" i="3"/>
  <c r="Q403" i="3" s="1"/>
  <c r="J404" i="3"/>
  <c r="Q404" i="3" s="1"/>
  <c r="J405" i="3"/>
  <c r="Q405" i="3" s="1"/>
  <c r="J406" i="3"/>
  <c r="Q406" i="3" s="1"/>
  <c r="J407" i="3"/>
  <c r="Q407" i="3" s="1"/>
  <c r="J408" i="3"/>
  <c r="Q408" i="3" s="1"/>
  <c r="J409" i="3"/>
  <c r="Q409" i="3" s="1"/>
  <c r="J410" i="3"/>
  <c r="Q410" i="3" s="1"/>
  <c r="J411" i="3"/>
  <c r="Q411" i="3" s="1"/>
  <c r="J412" i="3"/>
  <c r="Q412" i="3" s="1"/>
  <c r="J413" i="3"/>
  <c r="Q413" i="3" s="1"/>
  <c r="J414" i="3"/>
  <c r="Q414" i="3" s="1"/>
  <c r="J415" i="3"/>
  <c r="Q415" i="3" s="1"/>
  <c r="J416" i="3"/>
  <c r="Q416" i="3" s="1"/>
  <c r="J417" i="3"/>
  <c r="Q417" i="3" s="1"/>
  <c r="J418" i="3"/>
  <c r="Q418" i="3" s="1"/>
  <c r="J419" i="3"/>
  <c r="Q419" i="3" s="1"/>
  <c r="J420" i="3"/>
  <c r="Q420" i="3" s="1"/>
  <c r="J421" i="3"/>
  <c r="Q421" i="3" s="1"/>
  <c r="J422" i="3"/>
  <c r="Q422" i="3" s="1"/>
  <c r="J423" i="3"/>
  <c r="Q423" i="3" s="1"/>
  <c r="J424" i="3"/>
  <c r="Q424" i="3" s="1"/>
  <c r="J425" i="3"/>
  <c r="Q425" i="3" s="1"/>
  <c r="J426" i="3"/>
  <c r="Q426" i="3" s="1"/>
  <c r="J427" i="3"/>
  <c r="Q427" i="3" s="1"/>
  <c r="J428" i="3"/>
  <c r="Q428" i="3" s="1"/>
  <c r="J429" i="3"/>
  <c r="Q429" i="3" s="1"/>
  <c r="J430" i="3"/>
  <c r="Q430" i="3" s="1"/>
  <c r="J431" i="3"/>
  <c r="Q431" i="3" s="1"/>
  <c r="J432" i="3"/>
  <c r="Q432" i="3" s="1"/>
  <c r="J433" i="3"/>
  <c r="Q433" i="3" s="1"/>
  <c r="J434" i="3"/>
  <c r="Q434" i="3" s="1"/>
  <c r="J435" i="3"/>
  <c r="Q435" i="3" s="1"/>
  <c r="J436" i="3"/>
  <c r="Q436" i="3" s="1"/>
  <c r="J437" i="3"/>
  <c r="Q437" i="3" s="1"/>
  <c r="J438" i="3"/>
  <c r="Q438" i="3" s="1"/>
  <c r="J439" i="3"/>
  <c r="Q439" i="3" s="1"/>
  <c r="J440" i="3"/>
  <c r="Q440" i="3" s="1"/>
  <c r="J441" i="3"/>
  <c r="Q441" i="3" s="1"/>
  <c r="J442" i="3"/>
  <c r="Q442" i="3" s="1"/>
  <c r="J443" i="3"/>
  <c r="Q443" i="3" s="1"/>
  <c r="J444" i="3"/>
  <c r="Q444" i="3" s="1"/>
  <c r="J445" i="3"/>
  <c r="Q445" i="3" s="1"/>
  <c r="J446" i="3"/>
  <c r="Q446" i="3" s="1"/>
  <c r="J447" i="3"/>
  <c r="Q447" i="3" s="1"/>
  <c r="J448" i="3"/>
  <c r="Q448" i="3" s="1"/>
  <c r="J449" i="3"/>
  <c r="Q449" i="3" s="1"/>
  <c r="J450" i="3"/>
  <c r="Q450" i="3" s="1"/>
  <c r="J451" i="3"/>
  <c r="Q451" i="3" s="1"/>
  <c r="J452" i="3"/>
  <c r="Q452" i="3" s="1"/>
  <c r="J453" i="3"/>
  <c r="Q453" i="3" s="1"/>
  <c r="J454" i="3"/>
  <c r="Q454" i="3" s="1"/>
  <c r="J455" i="3"/>
  <c r="Q455" i="3" s="1"/>
  <c r="J456" i="3"/>
  <c r="Q456" i="3" s="1"/>
  <c r="J457" i="3"/>
  <c r="Q457" i="3" s="1"/>
  <c r="J458" i="3"/>
  <c r="Q458" i="3" s="1"/>
  <c r="J459" i="3"/>
  <c r="Q459" i="3" s="1"/>
  <c r="J460" i="3"/>
  <c r="Q460" i="3" s="1"/>
  <c r="J461" i="3"/>
  <c r="Q461" i="3" s="1"/>
  <c r="J462" i="3"/>
  <c r="Q462" i="3" s="1"/>
  <c r="J463" i="3"/>
  <c r="Q463" i="3" s="1"/>
  <c r="J464" i="3"/>
  <c r="Q464" i="3" s="1"/>
  <c r="J465" i="3"/>
  <c r="Q465" i="3" s="1"/>
  <c r="J466" i="3"/>
  <c r="Q466" i="3" s="1"/>
  <c r="J467" i="3"/>
  <c r="Q467" i="3" s="1"/>
  <c r="J468" i="3"/>
  <c r="Q468" i="3" s="1"/>
  <c r="J469" i="3"/>
  <c r="Q469" i="3" s="1"/>
  <c r="J470" i="3"/>
  <c r="Q470" i="3" s="1"/>
  <c r="J471" i="3"/>
  <c r="Q471" i="3" s="1"/>
  <c r="J472" i="3"/>
  <c r="Q472" i="3" s="1"/>
  <c r="J473" i="3"/>
  <c r="Q473" i="3" s="1"/>
  <c r="J474" i="3"/>
  <c r="Q474" i="3" s="1"/>
  <c r="J475" i="3"/>
  <c r="Q475" i="3" s="1"/>
  <c r="J476" i="3"/>
  <c r="Q476" i="3" s="1"/>
  <c r="J477" i="3"/>
  <c r="Q477" i="3" s="1"/>
  <c r="J478" i="3"/>
  <c r="Q478" i="3" s="1"/>
  <c r="J479" i="3"/>
  <c r="Q479" i="3" s="1"/>
  <c r="J480" i="3"/>
  <c r="Q480" i="3" s="1"/>
  <c r="J481" i="3"/>
  <c r="Q481" i="3" s="1"/>
  <c r="J482" i="3"/>
  <c r="Q482" i="3" s="1"/>
  <c r="J483" i="3"/>
  <c r="Q483" i="3" s="1"/>
  <c r="J484" i="3"/>
  <c r="Q484" i="3" s="1"/>
  <c r="J485" i="3"/>
  <c r="Q485" i="3" s="1"/>
  <c r="J486" i="3"/>
  <c r="Q486" i="3" s="1"/>
  <c r="J487" i="3"/>
  <c r="Q487" i="3" s="1"/>
  <c r="J488" i="3"/>
  <c r="Q488" i="3" s="1"/>
  <c r="J489" i="3"/>
  <c r="Q489" i="3" s="1"/>
  <c r="J490" i="3"/>
  <c r="Q490" i="3" s="1"/>
  <c r="J491" i="3"/>
  <c r="Q491" i="3" s="1"/>
  <c r="J492" i="3"/>
  <c r="Q492" i="3" s="1"/>
  <c r="J493" i="3"/>
  <c r="Q493" i="3" s="1"/>
  <c r="J494" i="3"/>
  <c r="Q494" i="3" s="1"/>
  <c r="J495" i="3"/>
  <c r="Q495" i="3" s="1"/>
  <c r="J496" i="3"/>
  <c r="Q496" i="3" s="1"/>
  <c r="J497" i="3"/>
  <c r="Q497" i="3" s="1"/>
  <c r="J498" i="3"/>
  <c r="Q498" i="3" s="1"/>
  <c r="J499" i="3"/>
  <c r="Q499" i="3" s="1"/>
  <c r="J500" i="3"/>
  <c r="Q500" i="3" s="1"/>
  <c r="J501" i="3"/>
  <c r="Q501" i="3" s="1"/>
  <c r="J502" i="3"/>
  <c r="Q502" i="3" s="1"/>
  <c r="J503" i="3"/>
  <c r="Q503" i="3" s="1"/>
  <c r="J504" i="3"/>
  <c r="Q504" i="3" s="1"/>
  <c r="J505" i="3"/>
  <c r="Q505" i="3" s="1"/>
  <c r="J506" i="3"/>
  <c r="Q506" i="3" s="1"/>
  <c r="J507" i="3"/>
  <c r="Q507" i="3" s="1"/>
  <c r="J508" i="3"/>
  <c r="Q508" i="3" s="1"/>
  <c r="J509" i="3"/>
  <c r="Q509" i="3" s="1"/>
  <c r="J510" i="3"/>
  <c r="Q510" i="3" s="1"/>
  <c r="J511" i="3"/>
  <c r="Q511" i="3" s="1"/>
  <c r="J512" i="3"/>
  <c r="Q512" i="3" s="1"/>
  <c r="J513" i="3"/>
  <c r="Q513" i="3" s="1"/>
  <c r="J514" i="3"/>
  <c r="Q514" i="3" s="1"/>
  <c r="J515" i="3"/>
  <c r="Q515" i="3" s="1"/>
  <c r="J516" i="3"/>
  <c r="Q516" i="3" s="1"/>
  <c r="J517" i="3"/>
  <c r="Q517" i="3" s="1"/>
  <c r="J518" i="3"/>
  <c r="Q518" i="3" s="1"/>
  <c r="J519" i="3"/>
  <c r="Q519" i="3" s="1"/>
  <c r="J520" i="3"/>
  <c r="Q520" i="3" s="1"/>
  <c r="J521" i="3"/>
  <c r="Q521" i="3" s="1"/>
  <c r="J522" i="3"/>
  <c r="Q522" i="3" s="1"/>
  <c r="J523" i="3"/>
  <c r="Q523" i="3" s="1"/>
  <c r="J524" i="3"/>
  <c r="Q524" i="3" s="1"/>
  <c r="J525" i="3"/>
  <c r="Q525" i="3" s="1"/>
  <c r="J526" i="3"/>
  <c r="Q526" i="3" s="1"/>
  <c r="J527" i="3"/>
  <c r="Q527" i="3" s="1"/>
  <c r="J528" i="3"/>
  <c r="Q528" i="3" s="1"/>
  <c r="J529" i="3"/>
  <c r="Q529" i="3" s="1"/>
  <c r="J530" i="3"/>
  <c r="Q530" i="3" s="1"/>
  <c r="J531" i="3"/>
  <c r="Q531" i="3" s="1"/>
  <c r="J532" i="3"/>
  <c r="Q532" i="3" s="1"/>
  <c r="J533" i="3"/>
  <c r="Q533" i="3" s="1"/>
  <c r="J534" i="3"/>
  <c r="Q534" i="3" s="1"/>
  <c r="J535" i="3"/>
  <c r="Q535" i="3" s="1"/>
  <c r="J536" i="3"/>
  <c r="Q536" i="3" s="1"/>
  <c r="J537" i="3"/>
  <c r="Q537" i="3" s="1"/>
  <c r="J538" i="3"/>
  <c r="Q538" i="3" s="1"/>
  <c r="J539" i="3"/>
  <c r="Q539" i="3" s="1"/>
  <c r="J540" i="3"/>
  <c r="Q540" i="3" s="1"/>
  <c r="J541" i="3"/>
  <c r="Q541" i="3" s="1"/>
  <c r="J542" i="3"/>
  <c r="Q542" i="3" s="1"/>
  <c r="J543" i="3"/>
  <c r="Q543" i="3" s="1"/>
  <c r="J544" i="3"/>
  <c r="Q544" i="3" s="1"/>
  <c r="J545" i="3"/>
  <c r="Q545" i="3" s="1"/>
  <c r="J546" i="3"/>
  <c r="Q546" i="3" s="1"/>
  <c r="J547" i="3"/>
  <c r="Q547" i="3" s="1"/>
  <c r="J548" i="3"/>
  <c r="Q548" i="3" s="1"/>
  <c r="J549" i="3"/>
  <c r="Q549" i="3" s="1"/>
  <c r="J550" i="3"/>
  <c r="Q550" i="3" s="1"/>
  <c r="J551" i="3"/>
  <c r="Q551" i="3" s="1"/>
  <c r="J552" i="3"/>
  <c r="Q552" i="3" s="1"/>
  <c r="J553" i="3"/>
  <c r="Q553" i="3" s="1"/>
  <c r="J554" i="3"/>
  <c r="Q554" i="3" s="1"/>
  <c r="J555" i="3"/>
  <c r="Q555" i="3" s="1"/>
  <c r="J556" i="3"/>
  <c r="Q556" i="3" s="1"/>
  <c r="J557" i="3"/>
  <c r="Q557" i="3" s="1"/>
  <c r="J558" i="3"/>
  <c r="Q558" i="3" s="1"/>
  <c r="J559" i="3"/>
  <c r="Q559" i="3" s="1"/>
  <c r="J560" i="3"/>
  <c r="Q560" i="3" s="1"/>
  <c r="J561" i="3"/>
  <c r="Q561" i="3" s="1"/>
  <c r="J562" i="3"/>
  <c r="Q562" i="3" s="1"/>
  <c r="J563" i="3"/>
  <c r="Q563" i="3" s="1"/>
  <c r="J564" i="3"/>
  <c r="Q564" i="3" s="1"/>
  <c r="J565" i="3"/>
  <c r="Q565" i="3" s="1"/>
  <c r="J566" i="3"/>
  <c r="Q566" i="3" s="1"/>
  <c r="J567" i="3"/>
  <c r="Q567" i="3" s="1"/>
  <c r="J568" i="3"/>
  <c r="Q568" i="3" s="1"/>
  <c r="J569" i="3"/>
  <c r="Q569" i="3" s="1"/>
  <c r="J570" i="3"/>
  <c r="Q570" i="3" s="1"/>
  <c r="J571" i="3"/>
  <c r="Q571" i="3" s="1"/>
  <c r="J572" i="3"/>
  <c r="Q572" i="3" s="1"/>
  <c r="J573" i="3"/>
  <c r="Q573" i="3" s="1"/>
  <c r="J574" i="3"/>
  <c r="Q574" i="3" s="1"/>
  <c r="J575" i="3"/>
  <c r="Q575" i="3" s="1"/>
  <c r="J576" i="3"/>
  <c r="Q576" i="3" s="1"/>
  <c r="J577" i="3"/>
  <c r="Q577" i="3" s="1"/>
  <c r="J578" i="3"/>
  <c r="Q578" i="3" s="1"/>
  <c r="J579" i="3"/>
  <c r="Q579" i="3" s="1"/>
  <c r="J580" i="3"/>
  <c r="Q580" i="3" s="1"/>
  <c r="J581" i="3"/>
  <c r="Q581" i="3" s="1"/>
  <c r="J582" i="3"/>
  <c r="Q582" i="3" s="1"/>
  <c r="J583" i="3"/>
  <c r="Q583" i="3" s="1"/>
  <c r="J584" i="3"/>
  <c r="Q584" i="3" s="1"/>
  <c r="J585" i="3"/>
  <c r="Q585" i="3" s="1"/>
  <c r="J586" i="3"/>
  <c r="Q586" i="3" s="1"/>
  <c r="J587" i="3"/>
  <c r="Q587" i="3" s="1"/>
  <c r="J588" i="3"/>
  <c r="Q588" i="3" s="1"/>
  <c r="J589" i="3"/>
  <c r="Q589" i="3" s="1"/>
  <c r="J590" i="3"/>
  <c r="Q590" i="3" s="1"/>
  <c r="J591" i="3"/>
  <c r="Q591" i="3" s="1"/>
  <c r="J592" i="3"/>
  <c r="Q592" i="3" s="1"/>
  <c r="J593" i="3"/>
  <c r="Q593" i="3" s="1"/>
  <c r="J594" i="3"/>
  <c r="Q594" i="3" s="1"/>
  <c r="J595" i="3"/>
  <c r="Q595" i="3" s="1"/>
  <c r="J596" i="3"/>
  <c r="Q596" i="3" s="1"/>
  <c r="J597" i="3"/>
  <c r="Q597" i="3" s="1"/>
  <c r="J598" i="3"/>
  <c r="Q598" i="3" s="1"/>
  <c r="J599" i="3"/>
  <c r="Q599" i="3" s="1"/>
  <c r="J600" i="3"/>
  <c r="Q600" i="3" s="1"/>
  <c r="J601" i="3"/>
  <c r="Q601" i="3" s="1"/>
  <c r="J602" i="3"/>
  <c r="Q602" i="3" s="1"/>
  <c r="J603" i="3"/>
  <c r="Q603" i="3" s="1"/>
  <c r="J604" i="3"/>
  <c r="Q604" i="3" s="1"/>
  <c r="J605" i="3"/>
  <c r="Q605" i="3" s="1"/>
  <c r="J606" i="3"/>
  <c r="Q606" i="3" s="1"/>
  <c r="J607" i="3"/>
  <c r="Q607" i="3" s="1"/>
  <c r="J608" i="3"/>
  <c r="Q608" i="3" s="1"/>
  <c r="J609" i="3"/>
  <c r="Q609" i="3" s="1"/>
  <c r="J610" i="3"/>
  <c r="Q610" i="3" s="1"/>
  <c r="J611" i="3"/>
  <c r="Q611" i="3" s="1"/>
  <c r="J612" i="3"/>
  <c r="Q612" i="3" s="1"/>
  <c r="J613" i="3"/>
  <c r="Q613" i="3" s="1"/>
  <c r="J614" i="3"/>
  <c r="Q614" i="3" s="1"/>
  <c r="J615" i="3"/>
  <c r="Q615" i="3" s="1"/>
  <c r="J616" i="3"/>
  <c r="Q616" i="3" s="1"/>
  <c r="J617" i="3"/>
  <c r="Q617" i="3" s="1"/>
  <c r="J618" i="3"/>
  <c r="Q618" i="3" s="1"/>
  <c r="J619" i="3"/>
  <c r="Q619" i="3" s="1"/>
  <c r="J620" i="3"/>
  <c r="Q620" i="3" s="1"/>
  <c r="J621" i="3"/>
  <c r="Q621" i="3" s="1"/>
  <c r="J622" i="3"/>
  <c r="Q622" i="3" s="1"/>
  <c r="J623" i="3"/>
  <c r="Q623" i="3" s="1"/>
  <c r="J624" i="3"/>
  <c r="Q624" i="3" s="1"/>
  <c r="J625" i="3"/>
  <c r="Q625" i="3" s="1"/>
  <c r="J626" i="3"/>
  <c r="Q626" i="3" s="1"/>
  <c r="J627" i="3"/>
  <c r="Q627" i="3" s="1"/>
  <c r="J628" i="3"/>
  <c r="Q628" i="3" s="1"/>
  <c r="J629" i="3"/>
  <c r="Q629" i="3" s="1"/>
  <c r="J630" i="3"/>
  <c r="Q630" i="3" s="1"/>
  <c r="J631" i="3"/>
  <c r="Q631" i="3" s="1"/>
  <c r="J632" i="3"/>
  <c r="Q632" i="3" s="1"/>
  <c r="J633" i="3"/>
  <c r="Q633" i="3" s="1"/>
  <c r="J634" i="3"/>
  <c r="Q634" i="3" s="1"/>
  <c r="J635" i="3"/>
  <c r="Q635" i="3" s="1"/>
  <c r="J636" i="3"/>
  <c r="Q636" i="3" s="1"/>
  <c r="J637" i="3"/>
  <c r="Q637" i="3" s="1"/>
  <c r="J638" i="3"/>
  <c r="Q638" i="3" s="1"/>
  <c r="J639" i="3"/>
  <c r="Q639" i="3" s="1"/>
  <c r="J640" i="3"/>
  <c r="Q640" i="3" s="1"/>
  <c r="J641" i="3"/>
  <c r="Q641" i="3" s="1"/>
  <c r="J642" i="3"/>
  <c r="Q642" i="3" s="1"/>
  <c r="J643" i="3"/>
  <c r="Q643" i="3" s="1"/>
  <c r="J644" i="3"/>
  <c r="Q644" i="3" s="1"/>
  <c r="J645" i="3"/>
  <c r="Q645" i="3" s="1"/>
  <c r="J646" i="3"/>
  <c r="Q646" i="3" s="1"/>
  <c r="J647" i="3"/>
  <c r="Q647" i="3" s="1"/>
  <c r="J648" i="3"/>
  <c r="Q648" i="3" s="1"/>
  <c r="J649" i="3"/>
  <c r="Q649" i="3" s="1"/>
  <c r="J650" i="3"/>
  <c r="Q650" i="3" s="1"/>
  <c r="J651" i="3"/>
  <c r="Q651" i="3" s="1"/>
  <c r="J652" i="3"/>
  <c r="Q652" i="3" s="1"/>
  <c r="J653" i="3"/>
  <c r="Q653" i="3" s="1"/>
  <c r="J654" i="3"/>
  <c r="Q654" i="3" s="1"/>
  <c r="J655" i="3"/>
  <c r="Q655" i="3" s="1"/>
  <c r="J656" i="3"/>
  <c r="Q656" i="3" s="1"/>
  <c r="J657" i="3"/>
  <c r="Q657" i="3" s="1"/>
  <c r="J658" i="3"/>
  <c r="Q658" i="3" s="1"/>
  <c r="J659" i="3"/>
  <c r="Q659" i="3" s="1"/>
  <c r="J660" i="3"/>
  <c r="Q660" i="3" s="1"/>
  <c r="J661" i="3"/>
  <c r="Q661" i="3" s="1"/>
  <c r="J662" i="3"/>
  <c r="Q662" i="3" s="1"/>
  <c r="J663" i="3"/>
  <c r="Q663" i="3" s="1"/>
  <c r="J664" i="3"/>
  <c r="Q664" i="3" s="1"/>
  <c r="J665" i="3"/>
  <c r="Q665" i="3" s="1"/>
  <c r="J666" i="3"/>
  <c r="Q666" i="3" s="1"/>
  <c r="J667" i="3"/>
  <c r="Q667" i="3" s="1"/>
  <c r="J668" i="3"/>
  <c r="Q668" i="3" s="1"/>
  <c r="J669" i="3"/>
  <c r="Q669" i="3" s="1"/>
  <c r="J670" i="3"/>
  <c r="Q670" i="3" s="1"/>
  <c r="J671" i="3"/>
  <c r="Q671" i="3" s="1"/>
  <c r="J672" i="3"/>
  <c r="Q672" i="3" s="1"/>
  <c r="J673" i="3"/>
  <c r="Q673" i="3" s="1"/>
  <c r="J674" i="3"/>
  <c r="Q674" i="3" s="1"/>
  <c r="J675" i="3"/>
  <c r="Q675" i="3" s="1"/>
  <c r="J676" i="3"/>
  <c r="Q676" i="3" s="1"/>
  <c r="J677" i="3"/>
  <c r="Q677" i="3" s="1"/>
  <c r="J678" i="3"/>
  <c r="Q678" i="3" s="1"/>
  <c r="J679" i="3"/>
  <c r="Q679" i="3" s="1"/>
  <c r="J680" i="3"/>
  <c r="Q680" i="3" s="1"/>
  <c r="J681" i="3"/>
  <c r="Q681" i="3" s="1"/>
  <c r="J682" i="3"/>
  <c r="Q682" i="3" s="1"/>
  <c r="J683" i="3"/>
  <c r="Q683" i="3" s="1"/>
  <c r="J684" i="3"/>
  <c r="Q684" i="3" s="1"/>
  <c r="J685" i="3"/>
  <c r="Q685" i="3" s="1"/>
  <c r="J686" i="3"/>
  <c r="Q686" i="3" s="1"/>
  <c r="J687" i="3"/>
  <c r="Q687" i="3" s="1"/>
  <c r="J688" i="3"/>
  <c r="Q688" i="3" s="1"/>
  <c r="J689" i="3"/>
  <c r="Q689" i="3" s="1"/>
  <c r="J690" i="3"/>
  <c r="Q690" i="3" s="1"/>
  <c r="J691" i="3"/>
  <c r="Q691" i="3" s="1"/>
  <c r="J692" i="3"/>
  <c r="Q692" i="3" s="1"/>
  <c r="J693" i="3"/>
  <c r="Q693" i="3" s="1"/>
  <c r="J694" i="3"/>
  <c r="Q694" i="3" s="1"/>
  <c r="J695" i="3"/>
  <c r="Q695" i="3" s="1"/>
  <c r="J696" i="3"/>
  <c r="Q696" i="3" s="1"/>
  <c r="J697" i="3"/>
  <c r="Q697" i="3" s="1"/>
  <c r="J698" i="3"/>
  <c r="Q698" i="3" s="1"/>
  <c r="J699" i="3"/>
  <c r="Q699" i="3" s="1"/>
  <c r="J700" i="3"/>
  <c r="Q700" i="3" s="1"/>
  <c r="J701" i="3"/>
  <c r="Q701" i="3" s="1"/>
  <c r="J702" i="3"/>
  <c r="Q702" i="3" s="1"/>
  <c r="J703" i="3"/>
  <c r="Q703" i="3" s="1"/>
  <c r="J704" i="3"/>
  <c r="Q704" i="3" s="1"/>
  <c r="J705" i="3"/>
  <c r="Q705" i="3" s="1"/>
  <c r="J706" i="3"/>
  <c r="Q706" i="3" s="1"/>
  <c r="J707" i="3"/>
  <c r="Q707" i="3" s="1"/>
  <c r="J708" i="3"/>
  <c r="Q708" i="3" s="1"/>
  <c r="J709" i="3"/>
  <c r="Q709" i="3" s="1"/>
  <c r="J710" i="3"/>
  <c r="Q710" i="3" s="1"/>
  <c r="J711" i="3"/>
  <c r="Q711" i="3" s="1"/>
  <c r="J712" i="3"/>
  <c r="Q712" i="3" s="1"/>
  <c r="J713" i="3"/>
  <c r="Q713" i="3" s="1"/>
  <c r="J714" i="3"/>
  <c r="Q714" i="3" s="1"/>
  <c r="J715" i="3"/>
  <c r="Q715" i="3" s="1"/>
  <c r="J716" i="3"/>
  <c r="Q716" i="3" s="1"/>
  <c r="J717" i="3"/>
  <c r="Q717" i="3" s="1"/>
  <c r="J718" i="3"/>
  <c r="Q718" i="3" s="1"/>
  <c r="J719" i="3"/>
  <c r="Q719" i="3" s="1"/>
  <c r="J720" i="3"/>
  <c r="Q720" i="3" s="1"/>
  <c r="J721" i="3"/>
  <c r="Q721" i="3" s="1"/>
  <c r="J722" i="3"/>
  <c r="Q722" i="3" s="1"/>
  <c r="J723" i="3"/>
  <c r="Q723" i="3" s="1"/>
  <c r="J724" i="3"/>
  <c r="Q724" i="3" s="1"/>
  <c r="J725" i="3"/>
  <c r="Q725" i="3" s="1"/>
  <c r="J726" i="3"/>
  <c r="Q726" i="3" s="1"/>
  <c r="J727" i="3"/>
  <c r="Q727" i="3" s="1"/>
  <c r="J728" i="3"/>
  <c r="Q728" i="3" s="1"/>
  <c r="J729" i="3"/>
  <c r="Q729" i="3" s="1"/>
  <c r="J730" i="3"/>
  <c r="Q730" i="3" s="1"/>
  <c r="J731" i="3"/>
  <c r="Q731" i="3" s="1"/>
  <c r="J732" i="3"/>
  <c r="Q732" i="3" s="1"/>
  <c r="J733" i="3"/>
  <c r="Q733" i="3" s="1"/>
  <c r="J734" i="3"/>
  <c r="Q734" i="3" s="1"/>
  <c r="J735" i="3"/>
  <c r="Q735" i="3" s="1"/>
  <c r="J736" i="3"/>
  <c r="Q736" i="3" s="1"/>
  <c r="J737" i="3"/>
  <c r="Q737" i="3" s="1"/>
  <c r="J738" i="3"/>
  <c r="Q738" i="3" s="1"/>
  <c r="J739" i="3"/>
  <c r="Q739" i="3" s="1"/>
  <c r="J740" i="3"/>
  <c r="Q740" i="3" s="1"/>
  <c r="J741" i="3"/>
  <c r="Q741" i="3" s="1"/>
  <c r="J742" i="3"/>
  <c r="Q742" i="3" s="1"/>
  <c r="J743" i="3"/>
  <c r="Q743" i="3" s="1"/>
  <c r="J744" i="3"/>
  <c r="Q744" i="3" s="1"/>
  <c r="J745" i="3"/>
  <c r="Q745" i="3" s="1"/>
  <c r="J746" i="3"/>
  <c r="Q746" i="3" s="1"/>
  <c r="J747" i="3"/>
  <c r="Q747" i="3" s="1"/>
  <c r="J748" i="3"/>
  <c r="Q748" i="3" s="1"/>
  <c r="J749" i="3"/>
  <c r="Q749" i="3" s="1"/>
  <c r="J750" i="3"/>
  <c r="Q750" i="3" s="1"/>
  <c r="J751" i="3"/>
  <c r="Q751" i="3" s="1"/>
  <c r="J752" i="3"/>
  <c r="Q752" i="3" s="1"/>
  <c r="J753" i="3"/>
  <c r="Q753" i="3" s="1"/>
  <c r="J754" i="3"/>
  <c r="Q754" i="3" s="1"/>
  <c r="J755" i="3"/>
  <c r="Q755" i="3" s="1"/>
  <c r="J756" i="3"/>
  <c r="Q756" i="3" s="1"/>
  <c r="J757" i="3"/>
  <c r="Q757" i="3" s="1"/>
  <c r="J758" i="3"/>
  <c r="Q758" i="3" s="1"/>
  <c r="J759" i="3"/>
  <c r="Q759" i="3" s="1"/>
  <c r="J760" i="3"/>
  <c r="Q760" i="3" s="1"/>
  <c r="J761" i="3"/>
  <c r="Q761" i="3" s="1"/>
  <c r="J762" i="3"/>
  <c r="Q762" i="3" s="1"/>
  <c r="J763" i="3"/>
  <c r="Q763" i="3" s="1"/>
  <c r="J764" i="3"/>
  <c r="Q764" i="3" s="1"/>
  <c r="J765" i="3"/>
  <c r="Q765" i="3" s="1"/>
  <c r="J766" i="3"/>
  <c r="Q766" i="3" s="1"/>
  <c r="J767" i="3"/>
  <c r="Q767" i="3" s="1"/>
  <c r="J768" i="3"/>
  <c r="Q768" i="3" s="1"/>
  <c r="J769" i="3"/>
  <c r="Q769" i="3" s="1"/>
  <c r="J770" i="3"/>
  <c r="Q770" i="3" s="1"/>
  <c r="J771" i="3"/>
  <c r="Q771" i="3" s="1"/>
  <c r="J772" i="3"/>
  <c r="Q772" i="3" s="1"/>
  <c r="J773" i="3"/>
  <c r="Q773" i="3" s="1"/>
  <c r="J774" i="3"/>
  <c r="Q774" i="3" s="1"/>
  <c r="J775" i="3"/>
  <c r="Q775" i="3" s="1"/>
  <c r="J776" i="3"/>
  <c r="Q776" i="3" s="1"/>
  <c r="J777" i="3"/>
  <c r="Q777" i="3" s="1"/>
  <c r="J778" i="3"/>
  <c r="Q778" i="3" s="1"/>
  <c r="J779" i="3"/>
  <c r="Q779" i="3" s="1"/>
  <c r="J780" i="3"/>
  <c r="Q780" i="3" s="1"/>
  <c r="J781" i="3"/>
  <c r="Q781" i="3" s="1"/>
  <c r="J782" i="3"/>
  <c r="Q782" i="3" s="1"/>
  <c r="J783" i="3"/>
  <c r="Q783" i="3" s="1"/>
  <c r="J784" i="3"/>
  <c r="Q784" i="3" s="1"/>
  <c r="J785" i="3"/>
  <c r="Q785" i="3" s="1"/>
  <c r="J786" i="3"/>
  <c r="Q786" i="3" s="1"/>
  <c r="J787" i="3"/>
  <c r="Q787" i="3" s="1"/>
  <c r="J788" i="3"/>
  <c r="Q788" i="3" s="1"/>
  <c r="J789" i="3"/>
  <c r="Q789" i="3" s="1"/>
  <c r="J790" i="3"/>
  <c r="Q790" i="3" s="1"/>
  <c r="J791" i="3"/>
  <c r="Q791" i="3" s="1"/>
  <c r="J792" i="3"/>
  <c r="Q792" i="3" s="1"/>
  <c r="J793" i="3"/>
  <c r="Q793" i="3" s="1"/>
  <c r="J794" i="3"/>
  <c r="Q794" i="3" s="1"/>
  <c r="J795" i="3"/>
  <c r="Q795" i="3" s="1"/>
  <c r="J796" i="3"/>
  <c r="Q796" i="3" s="1"/>
  <c r="J797" i="3"/>
  <c r="Q797" i="3" s="1"/>
  <c r="J798" i="3"/>
  <c r="Q798" i="3" s="1"/>
  <c r="J799" i="3"/>
  <c r="Q799" i="3" s="1"/>
  <c r="J800" i="3"/>
  <c r="Q800" i="3" s="1"/>
  <c r="J801" i="3"/>
  <c r="Q801" i="3" s="1"/>
  <c r="J802" i="3"/>
  <c r="Q802" i="3" s="1"/>
  <c r="J803" i="3"/>
  <c r="Q803" i="3" s="1"/>
  <c r="J804" i="3"/>
  <c r="Q804" i="3" s="1"/>
  <c r="J805" i="3"/>
  <c r="Q805" i="3" s="1"/>
  <c r="J806" i="3"/>
  <c r="Q806" i="3" s="1"/>
  <c r="J807" i="3"/>
  <c r="Q807" i="3" s="1"/>
  <c r="J808" i="3"/>
  <c r="Q808" i="3" s="1"/>
  <c r="J809" i="3"/>
  <c r="Q809" i="3" s="1"/>
  <c r="J810" i="3"/>
  <c r="Q810" i="3" s="1"/>
  <c r="J811" i="3"/>
  <c r="Q811" i="3" s="1"/>
  <c r="J812" i="3"/>
  <c r="Q812" i="3" s="1"/>
  <c r="J813" i="3"/>
  <c r="Q813" i="3" s="1"/>
  <c r="J814" i="3"/>
  <c r="Q814" i="3" s="1"/>
  <c r="J815" i="3"/>
  <c r="Q815" i="3" s="1"/>
  <c r="J816" i="3"/>
  <c r="Q816" i="3" s="1"/>
  <c r="J817" i="3"/>
  <c r="Q817" i="3" s="1"/>
  <c r="J818" i="3"/>
  <c r="Q818" i="3" s="1"/>
  <c r="J819" i="3"/>
  <c r="Q819" i="3" s="1"/>
  <c r="J820" i="3"/>
  <c r="Q820" i="3" s="1"/>
  <c r="J821" i="3"/>
  <c r="Q821" i="3" s="1"/>
  <c r="J822" i="3"/>
  <c r="Q822" i="3" s="1"/>
  <c r="J823" i="3"/>
  <c r="Q823" i="3" s="1"/>
  <c r="J824" i="3"/>
  <c r="Q824" i="3" s="1"/>
  <c r="J825" i="3"/>
  <c r="Q825" i="3" s="1"/>
  <c r="J826" i="3"/>
  <c r="Q826" i="3" s="1"/>
  <c r="J827" i="3"/>
  <c r="Q827" i="3" s="1"/>
  <c r="J828" i="3"/>
  <c r="Q828" i="3" s="1"/>
  <c r="J829" i="3"/>
  <c r="Q829" i="3" s="1"/>
  <c r="J830" i="3"/>
  <c r="Q830" i="3" s="1"/>
  <c r="J831" i="3"/>
  <c r="Q831" i="3" s="1"/>
  <c r="J832" i="3"/>
  <c r="Q832" i="3" s="1"/>
  <c r="J833" i="3"/>
  <c r="Q833" i="3" s="1"/>
  <c r="J834" i="3"/>
  <c r="Q834" i="3" s="1"/>
  <c r="J835" i="3"/>
  <c r="Q835" i="3" s="1"/>
  <c r="J836" i="3"/>
  <c r="Q836" i="3" s="1"/>
  <c r="J837" i="3"/>
  <c r="Q837" i="3" s="1"/>
  <c r="J838" i="3"/>
  <c r="Q838" i="3" s="1"/>
  <c r="J839" i="3"/>
  <c r="Q839" i="3" s="1"/>
  <c r="J840" i="3"/>
  <c r="Q840" i="3" s="1"/>
  <c r="J841" i="3"/>
  <c r="Q841" i="3" s="1"/>
  <c r="J842" i="3"/>
  <c r="Q842" i="3" s="1"/>
  <c r="J843" i="3"/>
  <c r="Q843" i="3" s="1"/>
  <c r="J844" i="3"/>
  <c r="Q844" i="3" s="1"/>
  <c r="J845" i="3"/>
  <c r="Q845" i="3" s="1"/>
  <c r="J846" i="3"/>
  <c r="Q846" i="3" s="1"/>
  <c r="J847" i="3"/>
  <c r="Q847" i="3" s="1"/>
  <c r="J848" i="3"/>
  <c r="Q848" i="3" s="1"/>
  <c r="J849" i="3"/>
  <c r="Q849" i="3" s="1"/>
  <c r="J850" i="3"/>
  <c r="Q850" i="3" s="1"/>
  <c r="J851" i="3"/>
  <c r="Q851" i="3" s="1"/>
  <c r="J852" i="3"/>
  <c r="Q852" i="3" s="1"/>
  <c r="J853" i="3"/>
  <c r="Q853" i="3" s="1"/>
  <c r="J854" i="3"/>
  <c r="Q854" i="3" s="1"/>
  <c r="J855" i="3"/>
  <c r="Q855" i="3" s="1"/>
  <c r="J856" i="3"/>
  <c r="Q856" i="3" s="1"/>
  <c r="J857" i="3"/>
  <c r="Q857" i="3" s="1"/>
  <c r="J858" i="3"/>
  <c r="Q858" i="3" s="1"/>
  <c r="J859" i="3"/>
  <c r="Q859" i="3" s="1"/>
  <c r="J860" i="3"/>
  <c r="Q860" i="3" s="1"/>
  <c r="J861" i="3"/>
  <c r="Q861" i="3" s="1"/>
  <c r="J862" i="3"/>
  <c r="Q862" i="3" s="1"/>
  <c r="J863" i="3"/>
  <c r="Q863" i="3" s="1"/>
  <c r="J864" i="3"/>
  <c r="Q864" i="3" s="1"/>
  <c r="J865" i="3"/>
  <c r="Q865" i="3" s="1"/>
  <c r="J866" i="3"/>
  <c r="Q866" i="3" s="1"/>
  <c r="J867" i="3"/>
  <c r="Q867" i="3" s="1"/>
  <c r="J868" i="3"/>
  <c r="Q868" i="3" s="1"/>
  <c r="J869" i="3"/>
  <c r="Q869" i="3" s="1"/>
  <c r="J870" i="3"/>
  <c r="Q870" i="3" s="1"/>
  <c r="J871" i="3"/>
  <c r="Q871" i="3" s="1"/>
  <c r="J872" i="3"/>
  <c r="Q872" i="3" s="1"/>
  <c r="J873" i="3"/>
  <c r="Q873" i="3" s="1"/>
  <c r="J874" i="3"/>
  <c r="Q874" i="3" s="1"/>
  <c r="J875" i="3"/>
  <c r="Q875" i="3" s="1"/>
  <c r="J876" i="3"/>
  <c r="Q876" i="3" s="1"/>
  <c r="J877" i="3"/>
  <c r="Q877" i="3" s="1"/>
  <c r="J878" i="3"/>
  <c r="Q878" i="3" s="1"/>
  <c r="J879" i="3"/>
  <c r="Q879" i="3" s="1"/>
  <c r="J880" i="3"/>
  <c r="Q880" i="3" s="1"/>
  <c r="J881" i="3"/>
  <c r="Q881" i="3" s="1"/>
  <c r="J882" i="3"/>
  <c r="Q882" i="3" s="1"/>
  <c r="J883" i="3"/>
  <c r="Q883" i="3" s="1"/>
  <c r="J884" i="3"/>
  <c r="Q884" i="3" s="1"/>
  <c r="J885" i="3"/>
  <c r="Q885" i="3" s="1"/>
  <c r="J886" i="3"/>
  <c r="Q886" i="3" s="1"/>
  <c r="J887" i="3"/>
  <c r="Q887" i="3" s="1"/>
  <c r="J888" i="3"/>
  <c r="Q888" i="3" s="1"/>
  <c r="J889" i="3"/>
  <c r="Q889" i="3" s="1"/>
  <c r="J890" i="3"/>
  <c r="Q890" i="3" s="1"/>
  <c r="J891" i="3"/>
  <c r="Q891" i="3" s="1"/>
  <c r="J892" i="3"/>
  <c r="Q892" i="3" s="1"/>
  <c r="J893" i="3"/>
  <c r="Q893" i="3" s="1"/>
  <c r="J894" i="3"/>
  <c r="Q894" i="3" s="1"/>
  <c r="J895" i="3"/>
  <c r="Q895" i="3" s="1"/>
  <c r="J896" i="3"/>
  <c r="Q896" i="3" s="1"/>
  <c r="J897" i="3"/>
  <c r="Q897" i="3" s="1"/>
  <c r="J898" i="3"/>
  <c r="Q898" i="3" s="1"/>
  <c r="J899" i="3"/>
  <c r="Q899" i="3" s="1"/>
  <c r="J900" i="3"/>
  <c r="Q900" i="3" s="1"/>
  <c r="J901" i="3"/>
  <c r="Q901" i="3" s="1"/>
  <c r="J902" i="3"/>
  <c r="Q902" i="3" s="1"/>
  <c r="J903" i="3"/>
  <c r="Q903" i="3" s="1"/>
  <c r="J904" i="3"/>
  <c r="Q904" i="3" s="1"/>
  <c r="J905" i="3"/>
  <c r="Q905" i="3" s="1"/>
  <c r="J906" i="3"/>
  <c r="Q906" i="3" s="1"/>
  <c r="J907" i="3"/>
  <c r="Q907" i="3" s="1"/>
  <c r="J908" i="3"/>
  <c r="Q908" i="3" s="1"/>
  <c r="J909" i="3"/>
  <c r="Q909" i="3" s="1"/>
  <c r="J910" i="3"/>
  <c r="Q910" i="3" s="1"/>
  <c r="J911" i="3"/>
  <c r="Q911" i="3" s="1"/>
  <c r="J912" i="3"/>
  <c r="Q912" i="3" s="1"/>
  <c r="J913" i="3"/>
  <c r="Q913" i="3" s="1"/>
  <c r="J914" i="3"/>
  <c r="Q914" i="3" s="1"/>
  <c r="J915" i="3"/>
  <c r="Q915" i="3" s="1"/>
  <c r="J916" i="3"/>
  <c r="Q916" i="3" s="1"/>
  <c r="J917" i="3"/>
  <c r="Q917" i="3" s="1"/>
  <c r="J918" i="3"/>
  <c r="Q918" i="3" s="1"/>
  <c r="J919" i="3"/>
  <c r="Q919" i="3" s="1"/>
  <c r="J920" i="3"/>
  <c r="Q920" i="3" s="1"/>
  <c r="J921" i="3"/>
  <c r="Q921" i="3" s="1"/>
  <c r="J922" i="3"/>
  <c r="Q922" i="3" s="1"/>
  <c r="J923" i="3"/>
  <c r="Q923" i="3" s="1"/>
  <c r="J924" i="3"/>
  <c r="Q924" i="3" s="1"/>
  <c r="J925" i="3"/>
  <c r="Q925" i="3" s="1"/>
  <c r="J926" i="3"/>
  <c r="Q926" i="3" s="1"/>
  <c r="J927" i="3"/>
  <c r="Q927" i="3" s="1"/>
  <c r="J928" i="3"/>
  <c r="Q928" i="3" s="1"/>
  <c r="J929" i="3"/>
  <c r="Q929" i="3" s="1"/>
  <c r="J930" i="3"/>
  <c r="Q930" i="3" s="1"/>
  <c r="J931" i="3"/>
  <c r="Q931" i="3" s="1"/>
  <c r="J932" i="3"/>
  <c r="Q932" i="3" s="1"/>
  <c r="J933" i="3"/>
  <c r="Q933" i="3" s="1"/>
  <c r="J934" i="3"/>
  <c r="Q934" i="3" s="1"/>
  <c r="J935" i="3"/>
  <c r="Q935" i="3" s="1"/>
  <c r="J936" i="3"/>
  <c r="Q936" i="3" s="1"/>
  <c r="J937" i="3"/>
  <c r="Q937" i="3" s="1"/>
  <c r="J938" i="3"/>
  <c r="Q938" i="3" s="1"/>
  <c r="J939" i="3"/>
  <c r="Q939" i="3" s="1"/>
  <c r="J940" i="3"/>
  <c r="Q940" i="3" s="1"/>
  <c r="J941" i="3"/>
  <c r="Q941" i="3" s="1"/>
  <c r="J942" i="3"/>
  <c r="Q942" i="3" s="1"/>
  <c r="J943" i="3"/>
  <c r="Q943" i="3" s="1"/>
  <c r="J944" i="3"/>
  <c r="Q944" i="3" s="1"/>
  <c r="J945" i="3"/>
  <c r="Q945" i="3" s="1"/>
  <c r="J946" i="3"/>
  <c r="Q946" i="3" s="1"/>
  <c r="J947" i="3"/>
  <c r="Q947" i="3" s="1"/>
  <c r="J948" i="3"/>
  <c r="Q948" i="3" s="1"/>
  <c r="J949" i="3"/>
  <c r="Q949" i="3" s="1"/>
  <c r="J950" i="3"/>
  <c r="Q950" i="3" s="1"/>
  <c r="J951" i="3"/>
  <c r="Q951" i="3" s="1"/>
  <c r="J952" i="3"/>
  <c r="Q952" i="3" s="1"/>
  <c r="J953" i="3"/>
  <c r="Q953" i="3" s="1"/>
  <c r="J954" i="3"/>
  <c r="Q954" i="3" s="1"/>
  <c r="J955" i="3"/>
  <c r="Q955" i="3" s="1"/>
  <c r="J956" i="3"/>
  <c r="Q956" i="3" s="1"/>
  <c r="J957" i="3"/>
  <c r="Q957" i="3" s="1"/>
  <c r="J958" i="3"/>
  <c r="Q958" i="3" s="1"/>
  <c r="J959" i="3"/>
  <c r="Q959" i="3" s="1"/>
  <c r="J960" i="3"/>
  <c r="Q960" i="3" s="1"/>
  <c r="J961" i="3"/>
  <c r="Q961" i="3" s="1"/>
  <c r="J962" i="3"/>
  <c r="Q962" i="3" s="1"/>
  <c r="J963" i="3"/>
  <c r="Q963" i="3" s="1"/>
  <c r="J964" i="3"/>
  <c r="Q964" i="3" s="1"/>
  <c r="J965" i="3"/>
  <c r="Q965" i="3" s="1"/>
  <c r="J966" i="3"/>
  <c r="Q966" i="3" s="1"/>
  <c r="J967" i="3"/>
  <c r="Q967" i="3" s="1"/>
  <c r="J968" i="3"/>
  <c r="Q968" i="3" s="1"/>
  <c r="J969" i="3"/>
  <c r="Q969" i="3" s="1"/>
  <c r="J970" i="3"/>
  <c r="Q970" i="3" s="1"/>
  <c r="J971" i="3"/>
  <c r="Q971" i="3" s="1"/>
  <c r="J972" i="3"/>
  <c r="Q972" i="3" s="1"/>
  <c r="J973" i="3"/>
  <c r="Q973" i="3" s="1"/>
  <c r="J974" i="3"/>
  <c r="Q974" i="3" s="1"/>
  <c r="J975" i="3"/>
  <c r="Q975" i="3" s="1"/>
  <c r="J976" i="3"/>
  <c r="Q976" i="3" s="1"/>
  <c r="J977" i="3"/>
  <c r="Q977" i="3" s="1"/>
  <c r="J978" i="3"/>
  <c r="Q978" i="3" s="1"/>
  <c r="J979" i="3"/>
  <c r="Q979" i="3" s="1"/>
  <c r="J980" i="3"/>
  <c r="Q980" i="3" s="1"/>
  <c r="J981" i="3"/>
  <c r="Q981" i="3" s="1"/>
  <c r="J982" i="3"/>
  <c r="Q982" i="3" s="1"/>
  <c r="J983" i="3"/>
  <c r="Q983" i="3" s="1"/>
  <c r="J984" i="3"/>
  <c r="Q984" i="3" s="1"/>
  <c r="J985" i="3"/>
  <c r="Q985" i="3" s="1"/>
  <c r="J986" i="3"/>
  <c r="Q986" i="3" s="1"/>
  <c r="J987" i="3"/>
  <c r="Q987" i="3" s="1"/>
  <c r="J988" i="3"/>
  <c r="Q988" i="3" s="1"/>
  <c r="J989" i="3"/>
  <c r="Q989" i="3" s="1"/>
  <c r="J990" i="3"/>
  <c r="Q990" i="3" s="1"/>
  <c r="J991" i="3"/>
  <c r="Q991" i="3" s="1"/>
  <c r="J992" i="3"/>
  <c r="Q992" i="3" s="1"/>
  <c r="J993" i="3"/>
  <c r="Q993" i="3" s="1"/>
  <c r="J994" i="3"/>
  <c r="Q994" i="3" s="1"/>
  <c r="J995" i="3"/>
  <c r="Q995" i="3" s="1"/>
  <c r="J996" i="3"/>
  <c r="Q996" i="3" s="1"/>
  <c r="J997" i="3"/>
  <c r="Q997" i="3" s="1"/>
  <c r="J998" i="3"/>
  <c r="Q998" i="3" s="1"/>
  <c r="J999" i="3"/>
  <c r="Q999" i="3" s="1"/>
  <c r="J1000" i="3"/>
  <c r="Q1000" i="3" s="1"/>
  <c r="J1001" i="3"/>
  <c r="Q1001" i="3" s="1"/>
  <c r="J1002" i="3"/>
  <c r="Q1002" i="3" s="1"/>
  <c r="J1003" i="3"/>
  <c r="Q1003" i="3" s="1"/>
  <c r="J1004" i="3"/>
  <c r="Q1004" i="3" s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658" i="3"/>
  <c r="M659" i="3"/>
  <c r="M660" i="3"/>
  <c r="M661" i="3"/>
  <c r="M662" i="3"/>
  <c r="M663" i="3"/>
  <c r="M664" i="3"/>
  <c r="M665" i="3"/>
  <c r="M666" i="3"/>
  <c r="M667" i="3"/>
  <c r="M668" i="3"/>
  <c r="M669" i="3"/>
  <c r="M670" i="3"/>
  <c r="M671" i="3"/>
  <c r="M672" i="3"/>
  <c r="M673" i="3"/>
  <c r="M674" i="3"/>
  <c r="M675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4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8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N5" i="3"/>
  <c r="O5" i="3" s="1"/>
  <c r="N6" i="3"/>
  <c r="O6" i="3" s="1"/>
  <c r="N7" i="3"/>
  <c r="N8" i="3"/>
  <c r="N9" i="3"/>
  <c r="O9" i="3" s="1"/>
  <c r="N10" i="3"/>
  <c r="N11" i="3"/>
  <c r="O11" i="3" s="1"/>
  <c r="N12" i="3"/>
  <c r="N13" i="3"/>
  <c r="N14" i="3"/>
  <c r="N15" i="3"/>
  <c r="O15" i="3" s="1"/>
  <c r="N16" i="3"/>
  <c r="N17" i="3"/>
  <c r="O17" i="3" s="1"/>
  <c r="N18" i="3"/>
  <c r="O18" i="3" s="1"/>
  <c r="N19" i="3"/>
  <c r="N20" i="3"/>
  <c r="O20" i="3" s="1"/>
  <c r="N21" i="3"/>
  <c r="O21" i="3" s="1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N1003" i="3"/>
  <c r="N1004" i="3"/>
  <c r="O7" i="3"/>
  <c r="O8" i="3"/>
  <c r="O10" i="3"/>
  <c r="O12" i="3"/>
  <c r="O13" i="3"/>
  <c r="O14" i="3"/>
  <c r="O16" i="3"/>
  <c r="O19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4" i="3"/>
  <c r="O555" i="3"/>
  <c r="O556" i="3"/>
  <c r="O557" i="3"/>
  <c r="O558" i="3"/>
  <c r="O559" i="3"/>
  <c r="O560" i="3"/>
  <c r="O561" i="3"/>
  <c r="O562" i="3"/>
  <c r="O563" i="3"/>
  <c r="O564" i="3"/>
  <c r="O565" i="3"/>
  <c r="O566" i="3"/>
  <c r="O567" i="3"/>
  <c r="O568" i="3"/>
  <c r="O569" i="3"/>
  <c r="O570" i="3"/>
  <c r="O571" i="3"/>
  <c r="O572" i="3"/>
  <c r="O573" i="3"/>
  <c r="O574" i="3"/>
  <c r="O575" i="3"/>
  <c r="O576" i="3"/>
  <c r="O577" i="3"/>
  <c r="O578" i="3"/>
  <c r="O579" i="3"/>
  <c r="O580" i="3"/>
  <c r="O581" i="3"/>
  <c r="O582" i="3"/>
  <c r="O583" i="3"/>
  <c r="O584" i="3"/>
  <c r="O585" i="3"/>
  <c r="O586" i="3"/>
  <c r="O587" i="3"/>
  <c r="O588" i="3"/>
  <c r="O589" i="3"/>
  <c r="O590" i="3"/>
  <c r="O591" i="3"/>
  <c r="O592" i="3"/>
  <c r="O593" i="3"/>
  <c r="O594" i="3"/>
  <c r="O595" i="3"/>
  <c r="O596" i="3"/>
  <c r="O597" i="3"/>
  <c r="O598" i="3"/>
  <c r="O599" i="3"/>
  <c r="O600" i="3"/>
  <c r="O601" i="3"/>
  <c r="O602" i="3"/>
  <c r="O603" i="3"/>
  <c r="O604" i="3"/>
  <c r="O605" i="3"/>
  <c r="O606" i="3"/>
  <c r="O607" i="3"/>
  <c r="O608" i="3"/>
  <c r="O609" i="3"/>
  <c r="O610" i="3"/>
  <c r="O611" i="3"/>
  <c r="O612" i="3"/>
  <c r="O613" i="3"/>
  <c r="O614" i="3"/>
  <c r="O615" i="3"/>
  <c r="O616" i="3"/>
  <c r="O617" i="3"/>
  <c r="O618" i="3"/>
  <c r="O619" i="3"/>
  <c r="O620" i="3"/>
  <c r="O621" i="3"/>
  <c r="O622" i="3"/>
  <c r="O623" i="3"/>
  <c r="O624" i="3"/>
  <c r="O625" i="3"/>
  <c r="O626" i="3"/>
  <c r="O627" i="3"/>
  <c r="O628" i="3"/>
  <c r="O629" i="3"/>
  <c r="O630" i="3"/>
  <c r="O631" i="3"/>
  <c r="O632" i="3"/>
  <c r="O633" i="3"/>
  <c r="O634" i="3"/>
  <c r="O635" i="3"/>
  <c r="O636" i="3"/>
  <c r="O637" i="3"/>
  <c r="O638" i="3"/>
  <c r="O639" i="3"/>
  <c r="O640" i="3"/>
  <c r="O641" i="3"/>
  <c r="O642" i="3"/>
  <c r="O643" i="3"/>
  <c r="O644" i="3"/>
  <c r="O645" i="3"/>
  <c r="O646" i="3"/>
  <c r="O647" i="3"/>
  <c r="O648" i="3"/>
  <c r="O649" i="3"/>
  <c r="O650" i="3"/>
  <c r="O651" i="3"/>
  <c r="O652" i="3"/>
  <c r="O653" i="3"/>
  <c r="O654" i="3"/>
  <c r="O655" i="3"/>
  <c r="O656" i="3"/>
  <c r="O657" i="3"/>
  <c r="O658" i="3"/>
  <c r="O659" i="3"/>
  <c r="O660" i="3"/>
  <c r="O661" i="3"/>
  <c r="O662" i="3"/>
  <c r="O663" i="3"/>
  <c r="O664" i="3"/>
  <c r="O665" i="3"/>
  <c r="O666" i="3"/>
  <c r="O667" i="3"/>
  <c r="O668" i="3"/>
  <c r="O669" i="3"/>
  <c r="O670" i="3"/>
  <c r="O671" i="3"/>
  <c r="O672" i="3"/>
  <c r="O673" i="3"/>
  <c r="O674" i="3"/>
  <c r="O675" i="3"/>
  <c r="O676" i="3"/>
  <c r="O677" i="3"/>
  <c r="O678" i="3"/>
  <c r="O679" i="3"/>
  <c r="O680" i="3"/>
  <c r="O681" i="3"/>
  <c r="O682" i="3"/>
  <c r="O683" i="3"/>
  <c r="O684" i="3"/>
  <c r="O685" i="3"/>
  <c r="O686" i="3"/>
  <c r="O687" i="3"/>
  <c r="O688" i="3"/>
  <c r="O689" i="3"/>
  <c r="O690" i="3"/>
  <c r="O691" i="3"/>
  <c r="O692" i="3"/>
  <c r="O693" i="3"/>
  <c r="O694" i="3"/>
  <c r="O695" i="3"/>
  <c r="O696" i="3"/>
  <c r="O697" i="3"/>
  <c r="O698" i="3"/>
  <c r="O699" i="3"/>
  <c r="O700" i="3"/>
  <c r="O701" i="3"/>
  <c r="O702" i="3"/>
  <c r="O703" i="3"/>
  <c r="O704" i="3"/>
  <c r="O705" i="3"/>
  <c r="O706" i="3"/>
  <c r="O707" i="3"/>
  <c r="O708" i="3"/>
  <c r="O709" i="3"/>
  <c r="O710" i="3"/>
  <c r="O711" i="3"/>
  <c r="O712" i="3"/>
  <c r="O713" i="3"/>
  <c r="O714" i="3"/>
  <c r="O715" i="3"/>
  <c r="O716" i="3"/>
  <c r="O717" i="3"/>
  <c r="O718" i="3"/>
  <c r="O719" i="3"/>
  <c r="O720" i="3"/>
  <c r="O721" i="3"/>
  <c r="O722" i="3"/>
  <c r="O723" i="3"/>
  <c r="O724" i="3"/>
  <c r="O725" i="3"/>
  <c r="O726" i="3"/>
  <c r="O727" i="3"/>
  <c r="O728" i="3"/>
  <c r="O729" i="3"/>
  <c r="O730" i="3"/>
  <c r="O731" i="3"/>
  <c r="O732" i="3"/>
  <c r="O733" i="3"/>
  <c r="O734" i="3"/>
  <c r="O735" i="3"/>
  <c r="O736" i="3"/>
  <c r="O737" i="3"/>
  <c r="O738" i="3"/>
  <c r="O739" i="3"/>
  <c r="O740" i="3"/>
  <c r="O741" i="3"/>
  <c r="O742" i="3"/>
  <c r="O743" i="3"/>
  <c r="O744" i="3"/>
  <c r="O745" i="3"/>
  <c r="O746" i="3"/>
  <c r="O747" i="3"/>
  <c r="O748" i="3"/>
  <c r="O749" i="3"/>
  <c r="O750" i="3"/>
  <c r="O751" i="3"/>
  <c r="O752" i="3"/>
  <c r="O753" i="3"/>
  <c r="O754" i="3"/>
  <c r="O755" i="3"/>
  <c r="O756" i="3"/>
  <c r="O757" i="3"/>
  <c r="O758" i="3"/>
  <c r="O759" i="3"/>
  <c r="O760" i="3"/>
  <c r="O761" i="3"/>
  <c r="O762" i="3"/>
  <c r="O763" i="3"/>
  <c r="O764" i="3"/>
  <c r="O765" i="3"/>
  <c r="O766" i="3"/>
  <c r="O767" i="3"/>
  <c r="O768" i="3"/>
  <c r="O769" i="3"/>
  <c r="O770" i="3"/>
  <c r="O771" i="3"/>
  <c r="O772" i="3"/>
  <c r="O773" i="3"/>
  <c r="O774" i="3"/>
  <c r="O775" i="3"/>
  <c r="O776" i="3"/>
  <c r="O777" i="3"/>
  <c r="O778" i="3"/>
  <c r="O779" i="3"/>
  <c r="O780" i="3"/>
  <c r="O781" i="3"/>
  <c r="O782" i="3"/>
  <c r="O783" i="3"/>
  <c r="O784" i="3"/>
  <c r="O785" i="3"/>
  <c r="O786" i="3"/>
  <c r="O787" i="3"/>
  <c r="O788" i="3"/>
  <c r="O789" i="3"/>
  <c r="O790" i="3"/>
  <c r="O791" i="3"/>
  <c r="O792" i="3"/>
  <c r="O793" i="3"/>
  <c r="O794" i="3"/>
  <c r="O795" i="3"/>
  <c r="O796" i="3"/>
  <c r="O797" i="3"/>
  <c r="O798" i="3"/>
  <c r="O799" i="3"/>
  <c r="O800" i="3"/>
  <c r="O801" i="3"/>
  <c r="O802" i="3"/>
  <c r="O803" i="3"/>
  <c r="O804" i="3"/>
  <c r="O805" i="3"/>
  <c r="O806" i="3"/>
  <c r="O807" i="3"/>
  <c r="O808" i="3"/>
  <c r="O809" i="3"/>
  <c r="O810" i="3"/>
  <c r="O811" i="3"/>
  <c r="O812" i="3"/>
  <c r="O813" i="3"/>
  <c r="O814" i="3"/>
  <c r="O815" i="3"/>
  <c r="O816" i="3"/>
  <c r="O817" i="3"/>
  <c r="O818" i="3"/>
  <c r="O819" i="3"/>
  <c r="O820" i="3"/>
  <c r="O821" i="3"/>
  <c r="O822" i="3"/>
  <c r="O823" i="3"/>
  <c r="O824" i="3"/>
  <c r="O825" i="3"/>
  <c r="O826" i="3"/>
  <c r="O827" i="3"/>
  <c r="O828" i="3"/>
  <c r="O829" i="3"/>
  <c r="O830" i="3"/>
  <c r="O831" i="3"/>
  <c r="O832" i="3"/>
  <c r="O833" i="3"/>
  <c r="O834" i="3"/>
  <c r="O835" i="3"/>
  <c r="O836" i="3"/>
  <c r="O837" i="3"/>
  <c r="O838" i="3"/>
  <c r="O839" i="3"/>
  <c r="O840" i="3"/>
  <c r="O841" i="3"/>
  <c r="O842" i="3"/>
  <c r="O843" i="3"/>
  <c r="O844" i="3"/>
  <c r="O845" i="3"/>
  <c r="O846" i="3"/>
  <c r="O847" i="3"/>
  <c r="O848" i="3"/>
  <c r="O849" i="3"/>
  <c r="O850" i="3"/>
  <c r="O851" i="3"/>
  <c r="O852" i="3"/>
  <c r="O853" i="3"/>
  <c r="O854" i="3"/>
  <c r="O855" i="3"/>
  <c r="O856" i="3"/>
  <c r="O857" i="3"/>
  <c r="O858" i="3"/>
  <c r="O859" i="3"/>
  <c r="O860" i="3"/>
  <c r="O861" i="3"/>
  <c r="O862" i="3"/>
  <c r="O863" i="3"/>
  <c r="O864" i="3"/>
  <c r="O865" i="3"/>
  <c r="O866" i="3"/>
  <c r="O867" i="3"/>
  <c r="O868" i="3"/>
  <c r="O869" i="3"/>
  <c r="O870" i="3"/>
  <c r="O871" i="3"/>
  <c r="O872" i="3"/>
  <c r="O873" i="3"/>
  <c r="O874" i="3"/>
  <c r="O875" i="3"/>
  <c r="O876" i="3"/>
  <c r="O877" i="3"/>
  <c r="O878" i="3"/>
  <c r="O879" i="3"/>
  <c r="O880" i="3"/>
  <c r="O881" i="3"/>
  <c r="O882" i="3"/>
  <c r="O883" i="3"/>
  <c r="O884" i="3"/>
  <c r="O885" i="3"/>
  <c r="O886" i="3"/>
  <c r="O887" i="3"/>
  <c r="O888" i="3"/>
  <c r="O889" i="3"/>
  <c r="O890" i="3"/>
  <c r="O891" i="3"/>
  <c r="O892" i="3"/>
  <c r="O893" i="3"/>
  <c r="O894" i="3"/>
  <c r="O895" i="3"/>
  <c r="O896" i="3"/>
  <c r="O897" i="3"/>
  <c r="O898" i="3"/>
  <c r="O899" i="3"/>
  <c r="O900" i="3"/>
  <c r="O901" i="3"/>
  <c r="O902" i="3"/>
  <c r="O903" i="3"/>
  <c r="O904" i="3"/>
  <c r="O905" i="3"/>
  <c r="O906" i="3"/>
  <c r="O907" i="3"/>
  <c r="O908" i="3"/>
  <c r="O909" i="3"/>
  <c r="O910" i="3"/>
  <c r="O911" i="3"/>
  <c r="O912" i="3"/>
  <c r="O913" i="3"/>
  <c r="O914" i="3"/>
  <c r="O915" i="3"/>
  <c r="O916" i="3"/>
  <c r="O917" i="3"/>
  <c r="O918" i="3"/>
  <c r="O919" i="3"/>
  <c r="O920" i="3"/>
  <c r="O921" i="3"/>
  <c r="O922" i="3"/>
  <c r="O923" i="3"/>
  <c r="O924" i="3"/>
  <c r="O925" i="3"/>
  <c r="O926" i="3"/>
  <c r="O927" i="3"/>
  <c r="O928" i="3"/>
  <c r="O929" i="3"/>
  <c r="O930" i="3"/>
  <c r="O931" i="3"/>
  <c r="O932" i="3"/>
  <c r="O933" i="3"/>
  <c r="O934" i="3"/>
  <c r="O935" i="3"/>
  <c r="O936" i="3"/>
  <c r="O937" i="3"/>
  <c r="O938" i="3"/>
  <c r="O939" i="3"/>
  <c r="O940" i="3"/>
  <c r="O941" i="3"/>
  <c r="O942" i="3"/>
  <c r="O943" i="3"/>
  <c r="O944" i="3"/>
  <c r="O945" i="3"/>
  <c r="O946" i="3"/>
  <c r="O947" i="3"/>
  <c r="O948" i="3"/>
  <c r="O949" i="3"/>
  <c r="O950" i="3"/>
  <c r="O951" i="3"/>
  <c r="O952" i="3"/>
  <c r="O953" i="3"/>
  <c r="O954" i="3"/>
  <c r="O955" i="3"/>
  <c r="O956" i="3"/>
  <c r="O957" i="3"/>
  <c r="O958" i="3"/>
  <c r="O959" i="3"/>
  <c r="O960" i="3"/>
  <c r="O961" i="3"/>
  <c r="O962" i="3"/>
  <c r="O963" i="3"/>
  <c r="O964" i="3"/>
  <c r="O965" i="3"/>
  <c r="O966" i="3"/>
  <c r="O967" i="3"/>
  <c r="O968" i="3"/>
  <c r="O969" i="3"/>
  <c r="O970" i="3"/>
  <c r="O971" i="3"/>
  <c r="O972" i="3"/>
  <c r="O973" i="3"/>
  <c r="O974" i="3"/>
  <c r="O975" i="3"/>
  <c r="O976" i="3"/>
  <c r="O977" i="3"/>
  <c r="O978" i="3"/>
  <c r="O979" i="3"/>
  <c r="O980" i="3"/>
  <c r="O981" i="3"/>
  <c r="O982" i="3"/>
  <c r="O983" i="3"/>
  <c r="O984" i="3"/>
  <c r="O985" i="3"/>
  <c r="O986" i="3"/>
  <c r="O987" i="3"/>
  <c r="O988" i="3"/>
  <c r="O989" i="3"/>
  <c r="O990" i="3"/>
  <c r="O991" i="3"/>
  <c r="O992" i="3"/>
  <c r="O993" i="3"/>
  <c r="O994" i="3"/>
  <c r="O995" i="3"/>
  <c r="O996" i="3"/>
  <c r="O997" i="3"/>
  <c r="O998" i="3"/>
  <c r="O999" i="3"/>
  <c r="O1000" i="3"/>
  <c r="O1001" i="3"/>
  <c r="O1002" i="3"/>
  <c r="O1003" i="3"/>
  <c r="O1004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P506" i="3"/>
  <c r="P507" i="3"/>
  <c r="P508" i="3"/>
  <c r="P509" i="3"/>
  <c r="P510" i="3"/>
  <c r="P511" i="3"/>
  <c r="P512" i="3"/>
  <c r="P513" i="3"/>
  <c r="P514" i="3"/>
  <c r="P515" i="3"/>
  <c r="P516" i="3"/>
  <c r="P517" i="3"/>
  <c r="P518" i="3"/>
  <c r="P519" i="3"/>
  <c r="P520" i="3"/>
  <c r="P521" i="3"/>
  <c r="P522" i="3"/>
  <c r="P523" i="3"/>
  <c r="P524" i="3"/>
  <c r="P525" i="3"/>
  <c r="P526" i="3"/>
  <c r="P527" i="3"/>
  <c r="P528" i="3"/>
  <c r="P529" i="3"/>
  <c r="P530" i="3"/>
  <c r="P531" i="3"/>
  <c r="P532" i="3"/>
  <c r="P533" i="3"/>
  <c r="P534" i="3"/>
  <c r="P535" i="3"/>
  <c r="P536" i="3"/>
  <c r="P537" i="3"/>
  <c r="P538" i="3"/>
  <c r="P539" i="3"/>
  <c r="P540" i="3"/>
  <c r="P541" i="3"/>
  <c r="P542" i="3"/>
  <c r="P543" i="3"/>
  <c r="P544" i="3"/>
  <c r="P545" i="3"/>
  <c r="P546" i="3"/>
  <c r="P547" i="3"/>
  <c r="P548" i="3"/>
  <c r="P549" i="3"/>
  <c r="P550" i="3"/>
  <c r="P551" i="3"/>
  <c r="P552" i="3"/>
  <c r="P553" i="3"/>
  <c r="P554" i="3"/>
  <c r="P555" i="3"/>
  <c r="P556" i="3"/>
  <c r="P557" i="3"/>
  <c r="P558" i="3"/>
  <c r="P559" i="3"/>
  <c r="P560" i="3"/>
  <c r="P561" i="3"/>
  <c r="P562" i="3"/>
  <c r="P563" i="3"/>
  <c r="P564" i="3"/>
  <c r="P565" i="3"/>
  <c r="P566" i="3"/>
  <c r="P567" i="3"/>
  <c r="P568" i="3"/>
  <c r="P569" i="3"/>
  <c r="P570" i="3"/>
  <c r="P571" i="3"/>
  <c r="P572" i="3"/>
  <c r="P573" i="3"/>
  <c r="P574" i="3"/>
  <c r="P575" i="3"/>
  <c r="P576" i="3"/>
  <c r="P577" i="3"/>
  <c r="P578" i="3"/>
  <c r="P579" i="3"/>
  <c r="P580" i="3"/>
  <c r="P581" i="3"/>
  <c r="P582" i="3"/>
  <c r="P583" i="3"/>
  <c r="P584" i="3"/>
  <c r="P585" i="3"/>
  <c r="P586" i="3"/>
  <c r="P587" i="3"/>
  <c r="P588" i="3"/>
  <c r="P589" i="3"/>
  <c r="P590" i="3"/>
  <c r="P591" i="3"/>
  <c r="P592" i="3"/>
  <c r="P593" i="3"/>
  <c r="P594" i="3"/>
  <c r="P595" i="3"/>
  <c r="P596" i="3"/>
  <c r="P597" i="3"/>
  <c r="P598" i="3"/>
  <c r="P599" i="3"/>
  <c r="P600" i="3"/>
  <c r="P601" i="3"/>
  <c r="P602" i="3"/>
  <c r="P603" i="3"/>
  <c r="P604" i="3"/>
  <c r="P605" i="3"/>
  <c r="P606" i="3"/>
  <c r="P607" i="3"/>
  <c r="P608" i="3"/>
  <c r="P609" i="3"/>
  <c r="P610" i="3"/>
  <c r="P611" i="3"/>
  <c r="P612" i="3"/>
  <c r="P613" i="3"/>
  <c r="P614" i="3"/>
  <c r="P615" i="3"/>
  <c r="P616" i="3"/>
  <c r="P617" i="3"/>
  <c r="P618" i="3"/>
  <c r="P619" i="3"/>
  <c r="P620" i="3"/>
  <c r="P621" i="3"/>
  <c r="P622" i="3"/>
  <c r="P623" i="3"/>
  <c r="P624" i="3"/>
  <c r="P625" i="3"/>
  <c r="P626" i="3"/>
  <c r="P627" i="3"/>
  <c r="P628" i="3"/>
  <c r="P629" i="3"/>
  <c r="P630" i="3"/>
  <c r="P631" i="3"/>
  <c r="P632" i="3"/>
  <c r="P633" i="3"/>
  <c r="P634" i="3"/>
  <c r="P635" i="3"/>
  <c r="P636" i="3"/>
  <c r="P637" i="3"/>
  <c r="P638" i="3"/>
  <c r="P639" i="3"/>
  <c r="P640" i="3"/>
  <c r="P641" i="3"/>
  <c r="P642" i="3"/>
  <c r="P643" i="3"/>
  <c r="P644" i="3"/>
  <c r="P645" i="3"/>
  <c r="P646" i="3"/>
  <c r="P647" i="3"/>
  <c r="P648" i="3"/>
  <c r="P649" i="3"/>
  <c r="P650" i="3"/>
  <c r="P651" i="3"/>
  <c r="P652" i="3"/>
  <c r="P653" i="3"/>
  <c r="P654" i="3"/>
  <c r="P655" i="3"/>
  <c r="P656" i="3"/>
  <c r="P657" i="3"/>
  <c r="P658" i="3"/>
  <c r="P659" i="3"/>
  <c r="P660" i="3"/>
  <c r="P661" i="3"/>
  <c r="P662" i="3"/>
  <c r="P663" i="3"/>
  <c r="P664" i="3"/>
  <c r="P665" i="3"/>
  <c r="P666" i="3"/>
  <c r="P667" i="3"/>
  <c r="P668" i="3"/>
  <c r="P669" i="3"/>
  <c r="P670" i="3"/>
  <c r="P671" i="3"/>
  <c r="P672" i="3"/>
  <c r="P673" i="3"/>
  <c r="P674" i="3"/>
  <c r="P675" i="3"/>
  <c r="P676" i="3"/>
  <c r="P677" i="3"/>
  <c r="P678" i="3"/>
  <c r="P679" i="3"/>
  <c r="P680" i="3"/>
  <c r="P681" i="3"/>
  <c r="P682" i="3"/>
  <c r="P683" i="3"/>
  <c r="P684" i="3"/>
  <c r="P685" i="3"/>
  <c r="P686" i="3"/>
  <c r="P687" i="3"/>
  <c r="P688" i="3"/>
  <c r="P689" i="3"/>
  <c r="P690" i="3"/>
  <c r="P691" i="3"/>
  <c r="P692" i="3"/>
  <c r="P693" i="3"/>
  <c r="P694" i="3"/>
  <c r="P695" i="3"/>
  <c r="P696" i="3"/>
  <c r="P697" i="3"/>
  <c r="P698" i="3"/>
  <c r="P699" i="3"/>
  <c r="P700" i="3"/>
  <c r="P701" i="3"/>
  <c r="P702" i="3"/>
  <c r="P703" i="3"/>
  <c r="P704" i="3"/>
  <c r="P705" i="3"/>
  <c r="P706" i="3"/>
  <c r="P707" i="3"/>
  <c r="P708" i="3"/>
  <c r="P709" i="3"/>
  <c r="P710" i="3"/>
  <c r="P711" i="3"/>
  <c r="P712" i="3"/>
  <c r="P713" i="3"/>
  <c r="P714" i="3"/>
  <c r="P715" i="3"/>
  <c r="P716" i="3"/>
  <c r="P717" i="3"/>
  <c r="P718" i="3"/>
  <c r="P719" i="3"/>
  <c r="P720" i="3"/>
  <c r="P721" i="3"/>
  <c r="P722" i="3"/>
  <c r="P723" i="3"/>
  <c r="P724" i="3"/>
  <c r="P725" i="3"/>
  <c r="P726" i="3"/>
  <c r="P727" i="3"/>
  <c r="P728" i="3"/>
  <c r="P729" i="3"/>
  <c r="P730" i="3"/>
  <c r="P731" i="3"/>
  <c r="P732" i="3"/>
  <c r="P733" i="3"/>
  <c r="P734" i="3"/>
  <c r="P735" i="3"/>
  <c r="P736" i="3"/>
  <c r="P737" i="3"/>
  <c r="P738" i="3"/>
  <c r="P739" i="3"/>
  <c r="P740" i="3"/>
  <c r="P741" i="3"/>
  <c r="P742" i="3"/>
  <c r="P743" i="3"/>
  <c r="P744" i="3"/>
  <c r="P745" i="3"/>
  <c r="P746" i="3"/>
  <c r="P747" i="3"/>
  <c r="P748" i="3"/>
  <c r="P749" i="3"/>
  <c r="P750" i="3"/>
  <c r="P751" i="3"/>
  <c r="P752" i="3"/>
  <c r="P753" i="3"/>
  <c r="P754" i="3"/>
  <c r="P755" i="3"/>
  <c r="P756" i="3"/>
  <c r="P757" i="3"/>
  <c r="P758" i="3"/>
  <c r="P759" i="3"/>
  <c r="P760" i="3"/>
  <c r="P761" i="3"/>
  <c r="P762" i="3"/>
  <c r="P763" i="3"/>
  <c r="P764" i="3"/>
  <c r="P765" i="3"/>
  <c r="P766" i="3"/>
  <c r="P767" i="3"/>
  <c r="P768" i="3"/>
  <c r="P769" i="3"/>
  <c r="P770" i="3"/>
  <c r="P771" i="3"/>
  <c r="P772" i="3"/>
  <c r="P773" i="3"/>
  <c r="P774" i="3"/>
  <c r="P775" i="3"/>
  <c r="P776" i="3"/>
  <c r="P777" i="3"/>
  <c r="P778" i="3"/>
  <c r="P779" i="3"/>
  <c r="P780" i="3"/>
  <c r="P781" i="3"/>
  <c r="P782" i="3"/>
  <c r="P783" i="3"/>
  <c r="P784" i="3"/>
  <c r="P785" i="3"/>
  <c r="P786" i="3"/>
  <c r="P787" i="3"/>
  <c r="P788" i="3"/>
  <c r="P789" i="3"/>
  <c r="P790" i="3"/>
  <c r="P791" i="3"/>
  <c r="P792" i="3"/>
  <c r="P793" i="3"/>
  <c r="P794" i="3"/>
  <c r="P795" i="3"/>
  <c r="P796" i="3"/>
  <c r="P797" i="3"/>
  <c r="P798" i="3"/>
  <c r="P799" i="3"/>
  <c r="P800" i="3"/>
  <c r="P801" i="3"/>
  <c r="P802" i="3"/>
  <c r="P803" i="3"/>
  <c r="P804" i="3"/>
  <c r="P805" i="3"/>
  <c r="P806" i="3"/>
  <c r="P807" i="3"/>
  <c r="P808" i="3"/>
  <c r="P809" i="3"/>
  <c r="P810" i="3"/>
  <c r="P811" i="3"/>
  <c r="P812" i="3"/>
  <c r="P813" i="3"/>
  <c r="P814" i="3"/>
  <c r="P815" i="3"/>
  <c r="P816" i="3"/>
  <c r="P817" i="3"/>
  <c r="P818" i="3"/>
  <c r="P819" i="3"/>
  <c r="P820" i="3"/>
  <c r="P821" i="3"/>
  <c r="P822" i="3"/>
  <c r="P823" i="3"/>
  <c r="P824" i="3"/>
  <c r="P825" i="3"/>
  <c r="P826" i="3"/>
  <c r="P827" i="3"/>
  <c r="P828" i="3"/>
  <c r="P829" i="3"/>
  <c r="P830" i="3"/>
  <c r="P831" i="3"/>
  <c r="P832" i="3"/>
  <c r="P833" i="3"/>
  <c r="P834" i="3"/>
  <c r="P835" i="3"/>
  <c r="P836" i="3"/>
  <c r="P837" i="3"/>
  <c r="P838" i="3"/>
  <c r="P839" i="3"/>
  <c r="P840" i="3"/>
  <c r="P841" i="3"/>
  <c r="P842" i="3"/>
  <c r="P843" i="3"/>
  <c r="P844" i="3"/>
  <c r="P845" i="3"/>
  <c r="P846" i="3"/>
  <c r="P847" i="3"/>
  <c r="P848" i="3"/>
  <c r="P849" i="3"/>
  <c r="P850" i="3"/>
  <c r="P851" i="3"/>
  <c r="P852" i="3"/>
  <c r="P853" i="3"/>
  <c r="P854" i="3"/>
  <c r="P855" i="3"/>
  <c r="P856" i="3"/>
  <c r="P857" i="3"/>
  <c r="P858" i="3"/>
  <c r="P859" i="3"/>
  <c r="P860" i="3"/>
  <c r="P861" i="3"/>
  <c r="P862" i="3"/>
  <c r="P863" i="3"/>
  <c r="P864" i="3"/>
  <c r="P865" i="3"/>
  <c r="P866" i="3"/>
  <c r="P867" i="3"/>
  <c r="P868" i="3"/>
  <c r="P869" i="3"/>
  <c r="P870" i="3"/>
  <c r="P871" i="3"/>
  <c r="P872" i="3"/>
  <c r="P873" i="3"/>
  <c r="P874" i="3"/>
  <c r="P875" i="3"/>
  <c r="P876" i="3"/>
  <c r="P877" i="3"/>
  <c r="P878" i="3"/>
  <c r="P879" i="3"/>
  <c r="P880" i="3"/>
  <c r="P881" i="3"/>
  <c r="P882" i="3"/>
  <c r="P883" i="3"/>
  <c r="P884" i="3"/>
  <c r="P885" i="3"/>
  <c r="P886" i="3"/>
  <c r="P887" i="3"/>
  <c r="P888" i="3"/>
  <c r="P889" i="3"/>
  <c r="P890" i="3"/>
  <c r="P891" i="3"/>
  <c r="P892" i="3"/>
  <c r="P893" i="3"/>
  <c r="P894" i="3"/>
  <c r="P895" i="3"/>
  <c r="P896" i="3"/>
  <c r="P897" i="3"/>
  <c r="P898" i="3"/>
  <c r="P899" i="3"/>
  <c r="P900" i="3"/>
  <c r="P901" i="3"/>
  <c r="P902" i="3"/>
  <c r="P903" i="3"/>
  <c r="P904" i="3"/>
  <c r="P905" i="3"/>
  <c r="P906" i="3"/>
  <c r="P907" i="3"/>
  <c r="P908" i="3"/>
  <c r="P909" i="3"/>
  <c r="P910" i="3"/>
  <c r="P911" i="3"/>
  <c r="P912" i="3"/>
  <c r="P913" i="3"/>
  <c r="P914" i="3"/>
  <c r="P915" i="3"/>
  <c r="P916" i="3"/>
  <c r="P917" i="3"/>
  <c r="P918" i="3"/>
  <c r="P919" i="3"/>
  <c r="P920" i="3"/>
  <c r="P921" i="3"/>
  <c r="P922" i="3"/>
  <c r="P923" i="3"/>
  <c r="P924" i="3"/>
  <c r="P925" i="3"/>
  <c r="P926" i="3"/>
  <c r="P927" i="3"/>
  <c r="P928" i="3"/>
  <c r="P929" i="3"/>
  <c r="P930" i="3"/>
  <c r="P931" i="3"/>
  <c r="P932" i="3"/>
  <c r="P933" i="3"/>
  <c r="P934" i="3"/>
  <c r="P935" i="3"/>
  <c r="P936" i="3"/>
  <c r="P937" i="3"/>
  <c r="P938" i="3"/>
  <c r="P939" i="3"/>
  <c r="P940" i="3"/>
  <c r="P941" i="3"/>
  <c r="P942" i="3"/>
  <c r="P943" i="3"/>
  <c r="P944" i="3"/>
  <c r="P945" i="3"/>
  <c r="P946" i="3"/>
  <c r="P947" i="3"/>
  <c r="P948" i="3"/>
  <c r="P949" i="3"/>
  <c r="P950" i="3"/>
  <c r="P951" i="3"/>
  <c r="P952" i="3"/>
  <c r="P953" i="3"/>
  <c r="P954" i="3"/>
  <c r="P955" i="3"/>
  <c r="P956" i="3"/>
  <c r="P957" i="3"/>
  <c r="P958" i="3"/>
  <c r="P959" i="3"/>
  <c r="P960" i="3"/>
  <c r="P961" i="3"/>
  <c r="P962" i="3"/>
  <c r="P963" i="3"/>
  <c r="P964" i="3"/>
  <c r="P965" i="3"/>
  <c r="P966" i="3"/>
  <c r="P967" i="3"/>
  <c r="P968" i="3"/>
  <c r="P969" i="3"/>
  <c r="P970" i="3"/>
  <c r="P971" i="3"/>
  <c r="P972" i="3"/>
  <c r="P973" i="3"/>
  <c r="P974" i="3"/>
  <c r="P975" i="3"/>
  <c r="P976" i="3"/>
  <c r="P977" i="3"/>
  <c r="P978" i="3"/>
  <c r="P979" i="3"/>
  <c r="P980" i="3"/>
  <c r="P981" i="3"/>
  <c r="P982" i="3"/>
  <c r="P983" i="3"/>
  <c r="P984" i="3"/>
  <c r="P985" i="3"/>
  <c r="P986" i="3"/>
  <c r="P987" i="3"/>
  <c r="P988" i="3"/>
  <c r="P989" i="3"/>
  <c r="P990" i="3"/>
  <c r="P991" i="3"/>
  <c r="P992" i="3"/>
  <c r="P993" i="3"/>
  <c r="P994" i="3"/>
  <c r="P995" i="3"/>
  <c r="P996" i="3"/>
  <c r="P997" i="3"/>
  <c r="P998" i="3"/>
  <c r="P999" i="3"/>
  <c r="P1000" i="3"/>
  <c r="P1001" i="3"/>
  <c r="P1002" i="3"/>
  <c r="P1003" i="3"/>
  <c r="P100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R280" i="3"/>
  <c r="R281" i="3"/>
  <c r="R282" i="3"/>
  <c r="R283" i="3"/>
  <c r="R284" i="3"/>
  <c r="R285" i="3"/>
  <c r="R286" i="3"/>
  <c r="R287" i="3"/>
  <c r="R288" i="3"/>
  <c r="R289" i="3"/>
  <c r="R290" i="3"/>
  <c r="R291" i="3"/>
  <c r="R292" i="3"/>
  <c r="R293" i="3"/>
  <c r="R294" i="3"/>
  <c r="R295" i="3"/>
  <c r="R296" i="3"/>
  <c r="R297" i="3"/>
  <c r="R298" i="3"/>
  <c r="R299" i="3"/>
  <c r="R300" i="3"/>
  <c r="R301" i="3"/>
  <c r="R302" i="3"/>
  <c r="R303" i="3"/>
  <c r="R304" i="3"/>
  <c r="R305" i="3"/>
  <c r="R306" i="3"/>
  <c r="R307" i="3"/>
  <c r="R308" i="3"/>
  <c r="R309" i="3"/>
  <c r="R310" i="3"/>
  <c r="R311" i="3"/>
  <c r="R312" i="3"/>
  <c r="R313" i="3"/>
  <c r="R314" i="3"/>
  <c r="R315" i="3"/>
  <c r="R316" i="3"/>
  <c r="R317" i="3"/>
  <c r="R318" i="3"/>
  <c r="R319" i="3"/>
  <c r="R320" i="3"/>
  <c r="R321" i="3"/>
  <c r="R322" i="3"/>
  <c r="R323" i="3"/>
  <c r="R324" i="3"/>
  <c r="R325" i="3"/>
  <c r="R326" i="3"/>
  <c r="R327" i="3"/>
  <c r="R328" i="3"/>
  <c r="R329" i="3"/>
  <c r="R330" i="3"/>
  <c r="R331" i="3"/>
  <c r="R332" i="3"/>
  <c r="R333" i="3"/>
  <c r="R334" i="3"/>
  <c r="R335" i="3"/>
  <c r="R336" i="3"/>
  <c r="R337" i="3"/>
  <c r="R338" i="3"/>
  <c r="R339" i="3"/>
  <c r="R340" i="3"/>
  <c r="R341" i="3"/>
  <c r="R342" i="3"/>
  <c r="R343" i="3"/>
  <c r="R344" i="3"/>
  <c r="R345" i="3"/>
  <c r="R346" i="3"/>
  <c r="R347" i="3"/>
  <c r="R348" i="3"/>
  <c r="R349" i="3"/>
  <c r="R350" i="3"/>
  <c r="R351" i="3"/>
  <c r="R352" i="3"/>
  <c r="R353" i="3"/>
  <c r="R354" i="3"/>
  <c r="R355" i="3"/>
  <c r="R356" i="3"/>
  <c r="R357" i="3"/>
  <c r="R358" i="3"/>
  <c r="R359" i="3"/>
  <c r="R360" i="3"/>
  <c r="R361" i="3"/>
  <c r="R362" i="3"/>
  <c r="R363" i="3"/>
  <c r="R364" i="3"/>
  <c r="R365" i="3"/>
  <c r="R366" i="3"/>
  <c r="R367" i="3"/>
  <c r="R368" i="3"/>
  <c r="R369" i="3"/>
  <c r="R370" i="3"/>
  <c r="R371" i="3"/>
  <c r="R372" i="3"/>
  <c r="R373" i="3"/>
  <c r="R374" i="3"/>
  <c r="R375" i="3"/>
  <c r="R376" i="3"/>
  <c r="R377" i="3"/>
  <c r="R378" i="3"/>
  <c r="R379" i="3"/>
  <c r="R380" i="3"/>
  <c r="R381" i="3"/>
  <c r="R382" i="3"/>
  <c r="R383" i="3"/>
  <c r="R384" i="3"/>
  <c r="R385" i="3"/>
  <c r="R386" i="3"/>
  <c r="R387" i="3"/>
  <c r="R388" i="3"/>
  <c r="R389" i="3"/>
  <c r="R390" i="3"/>
  <c r="R391" i="3"/>
  <c r="R392" i="3"/>
  <c r="R393" i="3"/>
  <c r="R394" i="3"/>
  <c r="R395" i="3"/>
  <c r="R396" i="3"/>
  <c r="R397" i="3"/>
  <c r="R398" i="3"/>
  <c r="R399" i="3"/>
  <c r="R400" i="3"/>
  <c r="R401" i="3"/>
  <c r="R402" i="3"/>
  <c r="R403" i="3"/>
  <c r="R404" i="3"/>
  <c r="R405" i="3"/>
  <c r="R406" i="3"/>
  <c r="R407" i="3"/>
  <c r="R408" i="3"/>
  <c r="R409" i="3"/>
  <c r="R410" i="3"/>
  <c r="R411" i="3"/>
  <c r="R412" i="3"/>
  <c r="R413" i="3"/>
  <c r="R414" i="3"/>
  <c r="R415" i="3"/>
  <c r="R416" i="3"/>
  <c r="R417" i="3"/>
  <c r="R418" i="3"/>
  <c r="R419" i="3"/>
  <c r="R420" i="3"/>
  <c r="R421" i="3"/>
  <c r="R422" i="3"/>
  <c r="R423" i="3"/>
  <c r="R424" i="3"/>
  <c r="R425" i="3"/>
  <c r="R426" i="3"/>
  <c r="R427" i="3"/>
  <c r="R428" i="3"/>
  <c r="R429" i="3"/>
  <c r="R430" i="3"/>
  <c r="R431" i="3"/>
  <c r="R432" i="3"/>
  <c r="R433" i="3"/>
  <c r="R434" i="3"/>
  <c r="R435" i="3"/>
  <c r="R436" i="3"/>
  <c r="R437" i="3"/>
  <c r="R438" i="3"/>
  <c r="R439" i="3"/>
  <c r="R440" i="3"/>
  <c r="R441" i="3"/>
  <c r="R442" i="3"/>
  <c r="R443" i="3"/>
  <c r="R444" i="3"/>
  <c r="R445" i="3"/>
  <c r="R446" i="3"/>
  <c r="R447" i="3"/>
  <c r="R448" i="3"/>
  <c r="R449" i="3"/>
  <c r="R450" i="3"/>
  <c r="R451" i="3"/>
  <c r="R452" i="3"/>
  <c r="R453" i="3"/>
  <c r="R454" i="3"/>
  <c r="R455" i="3"/>
  <c r="R456" i="3"/>
  <c r="R457" i="3"/>
  <c r="R458" i="3"/>
  <c r="R459" i="3"/>
  <c r="R460" i="3"/>
  <c r="R461" i="3"/>
  <c r="R462" i="3"/>
  <c r="R463" i="3"/>
  <c r="R464" i="3"/>
  <c r="R465" i="3"/>
  <c r="R466" i="3"/>
  <c r="R467" i="3"/>
  <c r="R468" i="3"/>
  <c r="R469" i="3"/>
  <c r="R470" i="3"/>
  <c r="R471" i="3"/>
  <c r="R472" i="3"/>
  <c r="R473" i="3"/>
  <c r="R474" i="3"/>
  <c r="R475" i="3"/>
  <c r="R476" i="3"/>
  <c r="R477" i="3"/>
  <c r="R478" i="3"/>
  <c r="R479" i="3"/>
  <c r="R480" i="3"/>
  <c r="R481" i="3"/>
  <c r="R482" i="3"/>
  <c r="R483" i="3"/>
  <c r="R484" i="3"/>
  <c r="R485" i="3"/>
  <c r="R486" i="3"/>
  <c r="R487" i="3"/>
  <c r="R488" i="3"/>
  <c r="R489" i="3"/>
  <c r="R490" i="3"/>
  <c r="R491" i="3"/>
  <c r="R492" i="3"/>
  <c r="R493" i="3"/>
  <c r="R494" i="3"/>
  <c r="R495" i="3"/>
  <c r="R496" i="3"/>
  <c r="R497" i="3"/>
  <c r="R498" i="3"/>
  <c r="R499" i="3"/>
  <c r="R500" i="3"/>
  <c r="R501" i="3"/>
  <c r="R502" i="3"/>
  <c r="R503" i="3"/>
  <c r="R504" i="3"/>
  <c r="R505" i="3"/>
  <c r="R506" i="3"/>
  <c r="R507" i="3"/>
  <c r="R508" i="3"/>
  <c r="R509" i="3"/>
  <c r="R510" i="3"/>
  <c r="R511" i="3"/>
  <c r="R512" i="3"/>
  <c r="R513" i="3"/>
  <c r="R514" i="3"/>
  <c r="R515" i="3"/>
  <c r="R516" i="3"/>
  <c r="R517" i="3"/>
  <c r="R518" i="3"/>
  <c r="R519" i="3"/>
  <c r="R520" i="3"/>
  <c r="R521" i="3"/>
  <c r="R522" i="3"/>
  <c r="R523" i="3"/>
  <c r="R524" i="3"/>
  <c r="R525" i="3"/>
  <c r="R526" i="3"/>
  <c r="R527" i="3"/>
  <c r="R528" i="3"/>
  <c r="R529" i="3"/>
  <c r="R530" i="3"/>
  <c r="R531" i="3"/>
  <c r="R532" i="3"/>
  <c r="R533" i="3"/>
  <c r="R534" i="3"/>
  <c r="R535" i="3"/>
  <c r="R536" i="3"/>
  <c r="R537" i="3"/>
  <c r="R538" i="3"/>
  <c r="R539" i="3"/>
  <c r="R540" i="3"/>
  <c r="R541" i="3"/>
  <c r="R542" i="3"/>
  <c r="R543" i="3"/>
  <c r="R544" i="3"/>
  <c r="R545" i="3"/>
  <c r="R546" i="3"/>
  <c r="R547" i="3"/>
  <c r="R548" i="3"/>
  <c r="R549" i="3"/>
  <c r="R550" i="3"/>
  <c r="R551" i="3"/>
  <c r="R552" i="3"/>
  <c r="R553" i="3"/>
  <c r="R554" i="3"/>
  <c r="R555" i="3"/>
  <c r="R556" i="3"/>
  <c r="R557" i="3"/>
  <c r="R558" i="3"/>
  <c r="R559" i="3"/>
  <c r="R560" i="3"/>
  <c r="R561" i="3"/>
  <c r="R562" i="3"/>
  <c r="R563" i="3"/>
  <c r="R564" i="3"/>
  <c r="R565" i="3"/>
  <c r="R566" i="3"/>
  <c r="R567" i="3"/>
  <c r="R568" i="3"/>
  <c r="R569" i="3"/>
  <c r="R570" i="3"/>
  <c r="R571" i="3"/>
  <c r="R572" i="3"/>
  <c r="R573" i="3"/>
  <c r="R574" i="3"/>
  <c r="R575" i="3"/>
  <c r="R576" i="3"/>
  <c r="R577" i="3"/>
  <c r="R578" i="3"/>
  <c r="R579" i="3"/>
  <c r="R580" i="3"/>
  <c r="R581" i="3"/>
  <c r="R582" i="3"/>
  <c r="R583" i="3"/>
  <c r="R584" i="3"/>
  <c r="R585" i="3"/>
  <c r="R586" i="3"/>
  <c r="R587" i="3"/>
  <c r="R588" i="3"/>
  <c r="R589" i="3"/>
  <c r="R590" i="3"/>
  <c r="R591" i="3"/>
  <c r="R592" i="3"/>
  <c r="R593" i="3"/>
  <c r="R594" i="3"/>
  <c r="R595" i="3"/>
  <c r="R596" i="3"/>
  <c r="R597" i="3"/>
  <c r="R598" i="3"/>
  <c r="R599" i="3"/>
  <c r="R600" i="3"/>
  <c r="R601" i="3"/>
  <c r="R602" i="3"/>
  <c r="R603" i="3"/>
  <c r="R604" i="3"/>
  <c r="R605" i="3"/>
  <c r="R606" i="3"/>
  <c r="R607" i="3"/>
  <c r="R608" i="3"/>
  <c r="R609" i="3"/>
  <c r="R610" i="3"/>
  <c r="R611" i="3"/>
  <c r="R612" i="3"/>
  <c r="R613" i="3"/>
  <c r="R614" i="3"/>
  <c r="R615" i="3"/>
  <c r="R616" i="3"/>
  <c r="R617" i="3"/>
  <c r="R618" i="3"/>
  <c r="R619" i="3"/>
  <c r="R620" i="3"/>
  <c r="R621" i="3"/>
  <c r="R622" i="3"/>
  <c r="R623" i="3"/>
  <c r="R624" i="3"/>
  <c r="R625" i="3"/>
  <c r="R626" i="3"/>
  <c r="R627" i="3"/>
  <c r="R628" i="3"/>
  <c r="R629" i="3"/>
  <c r="R630" i="3"/>
  <c r="R631" i="3"/>
  <c r="R632" i="3"/>
  <c r="R633" i="3"/>
  <c r="R634" i="3"/>
  <c r="R635" i="3"/>
  <c r="R636" i="3"/>
  <c r="R637" i="3"/>
  <c r="R638" i="3"/>
  <c r="R639" i="3"/>
  <c r="R640" i="3"/>
  <c r="R641" i="3"/>
  <c r="R642" i="3"/>
  <c r="R643" i="3"/>
  <c r="R644" i="3"/>
  <c r="R645" i="3"/>
  <c r="R646" i="3"/>
  <c r="R647" i="3"/>
  <c r="R648" i="3"/>
  <c r="R649" i="3"/>
  <c r="R650" i="3"/>
  <c r="R651" i="3"/>
  <c r="R652" i="3"/>
  <c r="R653" i="3"/>
  <c r="R654" i="3"/>
  <c r="R655" i="3"/>
  <c r="R656" i="3"/>
  <c r="R657" i="3"/>
  <c r="R658" i="3"/>
  <c r="R659" i="3"/>
  <c r="R660" i="3"/>
  <c r="R661" i="3"/>
  <c r="R662" i="3"/>
  <c r="R663" i="3"/>
  <c r="R664" i="3"/>
  <c r="R665" i="3"/>
  <c r="R666" i="3"/>
  <c r="R667" i="3"/>
  <c r="R668" i="3"/>
  <c r="R669" i="3"/>
  <c r="R670" i="3"/>
  <c r="R671" i="3"/>
  <c r="R672" i="3"/>
  <c r="R673" i="3"/>
  <c r="R674" i="3"/>
  <c r="R675" i="3"/>
  <c r="R676" i="3"/>
  <c r="R677" i="3"/>
  <c r="R678" i="3"/>
  <c r="R679" i="3"/>
  <c r="R680" i="3"/>
  <c r="R681" i="3"/>
  <c r="R682" i="3"/>
  <c r="R683" i="3"/>
  <c r="R684" i="3"/>
  <c r="R685" i="3"/>
  <c r="R686" i="3"/>
  <c r="R687" i="3"/>
  <c r="R688" i="3"/>
  <c r="R689" i="3"/>
  <c r="R690" i="3"/>
  <c r="R691" i="3"/>
  <c r="R692" i="3"/>
  <c r="R693" i="3"/>
  <c r="R694" i="3"/>
  <c r="R695" i="3"/>
  <c r="R696" i="3"/>
  <c r="R697" i="3"/>
  <c r="R698" i="3"/>
  <c r="R699" i="3"/>
  <c r="R700" i="3"/>
  <c r="R701" i="3"/>
  <c r="R702" i="3"/>
  <c r="R703" i="3"/>
  <c r="R704" i="3"/>
  <c r="R705" i="3"/>
  <c r="R706" i="3"/>
  <c r="R707" i="3"/>
  <c r="R708" i="3"/>
  <c r="R709" i="3"/>
  <c r="R710" i="3"/>
  <c r="R711" i="3"/>
  <c r="R712" i="3"/>
  <c r="R713" i="3"/>
  <c r="R714" i="3"/>
  <c r="R715" i="3"/>
  <c r="R716" i="3"/>
  <c r="R717" i="3"/>
  <c r="R718" i="3"/>
  <c r="R719" i="3"/>
  <c r="R720" i="3"/>
  <c r="R721" i="3"/>
  <c r="R722" i="3"/>
  <c r="R723" i="3"/>
  <c r="R724" i="3"/>
  <c r="R725" i="3"/>
  <c r="R726" i="3"/>
  <c r="R727" i="3"/>
  <c r="R728" i="3"/>
  <c r="R729" i="3"/>
  <c r="R730" i="3"/>
  <c r="R731" i="3"/>
  <c r="R732" i="3"/>
  <c r="R733" i="3"/>
  <c r="R734" i="3"/>
  <c r="R735" i="3"/>
  <c r="R736" i="3"/>
  <c r="R737" i="3"/>
  <c r="R738" i="3"/>
  <c r="R739" i="3"/>
  <c r="R740" i="3"/>
  <c r="R741" i="3"/>
  <c r="R742" i="3"/>
  <c r="R743" i="3"/>
  <c r="R744" i="3"/>
  <c r="R745" i="3"/>
  <c r="R746" i="3"/>
  <c r="R747" i="3"/>
  <c r="R748" i="3"/>
  <c r="R749" i="3"/>
  <c r="R750" i="3"/>
  <c r="R751" i="3"/>
  <c r="R752" i="3"/>
  <c r="R753" i="3"/>
  <c r="R754" i="3"/>
  <c r="R755" i="3"/>
  <c r="R756" i="3"/>
  <c r="R757" i="3"/>
  <c r="R758" i="3"/>
  <c r="R759" i="3"/>
  <c r="R760" i="3"/>
  <c r="R761" i="3"/>
  <c r="R762" i="3"/>
  <c r="R763" i="3"/>
  <c r="R764" i="3"/>
  <c r="R765" i="3"/>
  <c r="R766" i="3"/>
  <c r="R767" i="3"/>
  <c r="R768" i="3"/>
  <c r="R769" i="3"/>
  <c r="R770" i="3"/>
  <c r="R771" i="3"/>
  <c r="R772" i="3"/>
  <c r="R773" i="3"/>
  <c r="R774" i="3"/>
  <c r="R775" i="3"/>
  <c r="R776" i="3"/>
  <c r="R777" i="3"/>
  <c r="R778" i="3"/>
  <c r="R779" i="3"/>
  <c r="R780" i="3"/>
  <c r="R781" i="3"/>
  <c r="R782" i="3"/>
  <c r="R783" i="3"/>
  <c r="R784" i="3"/>
  <c r="R785" i="3"/>
  <c r="R786" i="3"/>
  <c r="R787" i="3"/>
  <c r="R788" i="3"/>
  <c r="R789" i="3"/>
  <c r="R790" i="3"/>
  <c r="R791" i="3"/>
  <c r="R792" i="3"/>
  <c r="R793" i="3"/>
  <c r="R794" i="3"/>
  <c r="R795" i="3"/>
  <c r="R796" i="3"/>
  <c r="R797" i="3"/>
  <c r="R798" i="3"/>
  <c r="R799" i="3"/>
  <c r="R800" i="3"/>
  <c r="R801" i="3"/>
  <c r="R802" i="3"/>
  <c r="R803" i="3"/>
  <c r="R804" i="3"/>
  <c r="R805" i="3"/>
  <c r="R806" i="3"/>
  <c r="R807" i="3"/>
  <c r="R808" i="3"/>
  <c r="R809" i="3"/>
  <c r="R810" i="3"/>
  <c r="R811" i="3"/>
  <c r="R812" i="3"/>
  <c r="R813" i="3"/>
  <c r="R814" i="3"/>
  <c r="R815" i="3"/>
  <c r="R816" i="3"/>
  <c r="R817" i="3"/>
  <c r="R818" i="3"/>
  <c r="R819" i="3"/>
  <c r="R820" i="3"/>
  <c r="R821" i="3"/>
  <c r="R822" i="3"/>
  <c r="R823" i="3"/>
  <c r="R824" i="3"/>
  <c r="R825" i="3"/>
  <c r="R826" i="3"/>
  <c r="R827" i="3"/>
  <c r="R828" i="3"/>
  <c r="R829" i="3"/>
  <c r="R830" i="3"/>
  <c r="R831" i="3"/>
  <c r="R832" i="3"/>
  <c r="R833" i="3"/>
  <c r="R834" i="3"/>
  <c r="R835" i="3"/>
  <c r="R836" i="3"/>
  <c r="R837" i="3"/>
  <c r="R838" i="3"/>
  <c r="R839" i="3"/>
  <c r="R840" i="3"/>
  <c r="R841" i="3"/>
  <c r="R842" i="3"/>
  <c r="R843" i="3"/>
  <c r="R844" i="3"/>
  <c r="R845" i="3"/>
  <c r="R846" i="3"/>
  <c r="R847" i="3"/>
  <c r="R848" i="3"/>
  <c r="R849" i="3"/>
  <c r="R850" i="3"/>
  <c r="R851" i="3"/>
  <c r="R852" i="3"/>
  <c r="R853" i="3"/>
  <c r="R854" i="3"/>
  <c r="R855" i="3"/>
  <c r="R856" i="3"/>
  <c r="R857" i="3"/>
  <c r="R858" i="3"/>
  <c r="R859" i="3"/>
  <c r="R860" i="3"/>
  <c r="R861" i="3"/>
  <c r="R862" i="3"/>
  <c r="R863" i="3"/>
  <c r="R864" i="3"/>
  <c r="R865" i="3"/>
  <c r="R866" i="3"/>
  <c r="R867" i="3"/>
  <c r="R868" i="3"/>
  <c r="R869" i="3"/>
  <c r="R870" i="3"/>
  <c r="R871" i="3"/>
  <c r="R872" i="3"/>
  <c r="R873" i="3"/>
  <c r="R874" i="3"/>
  <c r="R875" i="3"/>
  <c r="R876" i="3"/>
  <c r="R877" i="3"/>
  <c r="R878" i="3"/>
  <c r="R879" i="3"/>
  <c r="R880" i="3"/>
  <c r="R881" i="3"/>
  <c r="R882" i="3"/>
  <c r="R883" i="3"/>
  <c r="R884" i="3"/>
  <c r="R885" i="3"/>
  <c r="R886" i="3"/>
  <c r="R887" i="3"/>
  <c r="R888" i="3"/>
  <c r="R889" i="3"/>
  <c r="R890" i="3"/>
  <c r="R891" i="3"/>
  <c r="R892" i="3"/>
  <c r="R893" i="3"/>
  <c r="R894" i="3"/>
  <c r="R895" i="3"/>
  <c r="R896" i="3"/>
  <c r="R897" i="3"/>
  <c r="R898" i="3"/>
  <c r="R899" i="3"/>
  <c r="R900" i="3"/>
  <c r="R901" i="3"/>
  <c r="R902" i="3"/>
  <c r="R903" i="3"/>
  <c r="R904" i="3"/>
  <c r="R905" i="3"/>
  <c r="R906" i="3"/>
  <c r="R907" i="3"/>
  <c r="R908" i="3"/>
  <c r="R909" i="3"/>
  <c r="R910" i="3"/>
  <c r="R911" i="3"/>
  <c r="R912" i="3"/>
  <c r="R913" i="3"/>
  <c r="R914" i="3"/>
  <c r="R915" i="3"/>
  <c r="R916" i="3"/>
  <c r="R917" i="3"/>
  <c r="R918" i="3"/>
  <c r="R919" i="3"/>
  <c r="R920" i="3"/>
  <c r="R921" i="3"/>
  <c r="R922" i="3"/>
  <c r="R923" i="3"/>
  <c r="R924" i="3"/>
  <c r="R925" i="3"/>
  <c r="R926" i="3"/>
  <c r="R927" i="3"/>
  <c r="R928" i="3"/>
  <c r="R929" i="3"/>
  <c r="R930" i="3"/>
  <c r="R931" i="3"/>
  <c r="R932" i="3"/>
  <c r="R933" i="3"/>
  <c r="R934" i="3"/>
  <c r="R935" i="3"/>
  <c r="R936" i="3"/>
  <c r="R937" i="3"/>
  <c r="R938" i="3"/>
  <c r="R939" i="3"/>
  <c r="R940" i="3"/>
  <c r="R941" i="3"/>
  <c r="R942" i="3"/>
  <c r="R943" i="3"/>
  <c r="R944" i="3"/>
  <c r="R945" i="3"/>
  <c r="R946" i="3"/>
  <c r="R947" i="3"/>
  <c r="R948" i="3"/>
  <c r="R949" i="3"/>
  <c r="R950" i="3"/>
  <c r="R951" i="3"/>
  <c r="R952" i="3"/>
  <c r="R953" i="3"/>
  <c r="R954" i="3"/>
  <c r="R955" i="3"/>
  <c r="R956" i="3"/>
  <c r="R957" i="3"/>
  <c r="R958" i="3"/>
  <c r="R959" i="3"/>
  <c r="R960" i="3"/>
  <c r="R961" i="3"/>
  <c r="R962" i="3"/>
  <c r="R963" i="3"/>
  <c r="R964" i="3"/>
  <c r="R965" i="3"/>
  <c r="R966" i="3"/>
  <c r="R967" i="3"/>
  <c r="R968" i="3"/>
  <c r="R969" i="3"/>
  <c r="R970" i="3"/>
  <c r="R971" i="3"/>
  <c r="R972" i="3"/>
  <c r="R973" i="3"/>
  <c r="R974" i="3"/>
  <c r="R975" i="3"/>
  <c r="R976" i="3"/>
  <c r="R977" i="3"/>
  <c r="R978" i="3"/>
  <c r="R979" i="3"/>
  <c r="R980" i="3"/>
  <c r="R981" i="3"/>
  <c r="R982" i="3"/>
  <c r="R983" i="3"/>
  <c r="R984" i="3"/>
  <c r="R985" i="3"/>
  <c r="R986" i="3"/>
  <c r="R987" i="3"/>
  <c r="R988" i="3"/>
  <c r="R989" i="3"/>
  <c r="R990" i="3"/>
  <c r="R991" i="3"/>
  <c r="R992" i="3"/>
  <c r="R993" i="3"/>
  <c r="R994" i="3"/>
  <c r="R995" i="3"/>
  <c r="R996" i="3"/>
  <c r="R997" i="3"/>
  <c r="R998" i="3"/>
  <c r="R999" i="3"/>
  <c r="R1000" i="3"/>
  <c r="R1001" i="3"/>
  <c r="R1002" i="3"/>
  <c r="R1003" i="3"/>
  <c r="R100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S506" i="3"/>
  <c r="S507" i="3"/>
  <c r="S508" i="3"/>
  <c r="S509" i="3"/>
  <c r="S510" i="3"/>
  <c r="S511" i="3"/>
  <c r="S512" i="3"/>
  <c r="S513" i="3"/>
  <c r="S514" i="3"/>
  <c r="S515" i="3"/>
  <c r="S516" i="3"/>
  <c r="S517" i="3"/>
  <c r="S518" i="3"/>
  <c r="S519" i="3"/>
  <c r="S520" i="3"/>
  <c r="S521" i="3"/>
  <c r="S522" i="3"/>
  <c r="S523" i="3"/>
  <c r="S524" i="3"/>
  <c r="S525" i="3"/>
  <c r="S526" i="3"/>
  <c r="S527" i="3"/>
  <c r="S528" i="3"/>
  <c r="S529" i="3"/>
  <c r="S530" i="3"/>
  <c r="S531" i="3"/>
  <c r="S532" i="3"/>
  <c r="S533" i="3"/>
  <c r="S534" i="3"/>
  <c r="S535" i="3"/>
  <c r="S536" i="3"/>
  <c r="S537" i="3"/>
  <c r="S538" i="3"/>
  <c r="S539" i="3"/>
  <c r="S540" i="3"/>
  <c r="S541" i="3"/>
  <c r="S542" i="3"/>
  <c r="S543" i="3"/>
  <c r="S544" i="3"/>
  <c r="S545" i="3"/>
  <c r="S546" i="3"/>
  <c r="S547" i="3"/>
  <c r="S548" i="3"/>
  <c r="S549" i="3"/>
  <c r="S550" i="3"/>
  <c r="S551" i="3"/>
  <c r="S552" i="3"/>
  <c r="S553" i="3"/>
  <c r="S554" i="3"/>
  <c r="S555" i="3"/>
  <c r="S556" i="3"/>
  <c r="S557" i="3"/>
  <c r="S558" i="3"/>
  <c r="S559" i="3"/>
  <c r="S560" i="3"/>
  <c r="S561" i="3"/>
  <c r="S562" i="3"/>
  <c r="S563" i="3"/>
  <c r="S564" i="3"/>
  <c r="S565" i="3"/>
  <c r="S566" i="3"/>
  <c r="S567" i="3"/>
  <c r="S568" i="3"/>
  <c r="S569" i="3"/>
  <c r="S570" i="3"/>
  <c r="S571" i="3"/>
  <c r="S572" i="3"/>
  <c r="S573" i="3"/>
  <c r="S574" i="3"/>
  <c r="S575" i="3"/>
  <c r="S576" i="3"/>
  <c r="S577" i="3"/>
  <c r="S578" i="3"/>
  <c r="S579" i="3"/>
  <c r="S580" i="3"/>
  <c r="S581" i="3"/>
  <c r="S582" i="3"/>
  <c r="S583" i="3"/>
  <c r="S584" i="3"/>
  <c r="S585" i="3"/>
  <c r="S586" i="3"/>
  <c r="S587" i="3"/>
  <c r="S588" i="3"/>
  <c r="S589" i="3"/>
  <c r="S590" i="3"/>
  <c r="S591" i="3"/>
  <c r="S592" i="3"/>
  <c r="S593" i="3"/>
  <c r="S594" i="3"/>
  <c r="S595" i="3"/>
  <c r="S596" i="3"/>
  <c r="S597" i="3"/>
  <c r="S598" i="3"/>
  <c r="S599" i="3"/>
  <c r="S600" i="3"/>
  <c r="S601" i="3"/>
  <c r="S602" i="3"/>
  <c r="S603" i="3"/>
  <c r="S604" i="3"/>
  <c r="S605" i="3"/>
  <c r="S606" i="3"/>
  <c r="S607" i="3"/>
  <c r="S608" i="3"/>
  <c r="S609" i="3"/>
  <c r="S610" i="3"/>
  <c r="S611" i="3"/>
  <c r="S612" i="3"/>
  <c r="S613" i="3"/>
  <c r="S614" i="3"/>
  <c r="S615" i="3"/>
  <c r="S616" i="3"/>
  <c r="S617" i="3"/>
  <c r="S618" i="3"/>
  <c r="S619" i="3"/>
  <c r="S620" i="3"/>
  <c r="S621" i="3"/>
  <c r="S622" i="3"/>
  <c r="S623" i="3"/>
  <c r="S624" i="3"/>
  <c r="S625" i="3"/>
  <c r="S626" i="3"/>
  <c r="S627" i="3"/>
  <c r="S628" i="3"/>
  <c r="S629" i="3"/>
  <c r="S630" i="3"/>
  <c r="S631" i="3"/>
  <c r="S632" i="3"/>
  <c r="S633" i="3"/>
  <c r="S634" i="3"/>
  <c r="S635" i="3"/>
  <c r="S636" i="3"/>
  <c r="S637" i="3"/>
  <c r="S638" i="3"/>
  <c r="S639" i="3"/>
  <c r="S640" i="3"/>
  <c r="S641" i="3"/>
  <c r="S642" i="3"/>
  <c r="S643" i="3"/>
  <c r="S644" i="3"/>
  <c r="S645" i="3"/>
  <c r="S646" i="3"/>
  <c r="S647" i="3"/>
  <c r="S648" i="3"/>
  <c r="S649" i="3"/>
  <c r="S650" i="3"/>
  <c r="S651" i="3"/>
  <c r="S652" i="3"/>
  <c r="S653" i="3"/>
  <c r="S654" i="3"/>
  <c r="S655" i="3"/>
  <c r="S656" i="3"/>
  <c r="S657" i="3"/>
  <c r="S658" i="3"/>
  <c r="S659" i="3"/>
  <c r="S660" i="3"/>
  <c r="S661" i="3"/>
  <c r="S662" i="3"/>
  <c r="S663" i="3"/>
  <c r="S664" i="3"/>
  <c r="S665" i="3"/>
  <c r="S666" i="3"/>
  <c r="S667" i="3"/>
  <c r="S668" i="3"/>
  <c r="S669" i="3"/>
  <c r="S670" i="3"/>
  <c r="S671" i="3"/>
  <c r="S672" i="3"/>
  <c r="S673" i="3"/>
  <c r="S674" i="3"/>
  <c r="S675" i="3"/>
  <c r="S676" i="3"/>
  <c r="S677" i="3"/>
  <c r="S678" i="3"/>
  <c r="S679" i="3"/>
  <c r="S680" i="3"/>
  <c r="S681" i="3"/>
  <c r="S682" i="3"/>
  <c r="S683" i="3"/>
  <c r="S684" i="3"/>
  <c r="S685" i="3"/>
  <c r="S686" i="3"/>
  <c r="S687" i="3"/>
  <c r="S688" i="3"/>
  <c r="S689" i="3"/>
  <c r="S690" i="3"/>
  <c r="S691" i="3"/>
  <c r="S692" i="3"/>
  <c r="S693" i="3"/>
  <c r="S694" i="3"/>
  <c r="S695" i="3"/>
  <c r="S696" i="3"/>
  <c r="S697" i="3"/>
  <c r="S698" i="3"/>
  <c r="S699" i="3"/>
  <c r="S700" i="3"/>
  <c r="S701" i="3"/>
  <c r="S702" i="3"/>
  <c r="S703" i="3"/>
  <c r="S704" i="3"/>
  <c r="S705" i="3"/>
  <c r="S706" i="3"/>
  <c r="S707" i="3"/>
  <c r="S708" i="3"/>
  <c r="S709" i="3"/>
  <c r="S710" i="3"/>
  <c r="S711" i="3"/>
  <c r="S712" i="3"/>
  <c r="S713" i="3"/>
  <c r="S714" i="3"/>
  <c r="S715" i="3"/>
  <c r="S716" i="3"/>
  <c r="S717" i="3"/>
  <c r="S718" i="3"/>
  <c r="S719" i="3"/>
  <c r="S720" i="3"/>
  <c r="S721" i="3"/>
  <c r="S722" i="3"/>
  <c r="S723" i="3"/>
  <c r="S724" i="3"/>
  <c r="S725" i="3"/>
  <c r="S726" i="3"/>
  <c r="S727" i="3"/>
  <c r="S728" i="3"/>
  <c r="S729" i="3"/>
  <c r="S730" i="3"/>
  <c r="S731" i="3"/>
  <c r="S732" i="3"/>
  <c r="S733" i="3"/>
  <c r="S734" i="3"/>
  <c r="S735" i="3"/>
  <c r="S736" i="3"/>
  <c r="S737" i="3"/>
  <c r="S738" i="3"/>
  <c r="S739" i="3"/>
  <c r="S740" i="3"/>
  <c r="S741" i="3"/>
  <c r="S742" i="3"/>
  <c r="S743" i="3"/>
  <c r="S744" i="3"/>
  <c r="S745" i="3"/>
  <c r="S746" i="3"/>
  <c r="S747" i="3"/>
  <c r="S748" i="3"/>
  <c r="S749" i="3"/>
  <c r="S750" i="3"/>
  <c r="S751" i="3"/>
  <c r="S752" i="3"/>
  <c r="S753" i="3"/>
  <c r="S754" i="3"/>
  <c r="S755" i="3"/>
  <c r="S756" i="3"/>
  <c r="S757" i="3"/>
  <c r="S758" i="3"/>
  <c r="S759" i="3"/>
  <c r="S760" i="3"/>
  <c r="S761" i="3"/>
  <c r="S762" i="3"/>
  <c r="S763" i="3"/>
  <c r="S764" i="3"/>
  <c r="S765" i="3"/>
  <c r="S766" i="3"/>
  <c r="S767" i="3"/>
  <c r="S768" i="3"/>
  <c r="S769" i="3"/>
  <c r="S770" i="3"/>
  <c r="S771" i="3"/>
  <c r="S772" i="3"/>
  <c r="S773" i="3"/>
  <c r="S774" i="3"/>
  <c r="S775" i="3"/>
  <c r="S776" i="3"/>
  <c r="S777" i="3"/>
  <c r="S778" i="3"/>
  <c r="S779" i="3"/>
  <c r="S780" i="3"/>
  <c r="S781" i="3"/>
  <c r="S782" i="3"/>
  <c r="S783" i="3"/>
  <c r="S784" i="3"/>
  <c r="S785" i="3"/>
  <c r="S786" i="3"/>
  <c r="S787" i="3"/>
  <c r="S788" i="3"/>
  <c r="S789" i="3"/>
  <c r="S790" i="3"/>
  <c r="S791" i="3"/>
  <c r="S792" i="3"/>
  <c r="S793" i="3"/>
  <c r="S794" i="3"/>
  <c r="S795" i="3"/>
  <c r="S796" i="3"/>
  <c r="S797" i="3"/>
  <c r="S798" i="3"/>
  <c r="S799" i="3"/>
  <c r="S800" i="3"/>
  <c r="S801" i="3"/>
  <c r="S802" i="3"/>
  <c r="S803" i="3"/>
  <c r="S804" i="3"/>
  <c r="S805" i="3"/>
  <c r="S806" i="3"/>
  <c r="S807" i="3"/>
  <c r="S808" i="3"/>
  <c r="S809" i="3"/>
  <c r="S810" i="3"/>
  <c r="S811" i="3"/>
  <c r="S812" i="3"/>
  <c r="S813" i="3"/>
  <c r="S814" i="3"/>
  <c r="S815" i="3"/>
  <c r="S816" i="3"/>
  <c r="S817" i="3"/>
  <c r="S818" i="3"/>
  <c r="S819" i="3"/>
  <c r="S820" i="3"/>
  <c r="S821" i="3"/>
  <c r="S822" i="3"/>
  <c r="S823" i="3"/>
  <c r="S824" i="3"/>
  <c r="S825" i="3"/>
  <c r="S826" i="3"/>
  <c r="S827" i="3"/>
  <c r="S828" i="3"/>
  <c r="S829" i="3"/>
  <c r="S830" i="3"/>
  <c r="S831" i="3"/>
  <c r="S832" i="3"/>
  <c r="S833" i="3"/>
  <c r="S834" i="3"/>
  <c r="S835" i="3"/>
  <c r="S836" i="3"/>
  <c r="S837" i="3"/>
  <c r="S838" i="3"/>
  <c r="S839" i="3"/>
  <c r="S840" i="3"/>
  <c r="S841" i="3"/>
  <c r="S842" i="3"/>
  <c r="S843" i="3"/>
  <c r="S844" i="3"/>
  <c r="S845" i="3"/>
  <c r="S846" i="3"/>
  <c r="S847" i="3"/>
  <c r="S848" i="3"/>
  <c r="S849" i="3"/>
  <c r="S850" i="3"/>
  <c r="S851" i="3"/>
  <c r="S852" i="3"/>
  <c r="S853" i="3"/>
  <c r="S854" i="3"/>
  <c r="S855" i="3"/>
  <c r="S856" i="3"/>
  <c r="S857" i="3"/>
  <c r="S858" i="3"/>
  <c r="S859" i="3"/>
  <c r="S860" i="3"/>
  <c r="S861" i="3"/>
  <c r="S862" i="3"/>
  <c r="S863" i="3"/>
  <c r="S864" i="3"/>
  <c r="S865" i="3"/>
  <c r="S866" i="3"/>
  <c r="S867" i="3"/>
  <c r="S868" i="3"/>
  <c r="S869" i="3"/>
  <c r="S870" i="3"/>
  <c r="S871" i="3"/>
  <c r="S872" i="3"/>
  <c r="S873" i="3"/>
  <c r="S874" i="3"/>
  <c r="S875" i="3"/>
  <c r="S876" i="3"/>
  <c r="S877" i="3"/>
  <c r="S878" i="3"/>
  <c r="S879" i="3"/>
  <c r="S880" i="3"/>
  <c r="S881" i="3"/>
  <c r="S882" i="3"/>
  <c r="S883" i="3"/>
  <c r="S884" i="3"/>
  <c r="S885" i="3"/>
  <c r="S886" i="3"/>
  <c r="S887" i="3"/>
  <c r="S888" i="3"/>
  <c r="S889" i="3"/>
  <c r="S890" i="3"/>
  <c r="S891" i="3"/>
  <c r="S892" i="3"/>
  <c r="S893" i="3"/>
  <c r="S894" i="3"/>
  <c r="S895" i="3"/>
  <c r="S896" i="3"/>
  <c r="S897" i="3"/>
  <c r="S898" i="3"/>
  <c r="S899" i="3"/>
  <c r="S900" i="3"/>
  <c r="S901" i="3"/>
  <c r="S902" i="3"/>
  <c r="S903" i="3"/>
  <c r="S904" i="3"/>
  <c r="S905" i="3"/>
  <c r="S906" i="3"/>
  <c r="S907" i="3"/>
  <c r="S908" i="3"/>
  <c r="S909" i="3"/>
  <c r="S910" i="3"/>
  <c r="S911" i="3"/>
  <c r="S912" i="3"/>
  <c r="S913" i="3"/>
  <c r="S914" i="3"/>
  <c r="S915" i="3"/>
  <c r="S916" i="3"/>
  <c r="S917" i="3"/>
  <c r="S918" i="3"/>
  <c r="S919" i="3"/>
  <c r="S920" i="3"/>
  <c r="S921" i="3"/>
  <c r="S922" i="3"/>
  <c r="S923" i="3"/>
  <c r="S924" i="3"/>
  <c r="S925" i="3"/>
  <c r="S926" i="3"/>
  <c r="S927" i="3"/>
  <c r="S928" i="3"/>
  <c r="S929" i="3"/>
  <c r="S930" i="3"/>
  <c r="S931" i="3"/>
  <c r="S932" i="3"/>
  <c r="S933" i="3"/>
  <c r="S934" i="3"/>
  <c r="S935" i="3"/>
  <c r="S936" i="3"/>
  <c r="S937" i="3"/>
  <c r="S938" i="3"/>
  <c r="S939" i="3"/>
  <c r="S940" i="3"/>
  <c r="S941" i="3"/>
  <c r="S942" i="3"/>
  <c r="S943" i="3"/>
  <c r="S944" i="3"/>
  <c r="S945" i="3"/>
  <c r="S946" i="3"/>
  <c r="S947" i="3"/>
  <c r="S948" i="3"/>
  <c r="S949" i="3"/>
  <c r="S950" i="3"/>
  <c r="S951" i="3"/>
  <c r="S952" i="3"/>
  <c r="S953" i="3"/>
  <c r="S954" i="3"/>
  <c r="S955" i="3"/>
  <c r="S956" i="3"/>
  <c r="S957" i="3"/>
  <c r="S958" i="3"/>
  <c r="S959" i="3"/>
  <c r="S960" i="3"/>
  <c r="S961" i="3"/>
  <c r="S962" i="3"/>
  <c r="S963" i="3"/>
  <c r="S964" i="3"/>
  <c r="S965" i="3"/>
  <c r="S966" i="3"/>
  <c r="S967" i="3"/>
  <c r="S968" i="3"/>
  <c r="S969" i="3"/>
  <c r="S970" i="3"/>
  <c r="S971" i="3"/>
  <c r="S972" i="3"/>
  <c r="S973" i="3"/>
  <c r="S974" i="3"/>
  <c r="S975" i="3"/>
  <c r="S976" i="3"/>
  <c r="S977" i="3"/>
  <c r="S978" i="3"/>
  <c r="S979" i="3"/>
  <c r="S980" i="3"/>
  <c r="S981" i="3"/>
  <c r="S982" i="3"/>
  <c r="S983" i="3"/>
  <c r="S984" i="3"/>
  <c r="S985" i="3"/>
  <c r="S986" i="3"/>
  <c r="S987" i="3"/>
  <c r="S988" i="3"/>
  <c r="S989" i="3"/>
  <c r="S990" i="3"/>
  <c r="S991" i="3"/>
  <c r="S992" i="3"/>
  <c r="S993" i="3"/>
  <c r="S994" i="3"/>
  <c r="S995" i="3"/>
  <c r="S996" i="3"/>
  <c r="S997" i="3"/>
  <c r="S998" i="3"/>
  <c r="S999" i="3"/>
  <c r="S1000" i="3"/>
  <c r="S1001" i="3"/>
  <c r="S1002" i="3"/>
  <c r="S1003" i="3"/>
  <c r="S1004" i="3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D9" i="4" l="1"/>
  <c r="E9" i="4" s="1"/>
  <c r="C9" i="4"/>
  <c r="D8" i="4"/>
  <c r="E8" i="4" s="1"/>
  <c r="C8" i="4"/>
  <c r="D7" i="4"/>
  <c r="C7" i="4"/>
  <c r="D6" i="4"/>
  <c r="E6" i="4" s="1"/>
  <c r="C6" i="4"/>
  <c r="D5" i="4"/>
  <c r="C5" i="4"/>
  <c r="R7" i="2"/>
  <c r="T7" i="2" s="1"/>
  <c r="R6" i="2"/>
  <c r="T6" i="2" s="1"/>
  <c r="R5" i="2"/>
  <c r="T5" i="2" s="1"/>
  <c r="P21" i="3"/>
  <c r="L21" i="3"/>
  <c r="M21" i="3" s="1"/>
  <c r="Q21" i="3"/>
  <c r="P20" i="3"/>
  <c r="L20" i="3"/>
  <c r="M20" i="3" s="1"/>
  <c r="Q20" i="3"/>
  <c r="P19" i="3"/>
  <c r="L19" i="3"/>
  <c r="M19" i="3" s="1"/>
  <c r="Q19" i="3"/>
  <c r="P18" i="3"/>
  <c r="L18" i="3"/>
  <c r="M18" i="3" s="1"/>
  <c r="Q18" i="3"/>
  <c r="P17" i="3"/>
  <c r="L17" i="3"/>
  <c r="M17" i="3" s="1"/>
  <c r="Q17" i="3"/>
  <c r="P16" i="3"/>
  <c r="L16" i="3"/>
  <c r="M16" i="3" s="1"/>
  <c r="Q16" i="3"/>
  <c r="P15" i="3"/>
  <c r="L15" i="3"/>
  <c r="M15" i="3" s="1"/>
  <c r="Q15" i="3"/>
  <c r="P14" i="3"/>
  <c r="L14" i="3"/>
  <c r="M14" i="3" s="1"/>
  <c r="Q14" i="3"/>
  <c r="P13" i="3"/>
  <c r="L13" i="3"/>
  <c r="M13" i="3" s="1"/>
  <c r="Q13" i="3"/>
  <c r="P12" i="3"/>
  <c r="L12" i="3"/>
  <c r="M12" i="3" s="1"/>
  <c r="Q12" i="3"/>
  <c r="P11" i="3"/>
  <c r="L11" i="3"/>
  <c r="M11" i="3" s="1"/>
  <c r="Q11" i="3"/>
  <c r="P10" i="3"/>
  <c r="Q10" i="3" s="1"/>
  <c r="L10" i="3"/>
  <c r="M10" i="3" s="1"/>
  <c r="P9" i="3"/>
  <c r="Q9" i="3" s="1"/>
  <c r="L9" i="3"/>
  <c r="M9" i="3" s="1"/>
  <c r="P8" i="3"/>
  <c r="Q8" i="3" s="1"/>
  <c r="L8" i="3"/>
  <c r="M8" i="3" s="1"/>
  <c r="P7" i="3"/>
  <c r="L7" i="3"/>
  <c r="M7" i="3" s="1"/>
  <c r="Q7" i="3"/>
  <c r="P6" i="3"/>
  <c r="L6" i="3"/>
  <c r="M6" i="3" s="1"/>
  <c r="Q6" i="3"/>
  <c r="P5" i="3"/>
  <c r="L5" i="3"/>
  <c r="M5" i="3" s="1"/>
  <c r="Q5" i="3"/>
  <c r="E7" i="4" l="1"/>
  <c r="E13" i="4"/>
  <c r="E12" i="4"/>
  <c r="C10" i="4"/>
  <c r="E5" i="4"/>
  <c r="D10" i="4"/>
</calcChain>
</file>

<file path=xl/sharedStrings.xml><?xml version="1.0" encoding="utf-8"?>
<sst xmlns="http://schemas.openxmlformats.org/spreadsheetml/2006/main" count="205" uniqueCount="139">
  <si>
    <t>Setări – datele firmei</t>
  </si>
  <si>
    <t>Apar în antetul fiecărei oferte.</t>
  </si>
  <si>
    <t>Furnizor</t>
  </si>
  <si>
    <t>Exemplu Instalații SRL</t>
  </si>
  <si>
    <t>CUI</t>
  </si>
  <si>
    <t>RO12345678</t>
  </si>
  <si>
    <t>Nr. Reg. Com.</t>
  </si>
  <si>
    <t>J29/1234/2018</t>
  </si>
  <si>
    <t>Adresa</t>
  </si>
  <si>
    <t>Str. Gării nr. 10, Ploiești, Prahova</t>
  </si>
  <si>
    <t>Telefon / e-mail</t>
  </si>
  <si>
    <t>0744 000 000 · oferte@exemplu.ro</t>
  </si>
  <si>
    <t>IBAN</t>
  </si>
  <si>
    <t>RO49 AAAA 1B31 0075 9384 0000</t>
  </si>
  <si>
    <t>Întocmit de</t>
  </si>
  <si>
    <t>Andrei Ionescu</t>
  </si>
  <si>
    <t>Marjă minimă acceptată</t>
  </si>
  <si>
    <t>Valabilitate implicită (zile)</t>
  </si>
  <si>
    <t>Cote TVA</t>
  </si>
  <si>
    <t>Status ofertă</t>
  </si>
  <si>
    <t>În lucru</t>
  </si>
  <si>
    <t>Trimisă</t>
  </si>
  <si>
    <t>Acceptată</t>
  </si>
  <si>
    <t>Refuzată</t>
  </si>
  <si>
    <t>Produse și servicii</t>
  </si>
  <si>
    <t>Lista cu prețurile de vânzare (fără TVA) și costurile tale. Costul nu apare pe ofertă; se folosește doar la calculul marjei.</t>
  </si>
  <si>
    <t>Cod</t>
  </si>
  <si>
    <t>Denumire</t>
  </si>
  <si>
    <t>U.M.</t>
  </si>
  <si>
    <t>Preț de listă fără TVA</t>
  </si>
  <si>
    <t>Cost unitar</t>
  </si>
  <si>
    <t>Cota TVA</t>
  </si>
  <si>
    <t>Marjă la preț de listă</t>
  </si>
  <si>
    <t>C01</t>
  </si>
  <si>
    <t>Cablu electric CYY-F 3×2,5 mm²</t>
  </si>
  <si>
    <t>m</t>
  </si>
  <si>
    <t>C02</t>
  </si>
  <si>
    <t>Tablou electric echipat, 24 module</t>
  </si>
  <si>
    <t>buc</t>
  </si>
  <si>
    <t>C03</t>
  </si>
  <si>
    <t>Corp de iluminat LED tip panou 60×60, 40 W</t>
  </si>
  <si>
    <t>C04</t>
  </si>
  <si>
    <t>Priză dublă încastrată</t>
  </si>
  <si>
    <t>C05</t>
  </si>
  <si>
    <t>Manoperă montaj electrician</t>
  </si>
  <si>
    <t>oră</t>
  </si>
  <si>
    <t>C06</t>
  </si>
  <si>
    <t>Transport și deplasare</t>
  </si>
  <si>
    <t>cursă</t>
  </si>
  <si>
    <t>C07</t>
  </si>
  <si>
    <t>Măsurători PRAM și buletin de verificare</t>
  </si>
  <si>
    <t>Liniile ofertelor</t>
  </si>
  <si>
    <t>Un rând pentru fiecare produs sau serviciu, cu numărul ofertei. Prețul, TVA și marja se calculează automat; marja sub minimul din Setări apare cu roșu.</t>
  </si>
  <si>
    <t>Nr. ofertă</t>
  </si>
  <si>
    <t>Cantitate</t>
  </si>
  <si>
    <t>Preț de listă</t>
  </si>
  <si>
    <t>Discount</t>
  </si>
  <si>
    <t>Preț unitar ofertat</t>
  </si>
  <si>
    <t>Valoare fără TVA</t>
  </si>
  <si>
    <t>TVA</t>
  </si>
  <si>
    <t>Valoare cu TVA</t>
  </si>
  <si>
    <t>Cost total</t>
  </si>
  <si>
    <t>Marjă (lei)</t>
  </si>
  <si>
    <t>Marjă %</t>
  </si>
  <si>
    <t>Verificare</t>
  </si>
  <si>
    <t>OF-039</t>
  </si>
  <si>
    <t>OF-040</t>
  </si>
  <si>
    <t>OF-041</t>
  </si>
  <si>
    <t>OF-042</t>
  </si>
  <si>
    <t>Registrul ofertelor</t>
  </si>
  <si>
    <t>Un rând pentru fiecare ofertă: clientul, obiectul, valabilitatea, termenul, condițiile de plată și, mai ales, ce include și ce nu include oferta.</t>
  </si>
  <si>
    <t>Data</t>
  </si>
  <si>
    <t>Client</t>
  </si>
  <si>
    <t>CUI client</t>
  </si>
  <si>
    <t>Obiectul ofertei</t>
  </si>
  <si>
    <t>Valabilitate (zile)</t>
  </si>
  <si>
    <t>Valabilă până la</t>
  </si>
  <si>
    <t>Termen de livrare / execuție</t>
  </si>
  <si>
    <t>Condiții de plată</t>
  </si>
  <si>
    <t>Avans</t>
  </si>
  <si>
    <t>Ce include oferta</t>
  </si>
  <si>
    <t>Ce NU include (se facturează separat)</t>
  </si>
  <si>
    <t>Status</t>
  </si>
  <si>
    <t>Data răspunsului</t>
  </si>
  <si>
    <t>Total cu TVA</t>
  </si>
  <si>
    <t>Stare</t>
  </si>
  <si>
    <t>Auto Service Nord SRL</t>
  </si>
  <si>
    <t>RO31111111</t>
  </si>
  <si>
    <t>Înlocuire tablou electric atelier</t>
  </si>
  <si>
    <t>5 zile lucrătoare de la acceptare</t>
  </si>
  <si>
    <t>Integral la recepție, în 10 zile</t>
  </si>
  <si>
    <t>Tablou echipat, manoperă și transport.</t>
  </si>
  <si>
    <t>Modificări ale instalației existente din atelier.</t>
  </si>
  <si>
    <t>Brutăria Dulce SRL</t>
  </si>
  <si>
    <t>RO32222222</t>
  </si>
  <si>
    <t>Prize suplimentare zona de producție</t>
  </si>
  <si>
    <t>3 zile lucrătoare de la avans</t>
  </si>
  <si>
    <t>50% avans, 50% la recepție</t>
  </si>
  <si>
    <t>Materiale, manoperă și transport.</t>
  </si>
  <si>
    <t>Lucrări de zidărie și zugrăveli după montaj.</t>
  </si>
  <si>
    <t>Hotel Carpați SRL</t>
  </si>
  <si>
    <t>RO33333333</t>
  </si>
  <si>
    <t>Instalație electrică și iluminat – sala de conferințe</t>
  </si>
  <si>
    <t>10 zile lucrătoare de la plata avansului</t>
  </si>
  <si>
    <t>40% avans la comandă, 60% la recepție, în 10 zile</t>
  </si>
  <si>
    <t>Materiale, manoperă, transport, punere în funcțiune și garanție 24 de luni pentru lucrare.</t>
  </si>
  <si>
    <t>Lucrări de zidărie, tavane false și zugrăveli; avize de la furnizorul de energie; modificări cerute după aprobarea ofertei (se ofertează separat).</t>
  </si>
  <si>
    <t>Logistic Park SRL</t>
  </si>
  <si>
    <t>RO34444444</t>
  </si>
  <si>
    <t>Extindere circuite hală depozitare</t>
  </si>
  <si>
    <t>7 zile lucrătoare de la acceptare</t>
  </si>
  <si>
    <t>Integral la recepție, în 15 zile</t>
  </si>
  <si>
    <t>Cablu, manoperă și transport.</t>
  </si>
  <si>
    <t>Nr. ofertă:</t>
  </si>
  <si>
    <t>← alege oferta</t>
  </si>
  <si>
    <t>Data:</t>
  </si>
  <si>
    <t>Valabilă până la:</t>
  </si>
  <si>
    <t>OFERTĂ DE PREȚ</t>
  </si>
  <si>
    <t>Către:</t>
  </si>
  <si>
    <t>Obiectul:</t>
  </si>
  <si>
    <t>Nr.</t>
  </si>
  <si>
    <t>Denumire produs / serviciu</t>
  </si>
  <si>
    <t>Preț unitar fără TVA</t>
  </si>
  <si>
    <t>Total fără TVA</t>
  </si>
  <si>
    <t>TOTAL DE PLATĂ</t>
  </si>
  <si>
    <t>Avans la comandă</t>
  </si>
  <si>
    <t>Ce NU include oferta (se facturează separat)</t>
  </si>
  <si>
    <t>Semnătura și ștampila</t>
  </si>
  <si>
    <t>Sumarul ofertelor</t>
  </si>
  <si>
    <t>Câte oferte ai trimis, câte au fost acceptate și ce marjă au avut.</t>
  </si>
  <si>
    <t>Nr. oferte</t>
  </si>
  <si>
    <t>Marjă medie</t>
  </si>
  <si>
    <t>Expirată</t>
  </si>
  <si>
    <t>TOTAL</t>
  </si>
  <si>
    <t>Rata de acceptare (din ofertele cu răspuns sau expirate)</t>
  </si>
  <si>
    <t>Valoare medie a unei oferte acceptate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</si>
  <si>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</si>
  <si>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</si>
  <si>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modelexcel.ro/model-oferta-de-pret-excel/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</si>
</sst>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lei&quot;"/>
  </numFmts>
  <fonts count="17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8B1E3F"/>
      <name val="Calibri"/>
      <family val="2"/>
    </font>
    <font>
      <i/>
      <sz val="10"/>
      <color theme="1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sz val="10"/>
      <color rgb="FF5D6B64"/>
      <name val="Calibri"/>
      <family val="2"/>
    </font>
    <font>
      <sz val="10"/>
      <color rgb="FFFFFFFF"/>
      <name val="Calibri"/>
      <family val="2"/>
    </font>
    <font>
      <b/>
      <sz val="10"/>
      <color rgb="FF8B1E3F"/>
      <name val="Calibri"/>
      <family val="2"/>
    </font>
    <font>
      <b/>
      <sz val="20"/>
      <color rgb="FF8B1E3F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F8F9"/>
        <bgColor indexed="64"/>
      </patternFill>
    </fill>
    <fill>
      <patternFill patternType="solid">
        <fgColor rgb="FF8B1E3F"/>
        <bgColor indexed="64"/>
      </patternFill>
    </fill>
    <fill>
      <patternFill patternType="solid">
        <fgColor rgb="FFF6E1E7"/>
        <bgColor indexed="64"/>
      </patternFill>
    </fill>
  </fills>
  <borders count="2">
    <border>
      <left/>
      <right/>
      <top/>
      <bottom/>
      <diagonal/>
    </border>
    <border>
      <left style="thin">
        <color rgb="FFE2D4D8"/>
      </left>
      <right style="thin">
        <color rgb="FFE2D4D8"/>
      </right>
      <top style="thin">
        <color rgb="FFE2D4D8"/>
      </top>
      <bottom style="thin">
        <color rgb="FFE2D4D8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1" fillId="2" borderId="1" xfId="0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4" fontId="1" fillId="2" borderId="1" xfId="0" applyNumberFormat="1" applyFont="1" applyFill="1" applyBorder="1"/>
    <xf numFmtId="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9" fontId="1" fillId="2" borderId="1" xfId="0" applyNumberFormat="1" applyFont="1" applyFill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1" fillId="2" borderId="1" xfId="0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14" fontId="1" fillId="0" borderId="1" xfId="0" applyNumberFormat="1" applyFont="1" applyBorder="1" applyAlignment="1">
      <alignment horizontal="center" vertical="top"/>
    </xf>
    <xf numFmtId="9" fontId="1" fillId="2" borderId="1" xfId="0" applyNumberFormat="1" applyFont="1" applyFill="1" applyBorder="1" applyAlignment="1">
      <alignment horizontal="center" vertical="top"/>
    </xf>
    <xf numFmtId="4" fontId="1" fillId="0" borderId="1" xfId="0" applyNumberFormat="1" applyFont="1" applyBorder="1" applyAlignment="1">
      <alignment vertical="top"/>
    </xf>
    <xf numFmtId="9" fontId="1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4" fontId="5" fillId="4" borderId="1" xfId="0" applyNumberFormat="1" applyFont="1" applyFill="1" applyBorder="1"/>
    <xf numFmtId="9" fontId="5" fillId="0" borderId="1" xfId="0" applyNumberFormat="1" applyFont="1" applyBorder="1"/>
    <xf numFmtId="4" fontId="5" fillId="0" borderId="1" xfId="0" applyNumberFormat="1" applyFont="1" applyBorder="1"/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8" fillId="4" borderId="1" xfId="0" applyFont="1" applyFill="1" applyBorder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8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5">
    <dxf>
      <font>
        <b/>
        <i val="0"/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F"/>
        </patternFill>
      </fill>
    </dxf>
    <dxf>
      <font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oferta-de-pret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A598-70A2-4C1C-851B-FF9B3E187169}">
  <sheetPr>
    <pageSetUpPr fitToPage="1"/>
  </sheetPr>
  <dimension ref="B1:M47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18.7109375" style="1" customWidth="1"/>
    <col min="4" max="4" width="14.7109375" style="1" customWidth="1"/>
    <col min="5" max="5" width="12.7109375" style="1" customWidth="1"/>
    <col min="6" max="6" width="7.7109375" style="1" customWidth="1"/>
    <col min="7" max="7" width="9.7109375" style="1" customWidth="1"/>
    <col min="8" max="8" width="12.7109375" style="1" customWidth="1"/>
    <col min="9" max="9" width="9.7109375" style="1" customWidth="1"/>
    <col min="10" max="10" width="13.7109375" style="1" customWidth="1"/>
    <col min="11" max="11" width="11.7109375" style="1" customWidth="1"/>
    <col min="12" max="16384" width="11.42578125" style="1"/>
  </cols>
  <sheetData>
    <row r="1" spans="2:13" ht="15.75" x14ac:dyDescent="0.25">
      <c r="B1" s="29" t="str">
        <f>Firma</f>
        <v>Exemplu Instalații SRL</v>
      </c>
      <c r="H1" s="31" t="s">
        <v>113</v>
      </c>
      <c r="I1" s="51" t="s">
        <v>67</v>
      </c>
      <c r="J1" s="52"/>
      <c r="K1" s="3" t="s">
        <v>114</v>
      </c>
      <c r="M1" s="32">
        <f>IFERROR(MATCH(NrOf,'Registru oferte'!$B$5:$B$504,0),0)</f>
        <v>3</v>
      </c>
    </row>
    <row r="2" spans="2:13" x14ac:dyDescent="0.2">
      <c r="B2" s="30" t="str">
        <f>"CUI "&amp;CUI&amp;" · "&amp;RegCom</f>
        <v>CUI RO12345678 · J29/1234/2018</v>
      </c>
      <c r="H2" s="31" t="s">
        <v>115</v>
      </c>
      <c r="I2" s="1" t="str">
        <f>IF(RandOf=0,"",RIGHT("0"&amp;DAY(INDEX('Registru oferte'!$C$5:$C$504,RandOf)),2)&amp;"."&amp;RIGHT("0"&amp;MONTH(INDEX('Registru oferte'!$C$5:$C$504,RandOf)),2)&amp;"."&amp;YEAR(INDEX('Registru oferte'!$C$5:$C$504,RandOf)))</f>
        <v>06.10.2026</v>
      </c>
    </row>
    <row r="3" spans="2:13" x14ac:dyDescent="0.2">
      <c r="B3" s="30" t="str">
        <f>Adresa</f>
        <v>Str. Gării nr. 10, Ploiești, Prahova</v>
      </c>
      <c r="H3" s="31" t="s">
        <v>116</v>
      </c>
      <c r="I3" s="33" t="str">
        <f>IF(RandOf=0,"",RIGHT("0"&amp;DAY(INDEX('Registru oferte'!$H$5:$H$504,RandOf)),2)&amp;"."&amp;RIGHT("0"&amp;MONTH(INDEX('Registru oferte'!$H$5:$H$504,RandOf)),2)&amp;"."&amp;YEAR(INDEX('Registru oferte'!$H$5:$H$504,RandOf)))</f>
        <v>05.11.2026</v>
      </c>
    </row>
    <row r="4" spans="2:13" x14ac:dyDescent="0.2">
      <c r="B4" s="30" t="str">
        <f>Contact</f>
        <v>0744 000 000 · oferte@exemplu.ro</v>
      </c>
    </row>
    <row r="6" spans="2:13" ht="26.25" x14ac:dyDescent="0.4">
      <c r="B6" s="34" t="s">
        <v>117</v>
      </c>
    </row>
    <row r="8" spans="2:13" x14ac:dyDescent="0.2">
      <c r="B8" s="4" t="s">
        <v>118</v>
      </c>
      <c r="C8" s="4" t="str">
        <f>IF(RandOf=0,"Oferta nu există în registru",INDEX('Registru oferte'!$D$5:$D$504,RandOf)&amp;IF(INDEX('Registru oferte'!$E$5:$E$504,RandOf)="","","  ·  CUI "&amp;INDEX('Registru oferte'!$E$5:$E$504,RandOf)))</f>
        <v>Hotel Carpați SRL  ·  CUI RO33333333</v>
      </c>
    </row>
    <row r="9" spans="2:13" x14ac:dyDescent="0.2">
      <c r="B9" s="4" t="s">
        <v>119</v>
      </c>
      <c r="C9" s="1" t="str">
        <f>IF(RandOf=0,"",INDEX('Registru oferte'!$F$5:$F$504,RandOf))</f>
        <v>Instalație electrică și iluminat – sala de conferințe</v>
      </c>
    </row>
    <row r="11" spans="2:13" ht="30" customHeight="1" x14ac:dyDescent="0.2">
      <c r="B11" s="8" t="s">
        <v>120</v>
      </c>
      <c r="C11" s="53" t="s">
        <v>121</v>
      </c>
      <c r="D11" s="53"/>
      <c r="E11" s="53"/>
      <c r="F11" s="8" t="s">
        <v>28</v>
      </c>
      <c r="G11" s="8" t="s">
        <v>54</v>
      </c>
      <c r="H11" s="8" t="s">
        <v>122</v>
      </c>
      <c r="I11" s="8" t="s">
        <v>56</v>
      </c>
      <c r="J11" s="8" t="s">
        <v>58</v>
      </c>
      <c r="K11" s="8" t="s">
        <v>59</v>
      </c>
    </row>
    <row r="12" spans="2:13" x14ac:dyDescent="0.2">
      <c r="B12" s="15">
        <f>IF(ISNUMBER(MATCH(NrOf&amp;"|"&amp;1,'Linii ofertă'!$S$5:$S$1004,0)),1,"")</f>
        <v>1</v>
      </c>
      <c r="C12" s="50" t="str">
        <f>IF($B12="","",INDEX('Linii ofertă'!$D$5:$D$1004,MATCH(NrOf&amp;"|"&amp;1,'Linii ofertă'!$S$5:$S$1004,0)))</f>
        <v>Cablu electric CYY-F 3×2,5 mm²</v>
      </c>
      <c r="D12" s="50"/>
      <c r="E12" s="50"/>
      <c r="F12" s="15" t="str">
        <f>IF($B12="","",INDEX('Linii ofertă'!$E$5:$E$1004,MATCH(NrOf&amp;"|"&amp;1,'Linii ofertă'!$S$5:$S$1004,0)))</f>
        <v>m</v>
      </c>
      <c r="G12" s="15">
        <f>IF($B12="","",INDEX('Linii ofertă'!$F$5:$F$1004,MATCH(NrOf&amp;"|"&amp;1,'Linii ofertă'!$S$5:$S$1004,0)))</f>
        <v>350</v>
      </c>
      <c r="H12" s="16">
        <f>IF($B12="","",INDEX('Linii ofertă'!$I$5:$I$1004,MATCH(NrOf&amp;"|"&amp;1,'Linii ofertă'!$S$5:$S$1004,0)))</f>
        <v>9.5</v>
      </c>
      <c r="I12" s="18" t="str">
        <f>IF($B12="","",IF(N(INDEX('Linii ofertă'!$H$5:$H$1004,MATCH(NrOf&amp;"|"&amp;1,'Linii ofertă'!$S$5:$S$1004,0)))=0,"",INDEX('Linii ofertă'!$H$5:$H$1004,MATCH(NrOf&amp;"|"&amp;1,'Linii ofertă'!$S$5:$S$1004,0))))</f>
        <v/>
      </c>
      <c r="J12" s="16">
        <f>IF($B12="","",INDEX('Linii ofertă'!$J$5:$J$1004,MATCH(NrOf&amp;"|"&amp;1,'Linii ofertă'!$S$5:$S$1004,0)))</f>
        <v>3325</v>
      </c>
      <c r="K12" s="16">
        <f>IF($B12="","",INDEX('Linii ofertă'!$L$5:$L$1004,MATCH(NrOf&amp;"|"&amp;1,'Linii ofertă'!$S$5:$S$1004,0)))</f>
        <v>698.25</v>
      </c>
    </row>
    <row r="13" spans="2:13" x14ac:dyDescent="0.2">
      <c r="B13" s="15">
        <f>IF(ISNUMBER(MATCH(NrOf&amp;"|"&amp;2,'Linii ofertă'!$S$5:$S$1004,0)),2,"")</f>
        <v>2</v>
      </c>
      <c r="C13" s="50" t="str">
        <f>IF($B13="","",INDEX('Linii ofertă'!$D$5:$D$1004,MATCH(NrOf&amp;"|"&amp;2,'Linii ofertă'!$S$5:$S$1004,0)))</f>
        <v>Tablou electric echipat, 24 module</v>
      </c>
      <c r="D13" s="50"/>
      <c r="E13" s="50"/>
      <c r="F13" s="15" t="str">
        <f>IF($B13="","",INDEX('Linii ofertă'!$E$5:$E$1004,MATCH(NrOf&amp;"|"&amp;2,'Linii ofertă'!$S$5:$S$1004,0)))</f>
        <v>buc</v>
      </c>
      <c r="G13" s="15">
        <f>IF($B13="","",INDEX('Linii ofertă'!$F$5:$F$1004,MATCH(NrOf&amp;"|"&amp;2,'Linii ofertă'!$S$5:$S$1004,0)))</f>
        <v>1</v>
      </c>
      <c r="H13" s="16">
        <f>IF($B13="","",INDEX('Linii ofertă'!$I$5:$I$1004,MATCH(NrOf&amp;"|"&amp;2,'Linii ofertă'!$S$5:$S$1004,0)))</f>
        <v>1377.5</v>
      </c>
      <c r="I13" s="18">
        <f>IF($B13="","",IF(N(INDEX('Linii ofertă'!$H$5:$H$1004,MATCH(NrOf&amp;"|"&amp;2,'Linii ofertă'!$S$5:$S$1004,0)))=0,"",INDEX('Linii ofertă'!$H$5:$H$1004,MATCH(NrOf&amp;"|"&amp;2,'Linii ofertă'!$S$5:$S$1004,0))))</f>
        <v>0.05</v>
      </c>
      <c r="J13" s="16">
        <f>IF($B13="","",INDEX('Linii ofertă'!$J$5:$J$1004,MATCH(NrOf&amp;"|"&amp;2,'Linii ofertă'!$S$5:$S$1004,0)))</f>
        <v>1377.5</v>
      </c>
      <c r="K13" s="16">
        <f>IF($B13="","",INDEX('Linii ofertă'!$L$5:$L$1004,MATCH(NrOf&amp;"|"&amp;2,'Linii ofertă'!$S$5:$S$1004,0)))</f>
        <v>289.27999999999997</v>
      </c>
    </row>
    <row r="14" spans="2:13" x14ac:dyDescent="0.2">
      <c r="B14" s="15">
        <f>IF(ISNUMBER(MATCH(NrOf&amp;"|"&amp;3,'Linii ofertă'!$S$5:$S$1004,0)),3,"")</f>
        <v>3</v>
      </c>
      <c r="C14" s="50" t="str">
        <f>IF($B14="","",INDEX('Linii ofertă'!$D$5:$D$1004,MATCH(NrOf&amp;"|"&amp;3,'Linii ofertă'!$S$5:$S$1004,0)))</f>
        <v>Corp de iluminat LED tip panou 60×60, 40 W</v>
      </c>
      <c r="D14" s="50"/>
      <c r="E14" s="50"/>
      <c r="F14" s="15" t="str">
        <f>IF($B14="","",INDEX('Linii ofertă'!$E$5:$E$1004,MATCH(NrOf&amp;"|"&amp;3,'Linii ofertă'!$S$5:$S$1004,0)))</f>
        <v>buc</v>
      </c>
      <c r="G14" s="15">
        <f>IF($B14="","",INDEX('Linii ofertă'!$F$5:$F$1004,MATCH(NrOf&amp;"|"&amp;3,'Linii ofertă'!$S$5:$S$1004,0)))</f>
        <v>24</v>
      </c>
      <c r="H14" s="16">
        <f>IF($B14="","",INDEX('Linii ofertă'!$I$5:$I$1004,MATCH(NrOf&amp;"|"&amp;3,'Linii ofertă'!$S$5:$S$1004,0)))</f>
        <v>162.80000000000001</v>
      </c>
      <c r="I14" s="18">
        <f>IF($B14="","",IF(N(INDEX('Linii ofertă'!$H$5:$H$1004,MATCH(NrOf&amp;"|"&amp;3,'Linii ofertă'!$S$5:$S$1004,0)))=0,"",INDEX('Linii ofertă'!$H$5:$H$1004,MATCH(NrOf&amp;"|"&amp;3,'Linii ofertă'!$S$5:$S$1004,0))))</f>
        <v>0.12</v>
      </c>
      <c r="J14" s="16">
        <f>IF($B14="","",INDEX('Linii ofertă'!$J$5:$J$1004,MATCH(NrOf&amp;"|"&amp;3,'Linii ofertă'!$S$5:$S$1004,0)))</f>
        <v>3907.2</v>
      </c>
      <c r="K14" s="16">
        <f>IF($B14="","",INDEX('Linii ofertă'!$L$5:$L$1004,MATCH(NrOf&amp;"|"&amp;3,'Linii ofertă'!$S$5:$S$1004,0)))</f>
        <v>820.51</v>
      </c>
    </row>
    <row r="15" spans="2:13" x14ac:dyDescent="0.2">
      <c r="B15" s="15">
        <f>IF(ISNUMBER(MATCH(NrOf&amp;"|"&amp;4,'Linii ofertă'!$S$5:$S$1004,0)),4,"")</f>
        <v>4</v>
      </c>
      <c r="C15" s="50" t="str">
        <f>IF($B15="","",INDEX('Linii ofertă'!$D$5:$D$1004,MATCH(NrOf&amp;"|"&amp;4,'Linii ofertă'!$S$5:$S$1004,0)))</f>
        <v>Priză dublă încastrată</v>
      </c>
      <c r="D15" s="50"/>
      <c r="E15" s="50"/>
      <c r="F15" s="15" t="str">
        <f>IF($B15="","",INDEX('Linii ofertă'!$E$5:$E$1004,MATCH(NrOf&amp;"|"&amp;4,'Linii ofertă'!$S$5:$S$1004,0)))</f>
        <v>buc</v>
      </c>
      <c r="G15" s="15">
        <f>IF($B15="","",INDEX('Linii ofertă'!$F$5:$F$1004,MATCH(NrOf&amp;"|"&amp;4,'Linii ofertă'!$S$5:$S$1004,0)))</f>
        <v>18</v>
      </c>
      <c r="H15" s="16">
        <f>IF($B15="","",INDEX('Linii ofertă'!$I$5:$I$1004,MATCH(NrOf&amp;"|"&amp;4,'Linii ofertă'!$S$5:$S$1004,0)))</f>
        <v>32</v>
      </c>
      <c r="I15" s="18" t="str">
        <f>IF($B15="","",IF(N(INDEX('Linii ofertă'!$H$5:$H$1004,MATCH(NrOf&amp;"|"&amp;4,'Linii ofertă'!$S$5:$S$1004,0)))=0,"",INDEX('Linii ofertă'!$H$5:$H$1004,MATCH(NrOf&amp;"|"&amp;4,'Linii ofertă'!$S$5:$S$1004,0))))</f>
        <v/>
      </c>
      <c r="J15" s="16">
        <f>IF($B15="","",INDEX('Linii ofertă'!$J$5:$J$1004,MATCH(NrOf&amp;"|"&amp;4,'Linii ofertă'!$S$5:$S$1004,0)))</f>
        <v>576</v>
      </c>
      <c r="K15" s="16">
        <f>IF($B15="","",INDEX('Linii ofertă'!$L$5:$L$1004,MATCH(NrOf&amp;"|"&amp;4,'Linii ofertă'!$S$5:$S$1004,0)))</f>
        <v>120.96</v>
      </c>
    </row>
    <row r="16" spans="2:13" x14ac:dyDescent="0.2">
      <c r="B16" s="15">
        <f>IF(ISNUMBER(MATCH(NrOf&amp;"|"&amp;5,'Linii ofertă'!$S$5:$S$1004,0)),5,"")</f>
        <v>5</v>
      </c>
      <c r="C16" s="50" t="str">
        <f>IF($B16="","",INDEX('Linii ofertă'!$D$5:$D$1004,MATCH(NrOf&amp;"|"&amp;5,'Linii ofertă'!$S$5:$S$1004,0)))</f>
        <v>Manoperă montaj electrician</v>
      </c>
      <c r="D16" s="50"/>
      <c r="E16" s="50"/>
      <c r="F16" s="15" t="str">
        <f>IF($B16="","",INDEX('Linii ofertă'!$E$5:$E$1004,MATCH(NrOf&amp;"|"&amp;5,'Linii ofertă'!$S$5:$S$1004,0)))</f>
        <v>oră</v>
      </c>
      <c r="G16" s="15">
        <f>IF($B16="","",INDEX('Linii ofertă'!$F$5:$F$1004,MATCH(NrOf&amp;"|"&amp;5,'Linii ofertă'!$S$5:$S$1004,0)))</f>
        <v>64</v>
      </c>
      <c r="H16" s="16">
        <f>IF($B16="","",INDEX('Linii ofertă'!$I$5:$I$1004,MATCH(NrOf&amp;"|"&amp;5,'Linii ofertă'!$S$5:$S$1004,0)))</f>
        <v>95</v>
      </c>
      <c r="I16" s="18" t="str">
        <f>IF($B16="","",IF(N(INDEX('Linii ofertă'!$H$5:$H$1004,MATCH(NrOf&amp;"|"&amp;5,'Linii ofertă'!$S$5:$S$1004,0)))=0,"",INDEX('Linii ofertă'!$H$5:$H$1004,MATCH(NrOf&amp;"|"&amp;5,'Linii ofertă'!$S$5:$S$1004,0))))</f>
        <v/>
      </c>
      <c r="J16" s="16">
        <f>IF($B16="","",INDEX('Linii ofertă'!$J$5:$J$1004,MATCH(NrOf&amp;"|"&amp;5,'Linii ofertă'!$S$5:$S$1004,0)))</f>
        <v>6080</v>
      </c>
      <c r="K16" s="16">
        <f>IF($B16="","",INDEX('Linii ofertă'!$L$5:$L$1004,MATCH(NrOf&amp;"|"&amp;5,'Linii ofertă'!$S$5:$S$1004,0)))</f>
        <v>1276.8</v>
      </c>
    </row>
    <row r="17" spans="2:11" x14ac:dyDescent="0.2">
      <c r="B17" s="15">
        <f>IF(ISNUMBER(MATCH(NrOf&amp;"|"&amp;6,'Linii ofertă'!$S$5:$S$1004,0)),6,"")</f>
        <v>6</v>
      </c>
      <c r="C17" s="50" t="str">
        <f>IF($B17="","",INDEX('Linii ofertă'!$D$5:$D$1004,MATCH(NrOf&amp;"|"&amp;6,'Linii ofertă'!$S$5:$S$1004,0)))</f>
        <v>Transport și deplasare</v>
      </c>
      <c r="D17" s="50"/>
      <c r="E17" s="50"/>
      <c r="F17" s="15" t="str">
        <f>IF($B17="","",INDEX('Linii ofertă'!$E$5:$E$1004,MATCH(NrOf&amp;"|"&amp;6,'Linii ofertă'!$S$5:$S$1004,0)))</f>
        <v>cursă</v>
      </c>
      <c r="G17" s="15">
        <f>IF($B17="","",INDEX('Linii ofertă'!$F$5:$F$1004,MATCH(NrOf&amp;"|"&amp;6,'Linii ofertă'!$S$5:$S$1004,0)))</f>
        <v>2</v>
      </c>
      <c r="H17" s="16">
        <f>IF($B17="","",INDEX('Linii ofertă'!$I$5:$I$1004,MATCH(NrOf&amp;"|"&amp;6,'Linii ofertă'!$S$5:$S$1004,0)))</f>
        <v>250</v>
      </c>
      <c r="I17" s="18" t="str">
        <f>IF($B17="","",IF(N(INDEX('Linii ofertă'!$H$5:$H$1004,MATCH(NrOf&amp;"|"&amp;6,'Linii ofertă'!$S$5:$S$1004,0)))=0,"",INDEX('Linii ofertă'!$H$5:$H$1004,MATCH(NrOf&amp;"|"&amp;6,'Linii ofertă'!$S$5:$S$1004,0))))</f>
        <v/>
      </c>
      <c r="J17" s="16">
        <f>IF($B17="","",INDEX('Linii ofertă'!$J$5:$J$1004,MATCH(NrOf&amp;"|"&amp;6,'Linii ofertă'!$S$5:$S$1004,0)))</f>
        <v>500</v>
      </c>
      <c r="K17" s="16">
        <f>IF($B17="","",INDEX('Linii ofertă'!$L$5:$L$1004,MATCH(NrOf&amp;"|"&amp;6,'Linii ofertă'!$S$5:$S$1004,0)))</f>
        <v>105</v>
      </c>
    </row>
    <row r="18" spans="2:11" x14ac:dyDescent="0.2">
      <c r="B18" s="15">
        <f>IF(ISNUMBER(MATCH(NrOf&amp;"|"&amp;7,'Linii ofertă'!$S$5:$S$1004,0)),7,"")</f>
        <v>7</v>
      </c>
      <c r="C18" s="50" t="str">
        <f>IF($B18="","",INDEX('Linii ofertă'!$D$5:$D$1004,MATCH(NrOf&amp;"|"&amp;7,'Linii ofertă'!$S$5:$S$1004,0)))</f>
        <v>Măsurători PRAM și buletin de verificare</v>
      </c>
      <c r="D18" s="50"/>
      <c r="E18" s="50"/>
      <c r="F18" s="15" t="str">
        <f>IF($B18="","",INDEX('Linii ofertă'!$E$5:$E$1004,MATCH(NrOf&amp;"|"&amp;7,'Linii ofertă'!$S$5:$S$1004,0)))</f>
        <v>buc</v>
      </c>
      <c r="G18" s="15">
        <f>IF($B18="","",INDEX('Linii ofertă'!$F$5:$F$1004,MATCH(NrOf&amp;"|"&amp;7,'Linii ofertă'!$S$5:$S$1004,0)))</f>
        <v>1</v>
      </c>
      <c r="H18" s="16">
        <f>IF($B18="","",INDEX('Linii ofertă'!$I$5:$I$1004,MATCH(NrOf&amp;"|"&amp;7,'Linii ofertă'!$S$5:$S$1004,0)))</f>
        <v>650</v>
      </c>
      <c r="I18" s="18" t="str">
        <f>IF($B18="","",IF(N(INDEX('Linii ofertă'!$H$5:$H$1004,MATCH(NrOf&amp;"|"&amp;7,'Linii ofertă'!$S$5:$S$1004,0)))=0,"",INDEX('Linii ofertă'!$H$5:$H$1004,MATCH(NrOf&amp;"|"&amp;7,'Linii ofertă'!$S$5:$S$1004,0))))</f>
        <v/>
      </c>
      <c r="J18" s="16">
        <f>IF($B18="","",INDEX('Linii ofertă'!$J$5:$J$1004,MATCH(NrOf&amp;"|"&amp;7,'Linii ofertă'!$S$5:$S$1004,0)))</f>
        <v>650</v>
      </c>
      <c r="K18" s="16">
        <f>IF($B18="","",INDEX('Linii ofertă'!$L$5:$L$1004,MATCH(NrOf&amp;"|"&amp;7,'Linii ofertă'!$S$5:$S$1004,0)))</f>
        <v>136.5</v>
      </c>
    </row>
    <row r="19" spans="2:11" x14ac:dyDescent="0.2">
      <c r="B19" s="15" t="str">
        <f>IF(ISNUMBER(MATCH(NrOf&amp;"|"&amp;8,'Linii ofertă'!$S$5:$S$1004,0)),8,"")</f>
        <v/>
      </c>
      <c r="C19" s="50" t="str">
        <f>IF($B19="","",INDEX('Linii ofertă'!$D$5:$D$1004,MATCH(NrOf&amp;"|"&amp;8,'Linii ofertă'!$S$5:$S$1004,0)))</f>
        <v/>
      </c>
      <c r="D19" s="50"/>
      <c r="E19" s="50"/>
      <c r="F19" s="15" t="str">
        <f>IF($B19="","",INDEX('Linii ofertă'!$E$5:$E$1004,MATCH(NrOf&amp;"|"&amp;8,'Linii ofertă'!$S$5:$S$1004,0)))</f>
        <v/>
      </c>
      <c r="G19" s="15" t="str">
        <f>IF($B19="","",INDEX('Linii ofertă'!$F$5:$F$1004,MATCH(NrOf&amp;"|"&amp;8,'Linii ofertă'!$S$5:$S$1004,0)))</f>
        <v/>
      </c>
      <c r="H19" s="16" t="str">
        <f>IF($B19="","",INDEX('Linii ofertă'!$I$5:$I$1004,MATCH(NrOf&amp;"|"&amp;8,'Linii ofertă'!$S$5:$S$1004,0)))</f>
        <v/>
      </c>
      <c r="I19" s="18" t="str">
        <f>IF($B19="","",IF(N(INDEX('Linii ofertă'!$H$5:$H$1004,MATCH(NrOf&amp;"|"&amp;8,'Linii ofertă'!$S$5:$S$1004,0)))=0,"",INDEX('Linii ofertă'!$H$5:$H$1004,MATCH(NrOf&amp;"|"&amp;8,'Linii ofertă'!$S$5:$S$1004,0))))</f>
        <v/>
      </c>
      <c r="J19" s="16" t="str">
        <f>IF($B19="","",INDEX('Linii ofertă'!$J$5:$J$1004,MATCH(NrOf&amp;"|"&amp;8,'Linii ofertă'!$S$5:$S$1004,0)))</f>
        <v/>
      </c>
      <c r="K19" s="16" t="str">
        <f>IF($B19="","",INDEX('Linii ofertă'!$L$5:$L$1004,MATCH(NrOf&amp;"|"&amp;8,'Linii ofertă'!$S$5:$S$1004,0)))</f>
        <v/>
      </c>
    </row>
    <row r="20" spans="2:11" x14ac:dyDescent="0.2">
      <c r="B20" s="15" t="str">
        <f>IF(ISNUMBER(MATCH(NrOf&amp;"|"&amp;9,'Linii ofertă'!$S$5:$S$1004,0)),9,"")</f>
        <v/>
      </c>
      <c r="C20" s="50" t="str">
        <f>IF($B20="","",INDEX('Linii ofertă'!$D$5:$D$1004,MATCH(NrOf&amp;"|"&amp;9,'Linii ofertă'!$S$5:$S$1004,0)))</f>
        <v/>
      </c>
      <c r="D20" s="50"/>
      <c r="E20" s="50"/>
      <c r="F20" s="15" t="str">
        <f>IF($B20="","",INDEX('Linii ofertă'!$E$5:$E$1004,MATCH(NrOf&amp;"|"&amp;9,'Linii ofertă'!$S$5:$S$1004,0)))</f>
        <v/>
      </c>
      <c r="G20" s="15" t="str">
        <f>IF($B20="","",INDEX('Linii ofertă'!$F$5:$F$1004,MATCH(NrOf&amp;"|"&amp;9,'Linii ofertă'!$S$5:$S$1004,0)))</f>
        <v/>
      </c>
      <c r="H20" s="16" t="str">
        <f>IF($B20="","",INDEX('Linii ofertă'!$I$5:$I$1004,MATCH(NrOf&amp;"|"&amp;9,'Linii ofertă'!$S$5:$S$1004,0)))</f>
        <v/>
      </c>
      <c r="I20" s="18" t="str">
        <f>IF($B20="","",IF(N(INDEX('Linii ofertă'!$H$5:$H$1004,MATCH(NrOf&amp;"|"&amp;9,'Linii ofertă'!$S$5:$S$1004,0)))=0,"",INDEX('Linii ofertă'!$H$5:$H$1004,MATCH(NrOf&amp;"|"&amp;9,'Linii ofertă'!$S$5:$S$1004,0))))</f>
        <v/>
      </c>
      <c r="J20" s="16" t="str">
        <f>IF($B20="","",INDEX('Linii ofertă'!$J$5:$J$1004,MATCH(NrOf&amp;"|"&amp;9,'Linii ofertă'!$S$5:$S$1004,0)))</f>
        <v/>
      </c>
      <c r="K20" s="16" t="str">
        <f>IF($B20="","",INDEX('Linii ofertă'!$L$5:$L$1004,MATCH(NrOf&amp;"|"&amp;9,'Linii ofertă'!$S$5:$S$1004,0)))</f>
        <v/>
      </c>
    </row>
    <row r="21" spans="2:11" x14ac:dyDescent="0.2">
      <c r="B21" s="15" t="str">
        <f>IF(ISNUMBER(MATCH(NrOf&amp;"|"&amp;10,'Linii ofertă'!$S$5:$S$1004,0)),10,"")</f>
        <v/>
      </c>
      <c r="C21" s="50" t="str">
        <f>IF($B21="","",INDEX('Linii ofertă'!$D$5:$D$1004,MATCH(NrOf&amp;"|"&amp;10,'Linii ofertă'!$S$5:$S$1004,0)))</f>
        <v/>
      </c>
      <c r="D21" s="50"/>
      <c r="E21" s="50"/>
      <c r="F21" s="15" t="str">
        <f>IF($B21="","",INDEX('Linii ofertă'!$E$5:$E$1004,MATCH(NrOf&amp;"|"&amp;10,'Linii ofertă'!$S$5:$S$1004,0)))</f>
        <v/>
      </c>
      <c r="G21" s="15" t="str">
        <f>IF($B21="","",INDEX('Linii ofertă'!$F$5:$F$1004,MATCH(NrOf&amp;"|"&amp;10,'Linii ofertă'!$S$5:$S$1004,0)))</f>
        <v/>
      </c>
      <c r="H21" s="16" t="str">
        <f>IF($B21="","",INDEX('Linii ofertă'!$I$5:$I$1004,MATCH(NrOf&amp;"|"&amp;10,'Linii ofertă'!$S$5:$S$1004,0)))</f>
        <v/>
      </c>
      <c r="I21" s="18" t="str">
        <f>IF($B21="","",IF(N(INDEX('Linii ofertă'!$H$5:$H$1004,MATCH(NrOf&amp;"|"&amp;10,'Linii ofertă'!$S$5:$S$1004,0)))=0,"",INDEX('Linii ofertă'!$H$5:$H$1004,MATCH(NrOf&amp;"|"&amp;10,'Linii ofertă'!$S$5:$S$1004,0))))</f>
        <v/>
      </c>
      <c r="J21" s="16" t="str">
        <f>IF($B21="","",INDEX('Linii ofertă'!$J$5:$J$1004,MATCH(NrOf&amp;"|"&amp;10,'Linii ofertă'!$S$5:$S$1004,0)))</f>
        <v/>
      </c>
      <c r="K21" s="16" t="str">
        <f>IF($B21="","",INDEX('Linii ofertă'!$L$5:$L$1004,MATCH(NrOf&amp;"|"&amp;10,'Linii ofertă'!$S$5:$S$1004,0)))</f>
        <v/>
      </c>
    </row>
    <row r="22" spans="2:11" x14ac:dyDescent="0.2">
      <c r="B22" s="15" t="str">
        <f>IF(ISNUMBER(MATCH(NrOf&amp;"|"&amp;11,'Linii ofertă'!$S$5:$S$1004,0)),11,"")</f>
        <v/>
      </c>
      <c r="C22" s="50" t="str">
        <f>IF($B22="","",INDEX('Linii ofertă'!$D$5:$D$1004,MATCH(NrOf&amp;"|"&amp;11,'Linii ofertă'!$S$5:$S$1004,0)))</f>
        <v/>
      </c>
      <c r="D22" s="50"/>
      <c r="E22" s="50"/>
      <c r="F22" s="15" t="str">
        <f>IF($B22="","",INDEX('Linii ofertă'!$E$5:$E$1004,MATCH(NrOf&amp;"|"&amp;11,'Linii ofertă'!$S$5:$S$1004,0)))</f>
        <v/>
      </c>
      <c r="G22" s="15" t="str">
        <f>IF($B22="","",INDEX('Linii ofertă'!$F$5:$F$1004,MATCH(NrOf&amp;"|"&amp;11,'Linii ofertă'!$S$5:$S$1004,0)))</f>
        <v/>
      </c>
      <c r="H22" s="16" t="str">
        <f>IF($B22="","",INDEX('Linii ofertă'!$I$5:$I$1004,MATCH(NrOf&amp;"|"&amp;11,'Linii ofertă'!$S$5:$S$1004,0)))</f>
        <v/>
      </c>
      <c r="I22" s="18" t="str">
        <f>IF($B22="","",IF(N(INDEX('Linii ofertă'!$H$5:$H$1004,MATCH(NrOf&amp;"|"&amp;11,'Linii ofertă'!$S$5:$S$1004,0)))=0,"",INDEX('Linii ofertă'!$H$5:$H$1004,MATCH(NrOf&amp;"|"&amp;11,'Linii ofertă'!$S$5:$S$1004,0))))</f>
        <v/>
      </c>
      <c r="J22" s="16" t="str">
        <f>IF($B22="","",INDEX('Linii ofertă'!$J$5:$J$1004,MATCH(NrOf&amp;"|"&amp;11,'Linii ofertă'!$S$5:$S$1004,0)))</f>
        <v/>
      </c>
      <c r="K22" s="16" t="str">
        <f>IF($B22="","",INDEX('Linii ofertă'!$L$5:$L$1004,MATCH(NrOf&amp;"|"&amp;11,'Linii ofertă'!$S$5:$S$1004,0)))</f>
        <v/>
      </c>
    </row>
    <row r="23" spans="2:11" x14ac:dyDescent="0.2">
      <c r="B23" s="15" t="str">
        <f>IF(ISNUMBER(MATCH(NrOf&amp;"|"&amp;12,'Linii ofertă'!$S$5:$S$1004,0)),12,"")</f>
        <v/>
      </c>
      <c r="C23" s="50" t="str">
        <f>IF($B23="","",INDEX('Linii ofertă'!$D$5:$D$1004,MATCH(NrOf&amp;"|"&amp;12,'Linii ofertă'!$S$5:$S$1004,0)))</f>
        <v/>
      </c>
      <c r="D23" s="50"/>
      <c r="E23" s="50"/>
      <c r="F23" s="15" t="str">
        <f>IF($B23="","",INDEX('Linii ofertă'!$E$5:$E$1004,MATCH(NrOf&amp;"|"&amp;12,'Linii ofertă'!$S$5:$S$1004,0)))</f>
        <v/>
      </c>
      <c r="G23" s="15" t="str">
        <f>IF($B23="","",INDEX('Linii ofertă'!$F$5:$F$1004,MATCH(NrOf&amp;"|"&amp;12,'Linii ofertă'!$S$5:$S$1004,0)))</f>
        <v/>
      </c>
      <c r="H23" s="16" t="str">
        <f>IF($B23="","",INDEX('Linii ofertă'!$I$5:$I$1004,MATCH(NrOf&amp;"|"&amp;12,'Linii ofertă'!$S$5:$S$1004,0)))</f>
        <v/>
      </c>
      <c r="I23" s="18" t="str">
        <f>IF($B23="","",IF(N(INDEX('Linii ofertă'!$H$5:$H$1004,MATCH(NrOf&amp;"|"&amp;12,'Linii ofertă'!$S$5:$S$1004,0)))=0,"",INDEX('Linii ofertă'!$H$5:$H$1004,MATCH(NrOf&amp;"|"&amp;12,'Linii ofertă'!$S$5:$S$1004,0))))</f>
        <v/>
      </c>
      <c r="J23" s="16" t="str">
        <f>IF($B23="","",INDEX('Linii ofertă'!$J$5:$J$1004,MATCH(NrOf&amp;"|"&amp;12,'Linii ofertă'!$S$5:$S$1004,0)))</f>
        <v/>
      </c>
      <c r="K23" s="16" t="str">
        <f>IF($B23="","",INDEX('Linii ofertă'!$L$5:$L$1004,MATCH(NrOf&amp;"|"&amp;12,'Linii ofertă'!$S$5:$S$1004,0)))</f>
        <v/>
      </c>
    </row>
    <row r="24" spans="2:11" x14ac:dyDescent="0.2">
      <c r="B24" s="15" t="str">
        <f>IF(ISNUMBER(MATCH(NrOf&amp;"|"&amp;13,'Linii ofertă'!$S$5:$S$1004,0)),13,"")</f>
        <v/>
      </c>
      <c r="C24" s="50" t="str">
        <f>IF($B24="","",INDEX('Linii ofertă'!$D$5:$D$1004,MATCH(NrOf&amp;"|"&amp;13,'Linii ofertă'!$S$5:$S$1004,0)))</f>
        <v/>
      </c>
      <c r="D24" s="50"/>
      <c r="E24" s="50"/>
      <c r="F24" s="15" t="str">
        <f>IF($B24="","",INDEX('Linii ofertă'!$E$5:$E$1004,MATCH(NrOf&amp;"|"&amp;13,'Linii ofertă'!$S$5:$S$1004,0)))</f>
        <v/>
      </c>
      <c r="G24" s="15" t="str">
        <f>IF($B24="","",INDEX('Linii ofertă'!$F$5:$F$1004,MATCH(NrOf&amp;"|"&amp;13,'Linii ofertă'!$S$5:$S$1004,0)))</f>
        <v/>
      </c>
      <c r="H24" s="16" t="str">
        <f>IF($B24="","",INDEX('Linii ofertă'!$I$5:$I$1004,MATCH(NrOf&amp;"|"&amp;13,'Linii ofertă'!$S$5:$S$1004,0)))</f>
        <v/>
      </c>
      <c r="I24" s="18" t="str">
        <f>IF($B24="","",IF(N(INDEX('Linii ofertă'!$H$5:$H$1004,MATCH(NrOf&amp;"|"&amp;13,'Linii ofertă'!$S$5:$S$1004,0)))=0,"",INDEX('Linii ofertă'!$H$5:$H$1004,MATCH(NrOf&amp;"|"&amp;13,'Linii ofertă'!$S$5:$S$1004,0))))</f>
        <v/>
      </c>
      <c r="J24" s="16" t="str">
        <f>IF($B24="","",INDEX('Linii ofertă'!$J$5:$J$1004,MATCH(NrOf&amp;"|"&amp;13,'Linii ofertă'!$S$5:$S$1004,0)))</f>
        <v/>
      </c>
      <c r="K24" s="16" t="str">
        <f>IF($B24="","",INDEX('Linii ofertă'!$L$5:$L$1004,MATCH(NrOf&amp;"|"&amp;13,'Linii ofertă'!$S$5:$S$1004,0)))</f>
        <v/>
      </c>
    </row>
    <row r="25" spans="2:11" x14ac:dyDescent="0.2">
      <c r="B25" s="15" t="str">
        <f>IF(ISNUMBER(MATCH(NrOf&amp;"|"&amp;14,'Linii ofertă'!$S$5:$S$1004,0)),14,"")</f>
        <v/>
      </c>
      <c r="C25" s="50" t="str">
        <f>IF($B25="","",INDEX('Linii ofertă'!$D$5:$D$1004,MATCH(NrOf&amp;"|"&amp;14,'Linii ofertă'!$S$5:$S$1004,0)))</f>
        <v/>
      </c>
      <c r="D25" s="50"/>
      <c r="E25" s="50"/>
      <c r="F25" s="15" t="str">
        <f>IF($B25="","",INDEX('Linii ofertă'!$E$5:$E$1004,MATCH(NrOf&amp;"|"&amp;14,'Linii ofertă'!$S$5:$S$1004,0)))</f>
        <v/>
      </c>
      <c r="G25" s="15" t="str">
        <f>IF($B25="","",INDEX('Linii ofertă'!$F$5:$F$1004,MATCH(NrOf&amp;"|"&amp;14,'Linii ofertă'!$S$5:$S$1004,0)))</f>
        <v/>
      </c>
      <c r="H25" s="16" t="str">
        <f>IF($B25="","",INDEX('Linii ofertă'!$I$5:$I$1004,MATCH(NrOf&amp;"|"&amp;14,'Linii ofertă'!$S$5:$S$1004,0)))</f>
        <v/>
      </c>
      <c r="I25" s="18" t="str">
        <f>IF($B25="","",IF(N(INDEX('Linii ofertă'!$H$5:$H$1004,MATCH(NrOf&amp;"|"&amp;14,'Linii ofertă'!$S$5:$S$1004,0)))=0,"",INDEX('Linii ofertă'!$H$5:$H$1004,MATCH(NrOf&amp;"|"&amp;14,'Linii ofertă'!$S$5:$S$1004,0))))</f>
        <v/>
      </c>
      <c r="J25" s="16" t="str">
        <f>IF($B25="","",INDEX('Linii ofertă'!$J$5:$J$1004,MATCH(NrOf&amp;"|"&amp;14,'Linii ofertă'!$S$5:$S$1004,0)))</f>
        <v/>
      </c>
      <c r="K25" s="16" t="str">
        <f>IF($B25="","",INDEX('Linii ofertă'!$L$5:$L$1004,MATCH(NrOf&amp;"|"&amp;14,'Linii ofertă'!$S$5:$S$1004,0)))</f>
        <v/>
      </c>
    </row>
    <row r="26" spans="2:11" x14ac:dyDescent="0.2">
      <c r="B26" s="15" t="str">
        <f>IF(ISNUMBER(MATCH(NrOf&amp;"|"&amp;15,'Linii ofertă'!$S$5:$S$1004,0)),15,"")</f>
        <v/>
      </c>
      <c r="C26" s="50" t="str">
        <f>IF($B26="","",INDEX('Linii ofertă'!$D$5:$D$1004,MATCH(NrOf&amp;"|"&amp;15,'Linii ofertă'!$S$5:$S$1004,0)))</f>
        <v/>
      </c>
      <c r="D26" s="50"/>
      <c r="E26" s="50"/>
      <c r="F26" s="15" t="str">
        <f>IF($B26="","",INDEX('Linii ofertă'!$E$5:$E$1004,MATCH(NrOf&amp;"|"&amp;15,'Linii ofertă'!$S$5:$S$1004,0)))</f>
        <v/>
      </c>
      <c r="G26" s="15" t="str">
        <f>IF($B26="","",INDEX('Linii ofertă'!$F$5:$F$1004,MATCH(NrOf&amp;"|"&amp;15,'Linii ofertă'!$S$5:$S$1004,0)))</f>
        <v/>
      </c>
      <c r="H26" s="16" t="str">
        <f>IF($B26="","",INDEX('Linii ofertă'!$I$5:$I$1004,MATCH(NrOf&amp;"|"&amp;15,'Linii ofertă'!$S$5:$S$1004,0)))</f>
        <v/>
      </c>
      <c r="I26" s="18" t="str">
        <f>IF($B26="","",IF(N(INDEX('Linii ofertă'!$H$5:$H$1004,MATCH(NrOf&amp;"|"&amp;15,'Linii ofertă'!$S$5:$S$1004,0)))=0,"",INDEX('Linii ofertă'!$H$5:$H$1004,MATCH(NrOf&amp;"|"&amp;15,'Linii ofertă'!$S$5:$S$1004,0))))</f>
        <v/>
      </c>
      <c r="J26" s="16" t="str">
        <f>IF($B26="","",INDEX('Linii ofertă'!$J$5:$J$1004,MATCH(NrOf&amp;"|"&amp;15,'Linii ofertă'!$S$5:$S$1004,0)))</f>
        <v/>
      </c>
      <c r="K26" s="16" t="str">
        <f>IF($B26="","",INDEX('Linii ofertă'!$L$5:$L$1004,MATCH(NrOf&amp;"|"&amp;15,'Linii ofertă'!$S$5:$S$1004,0)))</f>
        <v/>
      </c>
    </row>
    <row r="27" spans="2:11" x14ac:dyDescent="0.2">
      <c r="B27" s="15" t="str">
        <f>IF(ISNUMBER(MATCH(NrOf&amp;"|"&amp;16,'Linii ofertă'!$S$5:$S$1004,0)),16,"")</f>
        <v/>
      </c>
      <c r="C27" s="50" t="str">
        <f>IF($B27="","",INDEX('Linii ofertă'!$D$5:$D$1004,MATCH(NrOf&amp;"|"&amp;16,'Linii ofertă'!$S$5:$S$1004,0)))</f>
        <v/>
      </c>
      <c r="D27" s="50"/>
      <c r="E27" s="50"/>
      <c r="F27" s="15" t="str">
        <f>IF($B27="","",INDEX('Linii ofertă'!$E$5:$E$1004,MATCH(NrOf&amp;"|"&amp;16,'Linii ofertă'!$S$5:$S$1004,0)))</f>
        <v/>
      </c>
      <c r="G27" s="15" t="str">
        <f>IF($B27="","",INDEX('Linii ofertă'!$F$5:$F$1004,MATCH(NrOf&amp;"|"&amp;16,'Linii ofertă'!$S$5:$S$1004,0)))</f>
        <v/>
      </c>
      <c r="H27" s="16" t="str">
        <f>IF($B27="","",INDEX('Linii ofertă'!$I$5:$I$1004,MATCH(NrOf&amp;"|"&amp;16,'Linii ofertă'!$S$5:$S$1004,0)))</f>
        <v/>
      </c>
      <c r="I27" s="18" t="str">
        <f>IF($B27="","",IF(N(INDEX('Linii ofertă'!$H$5:$H$1004,MATCH(NrOf&amp;"|"&amp;16,'Linii ofertă'!$S$5:$S$1004,0)))=0,"",INDEX('Linii ofertă'!$H$5:$H$1004,MATCH(NrOf&amp;"|"&amp;16,'Linii ofertă'!$S$5:$S$1004,0))))</f>
        <v/>
      </c>
      <c r="J27" s="16" t="str">
        <f>IF($B27="","",INDEX('Linii ofertă'!$J$5:$J$1004,MATCH(NrOf&amp;"|"&amp;16,'Linii ofertă'!$S$5:$S$1004,0)))</f>
        <v/>
      </c>
      <c r="K27" s="16" t="str">
        <f>IF($B27="","",INDEX('Linii ofertă'!$L$5:$L$1004,MATCH(NrOf&amp;"|"&amp;16,'Linii ofertă'!$S$5:$S$1004,0)))</f>
        <v/>
      </c>
    </row>
    <row r="28" spans="2:11" x14ac:dyDescent="0.2">
      <c r="B28" s="15" t="str">
        <f>IF(ISNUMBER(MATCH(NrOf&amp;"|"&amp;17,'Linii ofertă'!$S$5:$S$1004,0)),17,"")</f>
        <v/>
      </c>
      <c r="C28" s="50" t="str">
        <f>IF($B28="","",INDEX('Linii ofertă'!$D$5:$D$1004,MATCH(NrOf&amp;"|"&amp;17,'Linii ofertă'!$S$5:$S$1004,0)))</f>
        <v/>
      </c>
      <c r="D28" s="50"/>
      <c r="E28" s="50"/>
      <c r="F28" s="15" t="str">
        <f>IF($B28="","",INDEX('Linii ofertă'!$E$5:$E$1004,MATCH(NrOf&amp;"|"&amp;17,'Linii ofertă'!$S$5:$S$1004,0)))</f>
        <v/>
      </c>
      <c r="G28" s="15" t="str">
        <f>IF($B28="","",INDEX('Linii ofertă'!$F$5:$F$1004,MATCH(NrOf&amp;"|"&amp;17,'Linii ofertă'!$S$5:$S$1004,0)))</f>
        <v/>
      </c>
      <c r="H28" s="16" t="str">
        <f>IF($B28="","",INDEX('Linii ofertă'!$I$5:$I$1004,MATCH(NrOf&amp;"|"&amp;17,'Linii ofertă'!$S$5:$S$1004,0)))</f>
        <v/>
      </c>
      <c r="I28" s="18" t="str">
        <f>IF($B28="","",IF(N(INDEX('Linii ofertă'!$H$5:$H$1004,MATCH(NrOf&amp;"|"&amp;17,'Linii ofertă'!$S$5:$S$1004,0)))=0,"",INDEX('Linii ofertă'!$H$5:$H$1004,MATCH(NrOf&amp;"|"&amp;17,'Linii ofertă'!$S$5:$S$1004,0))))</f>
        <v/>
      </c>
      <c r="J28" s="16" t="str">
        <f>IF($B28="","",INDEX('Linii ofertă'!$J$5:$J$1004,MATCH(NrOf&amp;"|"&amp;17,'Linii ofertă'!$S$5:$S$1004,0)))</f>
        <v/>
      </c>
      <c r="K28" s="16" t="str">
        <f>IF($B28="","",INDEX('Linii ofertă'!$L$5:$L$1004,MATCH(NrOf&amp;"|"&amp;17,'Linii ofertă'!$S$5:$S$1004,0)))</f>
        <v/>
      </c>
    </row>
    <row r="29" spans="2:11" x14ac:dyDescent="0.2">
      <c r="B29" s="15" t="str">
        <f>IF(ISNUMBER(MATCH(NrOf&amp;"|"&amp;18,'Linii ofertă'!$S$5:$S$1004,0)),18,"")</f>
        <v/>
      </c>
      <c r="C29" s="50" t="str">
        <f>IF($B29="","",INDEX('Linii ofertă'!$D$5:$D$1004,MATCH(NrOf&amp;"|"&amp;18,'Linii ofertă'!$S$5:$S$1004,0)))</f>
        <v/>
      </c>
      <c r="D29" s="50"/>
      <c r="E29" s="50"/>
      <c r="F29" s="15" t="str">
        <f>IF($B29="","",INDEX('Linii ofertă'!$E$5:$E$1004,MATCH(NrOf&amp;"|"&amp;18,'Linii ofertă'!$S$5:$S$1004,0)))</f>
        <v/>
      </c>
      <c r="G29" s="15" t="str">
        <f>IF($B29="","",INDEX('Linii ofertă'!$F$5:$F$1004,MATCH(NrOf&amp;"|"&amp;18,'Linii ofertă'!$S$5:$S$1004,0)))</f>
        <v/>
      </c>
      <c r="H29" s="16" t="str">
        <f>IF($B29="","",INDEX('Linii ofertă'!$I$5:$I$1004,MATCH(NrOf&amp;"|"&amp;18,'Linii ofertă'!$S$5:$S$1004,0)))</f>
        <v/>
      </c>
      <c r="I29" s="18" t="str">
        <f>IF($B29="","",IF(N(INDEX('Linii ofertă'!$H$5:$H$1004,MATCH(NrOf&amp;"|"&amp;18,'Linii ofertă'!$S$5:$S$1004,0)))=0,"",INDEX('Linii ofertă'!$H$5:$H$1004,MATCH(NrOf&amp;"|"&amp;18,'Linii ofertă'!$S$5:$S$1004,0))))</f>
        <v/>
      </c>
      <c r="J29" s="16" t="str">
        <f>IF($B29="","",INDEX('Linii ofertă'!$J$5:$J$1004,MATCH(NrOf&amp;"|"&amp;18,'Linii ofertă'!$S$5:$S$1004,0)))</f>
        <v/>
      </c>
      <c r="K29" s="16" t="str">
        <f>IF($B29="","",INDEX('Linii ofertă'!$L$5:$L$1004,MATCH(NrOf&amp;"|"&amp;18,'Linii ofertă'!$S$5:$S$1004,0)))</f>
        <v/>
      </c>
    </row>
    <row r="30" spans="2:11" x14ac:dyDescent="0.2">
      <c r="B30" s="15" t="str">
        <f>IF(ISNUMBER(MATCH(NrOf&amp;"|"&amp;19,'Linii ofertă'!$S$5:$S$1004,0)),19,"")</f>
        <v/>
      </c>
      <c r="C30" s="50" t="str">
        <f>IF($B30="","",INDEX('Linii ofertă'!$D$5:$D$1004,MATCH(NrOf&amp;"|"&amp;19,'Linii ofertă'!$S$5:$S$1004,0)))</f>
        <v/>
      </c>
      <c r="D30" s="50"/>
      <c r="E30" s="50"/>
      <c r="F30" s="15" t="str">
        <f>IF($B30="","",INDEX('Linii ofertă'!$E$5:$E$1004,MATCH(NrOf&amp;"|"&amp;19,'Linii ofertă'!$S$5:$S$1004,0)))</f>
        <v/>
      </c>
      <c r="G30" s="15" t="str">
        <f>IF($B30="","",INDEX('Linii ofertă'!$F$5:$F$1004,MATCH(NrOf&amp;"|"&amp;19,'Linii ofertă'!$S$5:$S$1004,0)))</f>
        <v/>
      </c>
      <c r="H30" s="16" t="str">
        <f>IF($B30="","",INDEX('Linii ofertă'!$I$5:$I$1004,MATCH(NrOf&amp;"|"&amp;19,'Linii ofertă'!$S$5:$S$1004,0)))</f>
        <v/>
      </c>
      <c r="I30" s="18" t="str">
        <f>IF($B30="","",IF(N(INDEX('Linii ofertă'!$H$5:$H$1004,MATCH(NrOf&amp;"|"&amp;19,'Linii ofertă'!$S$5:$S$1004,0)))=0,"",INDEX('Linii ofertă'!$H$5:$H$1004,MATCH(NrOf&amp;"|"&amp;19,'Linii ofertă'!$S$5:$S$1004,0))))</f>
        <v/>
      </c>
      <c r="J30" s="16" t="str">
        <f>IF($B30="","",INDEX('Linii ofertă'!$J$5:$J$1004,MATCH(NrOf&amp;"|"&amp;19,'Linii ofertă'!$S$5:$S$1004,0)))</f>
        <v/>
      </c>
      <c r="K30" s="16" t="str">
        <f>IF($B30="","",INDEX('Linii ofertă'!$L$5:$L$1004,MATCH(NrOf&amp;"|"&amp;19,'Linii ofertă'!$S$5:$S$1004,0)))</f>
        <v/>
      </c>
    </row>
    <row r="31" spans="2:11" x14ac:dyDescent="0.2">
      <c r="B31" s="15" t="str">
        <f>IF(ISNUMBER(MATCH(NrOf&amp;"|"&amp;20,'Linii ofertă'!$S$5:$S$1004,0)),20,"")</f>
        <v/>
      </c>
      <c r="C31" s="50" t="str">
        <f>IF($B31="","",INDEX('Linii ofertă'!$D$5:$D$1004,MATCH(NrOf&amp;"|"&amp;20,'Linii ofertă'!$S$5:$S$1004,0)))</f>
        <v/>
      </c>
      <c r="D31" s="50"/>
      <c r="E31" s="50"/>
      <c r="F31" s="15" t="str">
        <f>IF($B31="","",INDEX('Linii ofertă'!$E$5:$E$1004,MATCH(NrOf&amp;"|"&amp;20,'Linii ofertă'!$S$5:$S$1004,0)))</f>
        <v/>
      </c>
      <c r="G31" s="15" t="str">
        <f>IF($B31="","",INDEX('Linii ofertă'!$F$5:$F$1004,MATCH(NrOf&amp;"|"&amp;20,'Linii ofertă'!$S$5:$S$1004,0)))</f>
        <v/>
      </c>
      <c r="H31" s="16" t="str">
        <f>IF($B31="","",INDEX('Linii ofertă'!$I$5:$I$1004,MATCH(NrOf&amp;"|"&amp;20,'Linii ofertă'!$S$5:$S$1004,0)))</f>
        <v/>
      </c>
      <c r="I31" s="18" t="str">
        <f>IF($B31="","",IF(N(INDEX('Linii ofertă'!$H$5:$H$1004,MATCH(NrOf&amp;"|"&amp;20,'Linii ofertă'!$S$5:$S$1004,0)))=0,"",INDEX('Linii ofertă'!$H$5:$H$1004,MATCH(NrOf&amp;"|"&amp;20,'Linii ofertă'!$S$5:$S$1004,0))))</f>
        <v/>
      </c>
      <c r="J31" s="16" t="str">
        <f>IF($B31="","",INDEX('Linii ofertă'!$J$5:$J$1004,MATCH(NrOf&amp;"|"&amp;20,'Linii ofertă'!$S$5:$S$1004,0)))</f>
        <v/>
      </c>
      <c r="K31" s="16" t="str">
        <f>IF($B31="","",INDEX('Linii ofertă'!$L$5:$L$1004,MATCH(NrOf&amp;"|"&amp;20,'Linii ofertă'!$S$5:$S$1004,0)))</f>
        <v/>
      </c>
    </row>
    <row r="32" spans="2:11" x14ac:dyDescent="0.2">
      <c r="G32" s="43" t="s">
        <v>123</v>
      </c>
      <c r="H32" s="43"/>
      <c r="I32" s="43"/>
      <c r="J32" s="44">
        <f>SUM(J12:J31)</f>
        <v>16415.7</v>
      </c>
      <c r="K32" s="45"/>
    </row>
    <row r="33" spans="2:11" x14ac:dyDescent="0.2">
      <c r="G33" s="43" t="s">
        <v>59</v>
      </c>
      <c r="H33" s="43"/>
      <c r="I33" s="43"/>
      <c r="J33" s="44">
        <f>SUM(K12:K31)</f>
        <v>3447.3</v>
      </c>
      <c r="K33" s="45"/>
    </row>
    <row r="34" spans="2:11" ht="15.75" x14ac:dyDescent="0.25">
      <c r="G34" s="46" t="s">
        <v>124</v>
      </c>
      <c r="H34" s="46"/>
      <c r="I34" s="46"/>
      <c r="J34" s="47">
        <f>J32+J33</f>
        <v>19863</v>
      </c>
      <c r="K34" s="47"/>
    </row>
    <row r="35" spans="2:11" x14ac:dyDescent="0.2">
      <c r="G35" s="48" t="s">
        <v>125</v>
      </c>
      <c r="H35" s="48"/>
      <c r="I35" s="48"/>
      <c r="J35" s="49">
        <f>IF(RandOf=0,0,ROUND(J34*N(INDEX('Registru oferte'!$K$5:$K$504,RandOf)),2))</f>
        <v>7945.2</v>
      </c>
      <c r="K35" s="48"/>
    </row>
    <row r="37" spans="2:11" x14ac:dyDescent="0.2">
      <c r="B37" s="33" t="s">
        <v>80</v>
      </c>
    </row>
    <row r="38" spans="2:11" ht="27.95" customHeight="1" x14ac:dyDescent="0.2">
      <c r="B38" s="40" t="str">
        <f>IF(RandOf=0,"",IF(INDEX('Registru oferte'!$L$5:$L$504,RandOf)="","—",INDEX('Registru oferte'!$L$5:$L$504,RandOf)))</f>
        <v>Materiale, manoperă, transport, punere în funcțiune și garanție 24 de luni pentru lucrare.</v>
      </c>
      <c r="C38" s="40"/>
      <c r="D38" s="40"/>
      <c r="E38" s="40"/>
      <c r="F38" s="40"/>
      <c r="G38" s="40"/>
      <c r="H38" s="40"/>
      <c r="I38" s="40"/>
      <c r="J38" s="40"/>
      <c r="K38" s="40"/>
    </row>
    <row r="39" spans="2:11" x14ac:dyDescent="0.2">
      <c r="B39" s="33" t="s">
        <v>126</v>
      </c>
    </row>
    <row r="40" spans="2:11" ht="27.95" customHeight="1" x14ac:dyDescent="0.2">
      <c r="B40" s="40" t="str">
        <f>IF(RandOf=0,"",IF(INDEX('Registru oferte'!$M$5:$M$504,RandOf)="","—",INDEX('Registru oferte'!$M$5:$M$504,RandOf)))</f>
        <v>Lucrări de zidărie, tavane false și zugrăveli; avize de la furnizorul de energie; modificări cerute după aprobarea ofertei (se ofertează separat).</v>
      </c>
      <c r="C40" s="40"/>
      <c r="D40" s="40"/>
      <c r="E40" s="40"/>
      <c r="F40" s="40"/>
      <c r="G40" s="40"/>
      <c r="H40" s="40"/>
      <c r="I40" s="40"/>
      <c r="J40" s="40"/>
      <c r="K40" s="40"/>
    </row>
    <row r="41" spans="2:11" x14ac:dyDescent="0.2">
      <c r="B41" s="33" t="s">
        <v>77</v>
      </c>
    </row>
    <row r="42" spans="2:11" ht="27.95" customHeight="1" x14ac:dyDescent="0.2">
      <c r="B42" s="40" t="str">
        <f>IF(RandOf=0,"",IF(INDEX('Registru oferte'!$I$5:$I$504,RandOf)="","—",INDEX('Registru oferte'!$I$5:$I$504,RandOf)))</f>
        <v>10 zile lucrătoare de la plata avansului</v>
      </c>
      <c r="C42" s="40"/>
      <c r="D42" s="40"/>
      <c r="E42" s="40"/>
      <c r="F42" s="40"/>
      <c r="G42" s="40"/>
      <c r="H42" s="40"/>
      <c r="I42" s="40"/>
      <c r="J42" s="40"/>
      <c r="K42" s="40"/>
    </row>
    <row r="43" spans="2:11" x14ac:dyDescent="0.2">
      <c r="B43" s="33" t="s">
        <v>78</v>
      </c>
    </row>
    <row r="44" spans="2:11" ht="27.95" customHeight="1" x14ac:dyDescent="0.2">
      <c r="B44" s="40" t="str">
        <f>IF(RandOf=0,"",IF(INDEX('Registru oferte'!$J$5:$J$504,RandOf)="","—",INDEX('Registru oferte'!$J$5:$J$504,RandOf)))</f>
        <v>40% avans la comandă, 60% la recepție, în 10 zile</v>
      </c>
      <c r="C44" s="40"/>
      <c r="D44" s="40"/>
      <c r="E44" s="40"/>
      <c r="F44" s="40"/>
      <c r="G44" s="40"/>
      <c r="H44" s="40"/>
      <c r="I44" s="40"/>
      <c r="J44" s="40"/>
      <c r="K44" s="40"/>
    </row>
    <row r="45" spans="2:11" ht="27.95" customHeight="1" x14ac:dyDescent="0.2">
      <c r="B45" s="41" t="str">
        <f>IF(RandOf=0,"","Oferta este valabilă "&amp;IF(INDEX('Registru oferte'!$G$5:$G$504,RandOf)="",ValImpl,INDEX('Registru oferte'!$G$5:$G$504,RandOf))&amp;" de zile, până la "&amp;I3&amp;". Prețurile sunt exprimate în lei; plata se face în contul "&amp;IBAN&amp;".")</f>
        <v>Oferta este valabilă 30 de zile, până la 05.11.2026. Prețurile sunt exprimate în lei; plata se face în contul RO49 AAAA 1B31 0075 9384 0000.</v>
      </c>
      <c r="C45" s="42"/>
      <c r="D45" s="42"/>
      <c r="E45" s="42"/>
      <c r="F45" s="42"/>
      <c r="G45" s="42"/>
      <c r="H45" s="42"/>
      <c r="I45" s="42"/>
      <c r="J45" s="42"/>
      <c r="K45" s="42"/>
    </row>
    <row r="47" spans="2:11" x14ac:dyDescent="0.2">
      <c r="B47" s="4" t="str">
        <f>"Întocmit: "&amp;Intocmit</f>
        <v>Întocmit: Andrei Ionescu</v>
      </c>
      <c r="C47" s="4"/>
      <c r="D47" s="4"/>
      <c r="E47" s="4"/>
      <c r="F47" s="4"/>
      <c r="G47" s="4"/>
      <c r="H47" s="4" t="s">
        <v>127</v>
      </c>
      <c r="I47" s="4"/>
      <c r="J47" s="4"/>
      <c r="K47" s="4"/>
    </row>
  </sheetData>
  <mergeCells count="35">
    <mergeCell ref="C21:E21"/>
    <mergeCell ref="I1:J1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J32:K32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G32:I32"/>
    <mergeCell ref="G33:I33"/>
    <mergeCell ref="J33:K33"/>
    <mergeCell ref="G34:I34"/>
    <mergeCell ref="J34:K34"/>
    <mergeCell ref="G35:I35"/>
    <mergeCell ref="J35:K35"/>
    <mergeCell ref="B38:K38"/>
    <mergeCell ref="B40:K40"/>
    <mergeCell ref="B42:K42"/>
    <mergeCell ref="B44:K44"/>
    <mergeCell ref="B45:K45"/>
  </mergeCells>
  <printOptions horizontalCentered="1"/>
  <pageMargins left="0.7" right="0.7" top="0.75" bottom="0.75" header="0.3" footer="0.3"/>
  <pageSetup scale="72" orientation="portrait" r:id="rId1"/>
  <headerFooter>
    <oddFooter>&amp;Cmodelexcel.ro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724457-B6FA-4508-A05D-5AAE315CF9A7}">
          <x14:formula1>
            <xm:f>'Registru oferte'!$B$5:$B$504</xm:f>
          </x14:formula1>
          <xm:sqref>I1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D3190-6AD4-4625-A027-35C4086A5CBE}">
  <dimension ref="B1:ZZ100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10.7109375" style="1" customWidth="1"/>
    <col min="4" max="4" width="20.7109375" style="1" customWidth="1"/>
    <col min="5" max="5" width="11.7109375" style="1" customWidth="1"/>
    <col min="6" max="6" width="30.7109375" style="1" customWidth="1"/>
    <col min="7" max="7" width="9.7109375" style="1" customWidth="1"/>
    <col min="8" max="8" width="10.7109375" style="1" customWidth="1"/>
    <col min="9" max="9" width="22.7109375" style="1" customWidth="1"/>
    <col min="10" max="10" width="24.7109375" style="1" customWidth="1"/>
    <col min="11" max="11" width="7.7109375" style="1" customWidth="1"/>
    <col min="12" max="12" width="30.7109375" style="1" customWidth="1"/>
    <col min="13" max="13" width="34.7109375" style="1" customWidth="1"/>
    <col min="14" max="15" width="10.7109375" style="1" customWidth="1"/>
    <col min="16" max="17" width="12.7109375" style="1" customWidth="1"/>
    <col min="18" max="18" width="8.7109375" style="1" customWidth="1"/>
    <col min="19" max="19" width="10.7109375" style="1" customWidth="1"/>
    <col min="20" max="20" width="34.7109375" style="1" customWidth="1"/>
    <col min="21" max="16384" width="11.42578125" style="1"/>
  </cols>
  <sheetData>
    <row r="1" spans="2:20" ht="21" x14ac:dyDescent="0.35">
      <c r="B1" s="2" t="s">
        <v>69</v>
      </c>
    </row>
    <row r="2" spans="2:20" x14ac:dyDescent="0.2">
      <c r="B2" s="3" t="s">
        <v>70</v>
      </c>
    </row>
    <row r="4" spans="2:20" ht="30" customHeight="1" x14ac:dyDescent="0.2">
      <c r="B4" s="8" t="s">
        <v>53</v>
      </c>
      <c r="C4" s="8" t="s">
        <v>71</v>
      </c>
      <c r="D4" s="8" t="s">
        <v>72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  <c r="J4" s="8" t="s">
        <v>78</v>
      </c>
      <c r="K4" s="8" t="s">
        <v>79</v>
      </c>
      <c r="L4" s="8" t="s">
        <v>80</v>
      </c>
      <c r="M4" s="8" t="s">
        <v>81</v>
      </c>
      <c r="N4" s="8" t="s">
        <v>82</v>
      </c>
      <c r="O4" s="8" t="s">
        <v>83</v>
      </c>
      <c r="P4" s="8" t="s">
        <v>58</v>
      </c>
      <c r="Q4" s="8" t="s">
        <v>84</v>
      </c>
      <c r="R4" s="8" t="s">
        <v>63</v>
      </c>
      <c r="S4" s="8" t="s">
        <v>85</v>
      </c>
      <c r="T4" s="8" t="s">
        <v>64</v>
      </c>
    </row>
    <row r="5" spans="2:20" x14ac:dyDescent="0.2">
      <c r="B5" s="20" t="s">
        <v>65</v>
      </c>
      <c r="C5" s="21">
        <f>DATE(2026,8,18)</f>
        <v>46252</v>
      </c>
      <c r="D5" s="22" t="s">
        <v>86</v>
      </c>
      <c r="E5" s="22" t="s">
        <v>87</v>
      </c>
      <c r="F5" s="22" t="s">
        <v>88</v>
      </c>
      <c r="G5" s="20">
        <v>30</v>
      </c>
      <c r="H5" s="23">
        <f t="shared" ref="H5:H68" si="0">IF(OR(B5="",C5=""),"",C5+IF(G5="",ValImpl,G5))</f>
        <v>46282</v>
      </c>
      <c r="I5" s="22" t="s">
        <v>89</v>
      </c>
      <c r="J5" s="22" t="s">
        <v>90</v>
      </c>
      <c r="K5" s="24">
        <v>0</v>
      </c>
      <c r="L5" s="22" t="s">
        <v>91</v>
      </c>
      <c r="M5" s="22" t="s">
        <v>92</v>
      </c>
      <c r="N5" s="20" t="s">
        <v>23</v>
      </c>
      <c r="O5" s="21">
        <f>DATE(2026,9,2)</f>
        <v>46267</v>
      </c>
      <c r="P5" s="25">
        <f>IF(B5="","",SUMIF('Linii ofertă'!$B$5:$B$1004,B5,'Linii ofertă'!$J$5:$J$1004))</f>
        <v>2840</v>
      </c>
      <c r="Q5" s="25">
        <f>IF(B5="","",SUMIF('Linii ofertă'!$B$5:$B$1004,B5,'Linii ofertă'!$M$5:$M$1004))</f>
        <v>3436.4</v>
      </c>
      <c r="R5" s="26">
        <f>IF(OR(B5="",N(P5)=0),"",SUMIF('Linii ofertă'!$B$5:$B$1004,B5,'Linii ofertă'!$P$5:$P$1004)/P5)</f>
        <v>0.34507042253521125</v>
      </c>
      <c r="S5" s="27" t="str">
        <f t="shared" ref="S5:S68" ca="1" si="1">IF(B5="","",IF(AND(OR(N5="Trimisă",N5="În lucru"),ISNUMBER(H5),TODAY()&gt;H5),"Expirată",IF(N5="","În lucru",N5)))</f>
        <v>Refuzată</v>
      </c>
      <c r="T5" s="28" t="str">
        <f ca="1">IF(B5="","",TRIM(IF(COUNTIF($B$5:$B$504,B5)&gt;1,"Număr dublat. ","")&amp;IF(N(P5)=0,"Oferta nu are linii. ","")&amp;IF(M5="","Completează ce NU include oferta. ","")&amp;IF(AND(ISNUMBER(R5),R5&lt;MarjaMin),"Marjă totală sub minim. ","")&amp;IF(COUNTIFS('Linii ofertă'!$B$5:$B$1004,B5,'Linii ofertă'!$R$5:$R$1004,"Marjă*")&gt;0,"Are linii cu marjă sub minim. ","")&amp;IF(AND(S5="Expirată"),"Valabilitatea a expirat: reconfirmă prețurile. ","")))</f>
        <v/>
      </c>
    </row>
    <row r="6" spans="2:20" x14ac:dyDescent="0.2">
      <c r="B6" s="20" t="s">
        <v>66</v>
      </c>
      <c r="C6" s="21">
        <f>DATE(2026,9,1)</f>
        <v>46266</v>
      </c>
      <c r="D6" s="22" t="s">
        <v>93</v>
      </c>
      <c r="E6" s="22" t="s">
        <v>94</v>
      </c>
      <c r="F6" s="22" t="s">
        <v>95</v>
      </c>
      <c r="G6" s="20">
        <v>30</v>
      </c>
      <c r="H6" s="23">
        <f t="shared" si="0"/>
        <v>46296</v>
      </c>
      <c r="I6" s="22" t="s">
        <v>96</v>
      </c>
      <c r="J6" s="22" t="s">
        <v>97</v>
      </c>
      <c r="K6" s="24">
        <v>0.5</v>
      </c>
      <c r="L6" s="22" t="s">
        <v>98</v>
      </c>
      <c r="M6" s="22" t="s">
        <v>99</v>
      </c>
      <c r="N6" s="20" t="s">
        <v>22</v>
      </c>
      <c r="O6" s="21">
        <f>DATE(2026,9,4)</f>
        <v>46269</v>
      </c>
      <c r="P6" s="25">
        <f>IF(B6="","",SUMIF('Linii ofertă'!$B$5:$B$1004,B6,'Linii ofertă'!$J$5:$J$1004))</f>
        <v>2532</v>
      </c>
      <c r="Q6" s="25">
        <f>IF(B6="","",SUMIF('Linii ofertă'!$B$5:$B$1004,B6,'Linii ofertă'!$M$5:$M$1004))</f>
        <v>3063.7200000000003</v>
      </c>
      <c r="R6" s="26">
        <f>IF(OR(B6="",N(P6)=0),"",SUMIF('Linii ofertă'!$B$5:$B$1004,B6,'Linii ofertă'!$P$5:$P$1004)/P6)</f>
        <v>0.37519747235387046</v>
      </c>
      <c r="S6" s="27" t="str">
        <f t="shared" ca="1" si="1"/>
        <v>Acceptată</v>
      </c>
      <c r="T6" s="28" t="str">
        <f ca="1">IF(B6="","",TRIM(IF(COUNTIF($B$5:$B$504,B6)&gt;1,"Număr dublat. ","")&amp;IF(N(P6)=0,"Oferta nu are linii. ","")&amp;IF(M6="","Completează ce NU include oferta. ","")&amp;IF(AND(ISNUMBER(R6),R6&lt;MarjaMin),"Marjă totală sub minim. ","")&amp;IF(COUNTIFS('Linii ofertă'!$B$5:$B$1004,B6,'Linii ofertă'!$R$5:$R$1004,"Marjă*")&gt;0,"Are linii cu marjă sub minim. ","")&amp;IF(AND(S6="Expirată"),"Valabilitatea a expirat: reconfirmă prețurile. ","")))</f>
        <v/>
      </c>
    </row>
    <row r="7" spans="2:20" x14ac:dyDescent="0.2">
      <c r="B7" s="20" t="s">
        <v>67</v>
      </c>
      <c r="C7" s="21">
        <f>DATE(2026,10,6)</f>
        <v>46301</v>
      </c>
      <c r="D7" s="22" t="s">
        <v>100</v>
      </c>
      <c r="E7" s="22" t="s">
        <v>101</v>
      </c>
      <c r="F7" s="22" t="s">
        <v>102</v>
      </c>
      <c r="G7" s="20">
        <v>30</v>
      </c>
      <c r="H7" s="23">
        <f t="shared" si="0"/>
        <v>46331</v>
      </c>
      <c r="I7" s="22" t="s">
        <v>103</v>
      </c>
      <c r="J7" s="22" t="s">
        <v>104</v>
      </c>
      <c r="K7" s="24">
        <v>0.4</v>
      </c>
      <c r="L7" s="22" t="s">
        <v>105</v>
      </c>
      <c r="M7" s="22" t="s">
        <v>106</v>
      </c>
      <c r="N7" s="20" t="s">
        <v>21</v>
      </c>
      <c r="O7" s="21"/>
      <c r="P7" s="25">
        <f>IF(B7="","",SUMIF('Linii ofertă'!$B$5:$B$1004,B7,'Linii ofertă'!$J$5:$J$1004))</f>
        <v>16415.7</v>
      </c>
      <c r="Q7" s="25">
        <f>IF(B7="","",SUMIF('Linii ofertă'!$B$5:$B$1004,B7,'Linii ofertă'!$M$5:$M$1004))</f>
        <v>19863</v>
      </c>
      <c r="R7" s="26">
        <f>IF(OR(B7="",N(P7)=0),"",SUMIF('Linii ofertă'!$B$5:$B$1004,B7,'Linii ofertă'!$P$5:$P$1004)/P7)</f>
        <v>0.27752090986068212</v>
      </c>
      <c r="S7" s="27" t="str">
        <f t="shared" ca="1" si="1"/>
        <v>Trimisă</v>
      </c>
      <c r="T7" s="28" t="str">
        <f ca="1">IF(B7="","",TRIM(IF(COUNTIF($B$5:$B$504,B7)&gt;1,"Număr dublat. ","")&amp;IF(N(P7)=0,"Oferta nu are linii. ","")&amp;IF(M7="","Completează ce NU include oferta. ","")&amp;IF(AND(ISNUMBER(R7),R7&lt;MarjaMin),"Marjă totală sub minim. ","")&amp;IF(COUNTIFS('Linii ofertă'!$B$5:$B$1004,B7,'Linii ofertă'!$R$5:$R$1004,"Marjă*")&gt;0,"Are linii cu marjă sub minim. ","")&amp;IF(AND(S7="Expirată"),"Valabilitatea a expirat: reconfirmă prețurile. ","")))</f>
        <v>Are linii cu marjă sub minim.</v>
      </c>
    </row>
    <row r="8" spans="2:20" x14ac:dyDescent="0.2">
      <c r="B8" s="20" t="s">
        <v>68</v>
      </c>
      <c r="C8" s="21">
        <f>DATE(2026,9,5)</f>
        <v>46270</v>
      </c>
      <c r="D8" s="22" t="s">
        <v>107</v>
      </c>
      <c r="E8" s="22" t="s">
        <v>108</v>
      </c>
      <c r="F8" s="22" t="s">
        <v>109</v>
      </c>
      <c r="G8" s="20">
        <v>30</v>
      </c>
      <c r="H8" s="23">
        <f t="shared" si="0"/>
        <v>46300</v>
      </c>
      <c r="I8" s="22" t="s">
        <v>110</v>
      </c>
      <c r="J8" s="22" t="s">
        <v>111</v>
      </c>
      <c r="K8" s="24">
        <v>0</v>
      </c>
      <c r="L8" s="22" t="s">
        <v>112</v>
      </c>
      <c r="M8" s="22"/>
      <c r="N8" s="20" t="s">
        <v>21</v>
      </c>
      <c r="O8" s="21"/>
      <c r="P8" s="25">
        <f>IF(B8="","",SUMIF('Linii ofertă'!$B$5:$B$1004,B8,'Linii ofertă'!$J$5:$J$1004))</f>
        <v>4050</v>
      </c>
      <c r="Q8" s="25">
        <f>IF(B8="","",SUMIF('Linii ofertă'!$B$5:$B$1004,B8,'Linii ofertă'!$M$5:$M$1004))</f>
        <v>4900.5</v>
      </c>
      <c r="R8" s="26">
        <f>IF(OR(B8="",N(P8)=0),"",SUMIF('Linii ofertă'!$B$5:$B$1004,B8,'Linii ofertă'!$P$5:$P$1004)/P8)</f>
        <v>0.31358024691358027</v>
      </c>
      <c r="S8" s="27" t="str">
        <f t="shared" ca="1" si="1"/>
        <v>Expirată</v>
      </c>
      <c r="T8" s="28" t="str">
        <f ca="1">IF(B8="","",TRIM(IF(COUNTIF($B$5:$B$504,B8)&gt;1,"Număr dublat. ","")&amp;IF(N(P8)=0,"Oferta nu are linii. ","")&amp;IF(M8="","Completează ce NU include oferta. ","")&amp;IF(AND(ISNUMBER(R8),R8&lt;MarjaMin),"Marjă totală sub minim. ","")&amp;IF(COUNTIFS('Linii ofertă'!$B$5:$B$1004,B8,'Linii ofertă'!$R$5:$R$1004,"Marjă*")&gt;0,"Are linii cu marjă sub minim. ","")&amp;IF(AND(S8="Expirată"),"Valabilitatea a expirat: reconfirmă prețurile. ","")))</f>
        <v>Completează ce NU include oferta. Valabilitatea a expirat: reconfirmă prețurile.</v>
      </c>
    </row>
    <row r="9" spans="2:20" x14ac:dyDescent="0.2">
      <c r="B9" s="20"/>
      <c r="C9" s="21"/>
      <c r="D9" s="22"/>
      <c r="E9" s="22"/>
      <c r="F9" s="22"/>
      <c r="G9" s="20"/>
      <c r="H9" s="23" t="str">
        <f t="shared" si="0"/>
        <v/>
      </c>
      <c r="I9" s="22"/>
      <c r="J9" s="22"/>
      <c r="K9" s="24"/>
      <c r="L9" s="22"/>
      <c r="M9" s="22"/>
      <c r="N9" s="20"/>
      <c r="O9" s="21"/>
      <c r="P9" s="25" t="str">
        <f>IF(B9="","",SUMIF('Linii ofertă'!$B$5:$B$1004,B9,'Linii ofertă'!$J$5:$J$1004))</f>
        <v/>
      </c>
      <c r="Q9" s="25" t="str">
        <f>IF(B9="","",SUMIF('Linii ofertă'!$B$5:$B$1004,B9,'Linii ofertă'!$M$5:$M$1004))</f>
        <v/>
      </c>
      <c r="R9" s="26" t="str">
        <f>IF(OR(B9="",N(P9)=0),"",SUMIF('Linii ofertă'!$B$5:$B$1004,B9,'Linii ofertă'!$P$5:$P$1004)/P9)</f>
        <v/>
      </c>
      <c r="S9" s="27" t="str">
        <f t="shared" ca="1" si="1"/>
        <v/>
      </c>
      <c r="T9" s="28" t="str">
        <f>IF(B9="","",TRIM(IF(COUNTIF($B$5:$B$504,B9)&gt;1,"Număr dublat. ","")&amp;IF(N(P9)=0,"Oferta nu are linii. ","")&amp;IF(M9="","Completează ce NU include oferta. ","")&amp;IF(AND(ISNUMBER(R9),R9&lt;MarjaMin),"Marjă totală sub minim. ","")&amp;IF(COUNTIFS('Linii ofertă'!$B$5:$B$1004,B9,'Linii ofertă'!$R$5:$R$1004,"Marjă*")&gt;0,"Are linii cu marjă sub minim. ","")&amp;IF(AND(S9="Expirată"),"Valabilitatea a expirat: reconfirmă prețurile. ","")))</f>
        <v/>
      </c>
    </row>
    <row r="10" spans="2:20" x14ac:dyDescent="0.2">
      <c r="B10" s="20"/>
      <c r="C10" s="21"/>
      <c r="D10" s="22"/>
      <c r="E10" s="22"/>
      <c r="F10" s="22"/>
      <c r="G10" s="20"/>
      <c r="H10" s="23" t="str">
        <f t="shared" si="0"/>
        <v/>
      </c>
      <c r="I10" s="22"/>
      <c r="J10" s="22"/>
      <c r="K10" s="24"/>
      <c r="L10" s="22"/>
      <c r="M10" s="22"/>
      <c r="N10" s="20"/>
      <c r="O10" s="21"/>
      <c r="P10" s="25" t="str">
        <f>IF(B10="","",SUMIF('Linii ofertă'!$B$5:$B$1004,B10,'Linii ofertă'!$J$5:$J$1004))</f>
        <v/>
      </c>
      <c r="Q10" s="25" t="str">
        <f>IF(B10="","",SUMIF('Linii ofertă'!$B$5:$B$1004,B10,'Linii ofertă'!$M$5:$M$1004))</f>
        <v/>
      </c>
      <c r="R10" s="26" t="str">
        <f>IF(OR(B10="",N(P10)=0),"",SUMIF('Linii ofertă'!$B$5:$B$1004,B10,'Linii ofertă'!$P$5:$P$1004)/P10)</f>
        <v/>
      </c>
      <c r="S10" s="27" t="str">
        <f t="shared" ca="1" si="1"/>
        <v/>
      </c>
      <c r="T10" s="28" t="str">
        <f>IF(B10="","",TRIM(IF(COUNTIF($B$5:$B$504,B10)&gt;1,"Număr dublat. ","")&amp;IF(N(P10)=0,"Oferta nu are linii. ","")&amp;IF(M10="","Completează ce NU include oferta. ","")&amp;IF(AND(ISNUMBER(R10),R10&lt;MarjaMin),"Marjă totală sub minim. ","")&amp;IF(COUNTIFS('Linii ofertă'!$B$5:$B$1004,B10,'Linii ofertă'!$R$5:$R$1004,"Marjă*")&gt;0,"Are linii cu marjă sub minim. ","")&amp;IF(AND(S10="Expirată"),"Valabilitatea a expirat: reconfirmă prețurile. ","")))</f>
        <v/>
      </c>
    </row>
    <row r="11" spans="2:20" x14ac:dyDescent="0.2">
      <c r="B11" s="20"/>
      <c r="C11" s="21"/>
      <c r="D11" s="22"/>
      <c r="E11" s="22"/>
      <c r="F11" s="22"/>
      <c r="G11" s="20"/>
      <c r="H11" s="23" t="str">
        <f t="shared" si="0"/>
        <v/>
      </c>
      <c r="I11" s="22"/>
      <c r="J11" s="22"/>
      <c r="K11" s="24"/>
      <c r="L11" s="22"/>
      <c r="M11" s="22"/>
      <c r="N11" s="20"/>
      <c r="O11" s="21"/>
      <c r="P11" s="25" t="str">
        <f>IF(B11="","",SUMIF('Linii ofertă'!$B$5:$B$1004,B11,'Linii ofertă'!$J$5:$J$1004))</f>
        <v/>
      </c>
      <c r="Q11" s="25" t="str">
        <f>IF(B11="","",SUMIF('Linii ofertă'!$B$5:$B$1004,B11,'Linii ofertă'!$M$5:$M$1004))</f>
        <v/>
      </c>
      <c r="R11" s="26" t="str">
        <f>IF(OR(B11="",N(P11)=0),"",SUMIF('Linii ofertă'!$B$5:$B$1004,B11,'Linii ofertă'!$P$5:$P$1004)/P11)</f>
        <v/>
      </c>
      <c r="S11" s="27" t="str">
        <f t="shared" ca="1" si="1"/>
        <v/>
      </c>
      <c r="T11" s="28" t="str">
        <f>IF(B11="","",TRIM(IF(COUNTIF($B$5:$B$504,B11)&gt;1,"Număr dublat. ","")&amp;IF(N(P11)=0,"Oferta nu are linii. ","")&amp;IF(M11="","Completează ce NU include oferta. ","")&amp;IF(AND(ISNUMBER(R11),R11&lt;MarjaMin),"Marjă totală sub minim. ","")&amp;IF(COUNTIFS('Linii ofertă'!$B$5:$B$1004,B11,'Linii ofertă'!$R$5:$R$1004,"Marjă*")&gt;0,"Are linii cu marjă sub minim. ","")&amp;IF(AND(S11="Expirată"),"Valabilitatea a expirat: reconfirmă prețurile. ","")))</f>
        <v/>
      </c>
    </row>
    <row r="12" spans="2:20" x14ac:dyDescent="0.2">
      <c r="B12" s="20"/>
      <c r="C12" s="21"/>
      <c r="D12" s="22"/>
      <c r="E12" s="22"/>
      <c r="F12" s="22"/>
      <c r="G12" s="20"/>
      <c r="H12" s="23" t="str">
        <f t="shared" si="0"/>
        <v/>
      </c>
      <c r="I12" s="22"/>
      <c r="J12" s="22"/>
      <c r="K12" s="24"/>
      <c r="L12" s="22"/>
      <c r="M12" s="22"/>
      <c r="N12" s="20"/>
      <c r="O12" s="21"/>
      <c r="P12" s="25" t="str">
        <f>IF(B12="","",SUMIF('Linii ofertă'!$B$5:$B$1004,B12,'Linii ofertă'!$J$5:$J$1004))</f>
        <v/>
      </c>
      <c r="Q12" s="25" t="str">
        <f>IF(B12="","",SUMIF('Linii ofertă'!$B$5:$B$1004,B12,'Linii ofertă'!$M$5:$M$1004))</f>
        <v/>
      </c>
      <c r="R12" s="26" t="str">
        <f>IF(OR(B12="",N(P12)=0),"",SUMIF('Linii ofertă'!$B$5:$B$1004,B12,'Linii ofertă'!$P$5:$P$1004)/P12)</f>
        <v/>
      </c>
      <c r="S12" s="27" t="str">
        <f t="shared" ca="1" si="1"/>
        <v/>
      </c>
      <c r="T12" s="28" t="str">
        <f>IF(B12="","",TRIM(IF(COUNTIF($B$5:$B$504,B12)&gt;1,"Număr dublat. ","")&amp;IF(N(P12)=0,"Oferta nu are linii. ","")&amp;IF(M12="","Completează ce NU include oferta. ","")&amp;IF(AND(ISNUMBER(R12),R12&lt;MarjaMin),"Marjă totală sub minim. ","")&amp;IF(COUNTIFS('Linii ofertă'!$B$5:$B$1004,B12,'Linii ofertă'!$R$5:$R$1004,"Marjă*")&gt;0,"Are linii cu marjă sub minim. ","")&amp;IF(AND(S12="Expirată"),"Valabilitatea a expirat: reconfirmă prețurile. ","")))</f>
        <v/>
      </c>
    </row>
    <row r="13" spans="2:20" x14ac:dyDescent="0.2">
      <c r="B13" s="20"/>
      <c r="C13" s="21"/>
      <c r="D13" s="22"/>
      <c r="E13" s="22"/>
      <c r="F13" s="22"/>
      <c r="G13" s="20"/>
      <c r="H13" s="23" t="str">
        <f t="shared" si="0"/>
        <v/>
      </c>
      <c r="I13" s="22"/>
      <c r="J13" s="22"/>
      <c r="K13" s="24"/>
      <c r="L13" s="22"/>
      <c r="M13" s="22"/>
      <c r="N13" s="20"/>
      <c r="O13" s="21"/>
      <c r="P13" s="25" t="str">
        <f>IF(B13="","",SUMIF('Linii ofertă'!$B$5:$B$1004,B13,'Linii ofertă'!$J$5:$J$1004))</f>
        <v/>
      </c>
      <c r="Q13" s="25" t="str">
        <f>IF(B13="","",SUMIF('Linii ofertă'!$B$5:$B$1004,B13,'Linii ofertă'!$M$5:$M$1004))</f>
        <v/>
      </c>
      <c r="R13" s="26" t="str">
        <f>IF(OR(B13="",N(P13)=0),"",SUMIF('Linii ofertă'!$B$5:$B$1004,B13,'Linii ofertă'!$P$5:$P$1004)/P13)</f>
        <v/>
      </c>
      <c r="S13" s="27" t="str">
        <f t="shared" ca="1" si="1"/>
        <v/>
      </c>
      <c r="T13" s="28" t="str">
        <f>IF(B13="","",TRIM(IF(COUNTIF($B$5:$B$504,B13)&gt;1,"Număr dublat. ","")&amp;IF(N(P13)=0,"Oferta nu are linii. ","")&amp;IF(M13="","Completează ce NU include oferta. ","")&amp;IF(AND(ISNUMBER(R13),R13&lt;MarjaMin),"Marjă totală sub minim. ","")&amp;IF(COUNTIFS('Linii ofertă'!$B$5:$B$1004,B13,'Linii ofertă'!$R$5:$R$1004,"Marjă*")&gt;0,"Are linii cu marjă sub minim. ","")&amp;IF(AND(S13="Expirată"),"Valabilitatea a expirat: reconfirmă prețurile. ","")))</f>
        <v/>
      </c>
    </row>
    <row r="14" spans="2:20" x14ac:dyDescent="0.2">
      <c r="B14" s="20"/>
      <c r="C14" s="21"/>
      <c r="D14" s="22"/>
      <c r="E14" s="22"/>
      <c r="F14" s="22"/>
      <c r="G14" s="20"/>
      <c r="H14" s="23" t="str">
        <f t="shared" si="0"/>
        <v/>
      </c>
      <c r="I14" s="22"/>
      <c r="J14" s="22"/>
      <c r="K14" s="24"/>
      <c r="L14" s="22"/>
      <c r="M14" s="22"/>
      <c r="N14" s="20"/>
      <c r="O14" s="21"/>
      <c r="P14" s="25" t="str">
        <f>IF(B14="","",SUMIF('Linii ofertă'!$B$5:$B$1004,B14,'Linii ofertă'!$J$5:$J$1004))</f>
        <v/>
      </c>
      <c r="Q14" s="25" t="str">
        <f>IF(B14="","",SUMIF('Linii ofertă'!$B$5:$B$1004,B14,'Linii ofertă'!$M$5:$M$1004))</f>
        <v/>
      </c>
      <c r="R14" s="26" t="str">
        <f>IF(OR(B14="",N(P14)=0),"",SUMIF('Linii ofertă'!$B$5:$B$1004,B14,'Linii ofertă'!$P$5:$P$1004)/P14)</f>
        <v/>
      </c>
      <c r="S14" s="27" t="str">
        <f t="shared" ca="1" si="1"/>
        <v/>
      </c>
      <c r="T14" s="28" t="str">
        <f>IF(B14="","",TRIM(IF(COUNTIF($B$5:$B$504,B14)&gt;1,"Număr dublat. ","")&amp;IF(N(P14)=0,"Oferta nu are linii. ","")&amp;IF(M14="","Completează ce NU include oferta. ","")&amp;IF(AND(ISNUMBER(R14),R14&lt;MarjaMin),"Marjă totală sub minim. ","")&amp;IF(COUNTIFS('Linii ofertă'!$B$5:$B$1004,B14,'Linii ofertă'!$R$5:$R$1004,"Marjă*")&gt;0,"Are linii cu marjă sub minim. ","")&amp;IF(AND(S14="Expirată"),"Valabilitatea a expirat: reconfirmă prețurile. ","")))</f>
        <v/>
      </c>
    </row>
    <row r="15" spans="2:20" x14ac:dyDescent="0.2">
      <c r="B15" s="20"/>
      <c r="C15" s="21"/>
      <c r="D15" s="22"/>
      <c r="E15" s="22"/>
      <c r="F15" s="22"/>
      <c r="G15" s="20"/>
      <c r="H15" s="23" t="str">
        <f t="shared" si="0"/>
        <v/>
      </c>
      <c r="I15" s="22"/>
      <c r="J15" s="22"/>
      <c r="K15" s="24"/>
      <c r="L15" s="22"/>
      <c r="M15" s="22"/>
      <c r="N15" s="20"/>
      <c r="O15" s="21"/>
      <c r="P15" s="25" t="str">
        <f>IF(B15="","",SUMIF('Linii ofertă'!$B$5:$B$1004,B15,'Linii ofertă'!$J$5:$J$1004))</f>
        <v/>
      </c>
      <c r="Q15" s="25" t="str">
        <f>IF(B15="","",SUMIF('Linii ofertă'!$B$5:$B$1004,B15,'Linii ofertă'!$M$5:$M$1004))</f>
        <v/>
      </c>
      <c r="R15" s="26" t="str">
        <f>IF(OR(B15="",N(P15)=0),"",SUMIF('Linii ofertă'!$B$5:$B$1004,B15,'Linii ofertă'!$P$5:$P$1004)/P15)</f>
        <v/>
      </c>
      <c r="S15" s="27" t="str">
        <f t="shared" ca="1" si="1"/>
        <v/>
      </c>
      <c r="T15" s="28" t="str">
        <f>IF(B15="","",TRIM(IF(COUNTIF($B$5:$B$504,B15)&gt;1,"Număr dublat. ","")&amp;IF(N(P15)=0,"Oferta nu are linii. ","")&amp;IF(M15="","Completează ce NU include oferta. ","")&amp;IF(AND(ISNUMBER(R15),R15&lt;MarjaMin),"Marjă totală sub minim. ","")&amp;IF(COUNTIFS('Linii ofertă'!$B$5:$B$1004,B15,'Linii ofertă'!$R$5:$R$1004,"Marjă*")&gt;0,"Are linii cu marjă sub minim. ","")&amp;IF(AND(S15="Expirată"),"Valabilitatea a expirat: reconfirmă prețurile. ","")))</f>
        <v/>
      </c>
    </row>
    <row r="16" spans="2:20" x14ac:dyDescent="0.2">
      <c r="B16" s="20"/>
      <c r="C16" s="21"/>
      <c r="D16" s="22"/>
      <c r="E16" s="22"/>
      <c r="F16" s="22"/>
      <c r="G16" s="20"/>
      <c r="H16" s="23" t="str">
        <f t="shared" si="0"/>
        <v/>
      </c>
      <c r="I16" s="22"/>
      <c r="J16" s="22"/>
      <c r="K16" s="24"/>
      <c r="L16" s="22"/>
      <c r="M16" s="22"/>
      <c r="N16" s="20"/>
      <c r="O16" s="21"/>
      <c r="P16" s="25" t="str">
        <f>IF(B16="","",SUMIF('Linii ofertă'!$B$5:$B$1004,B16,'Linii ofertă'!$J$5:$J$1004))</f>
        <v/>
      </c>
      <c r="Q16" s="25" t="str">
        <f>IF(B16="","",SUMIF('Linii ofertă'!$B$5:$B$1004,B16,'Linii ofertă'!$M$5:$M$1004))</f>
        <v/>
      </c>
      <c r="R16" s="26" t="str">
        <f>IF(OR(B16="",N(P16)=0),"",SUMIF('Linii ofertă'!$B$5:$B$1004,B16,'Linii ofertă'!$P$5:$P$1004)/P16)</f>
        <v/>
      </c>
      <c r="S16" s="27" t="str">
        <f t="shared" ca="1" si="1"/>
        <v/>
      </c>
      <c r="T16" s="28" t="str">
        <f>IF(B16="","",TRIM(IF(COUNTIF($B$5:$B$504,B16)&gt;1,"Număr dublat. ","")&amp;IF(N(P16)=0,"Oferta nu are linii. ","")&amp;IF(M16="","Completează ce NU include oferta. ","")&amp;IF(AND(ISNUMBER(R16),R16&lt;MarjaMin),"Marjă totală sub minim. ","")&amp;IF(COUNTIFS('Linii ofertă'!$B$5:$B$1004,B16,'Linii ofertă'!$R$5:$R$1004,"Marjă*")&gt;0,"Are linii cu marjă sub minim. ","")&amp;IF(AND(S16="Expirată"),"Valabilitatea a expirat: reconfirmă prețurile. ","")))</f>
        <v/>
      </c>
    </row>
    <row r="17" spans="2:20" x14ac:dyDescent="0.2">
      <c r="B17" s="20"/>
      <c r="C17" s="21"/>
      <c r="D17" s="22"/>
      <c r="E17" s="22"/>
      <c r="F17" s="22"/>
      <c r="G17" s="20"/>
      <c r="H17" s="23" t="str">
        <f t="shared" si="0"/>
        <v/>
      </c>
      <c r="I17" s="22"/>
      <c r="J17" s="22"/>
      <c r="K17" s="24"/>
      <c r="L17" s="22"/>
      <c r="M17" s="22"/>
      <c r="N17" s="20"/>
      <c r="O17" s="21"/>
      <c r="P17" s="25" t="str">
        <f>IF(B17="","",SUMIF('Linii ofertă'!$B$5:$B$1004,B17,'Linii ofertă'!$J$5:$J$1004))</f>
        <v/>
      </c>
      <c r="Q17" s="25" t="str">
        <f>IF(B17="","",SUMIF('Linii ofertă'!$B$5:$B$1004,B17,'Linii ofertă'!$M$5:$M$1004))</f>
        <v/>
      </c>
      <c r="R17" s="26" t="str">
        <f>IF(OR(B17="",N(P17)=0),"",SUMIF('Linii ofertă'!$B$5:$B$1004,B17,'Linii ofertă'!$P$5:$P$1004)/P17)</f>
        <v/>
      </c>
      <c r="S17" s="27" t="str">
        <f t="shared" ca="1" si="1"/>
        <v/>
      </c>
      <c r="T17" s="28" t="str">
        <f>IF(B17="","",TRIM(IF(COUNTIF($B$5:$B$504,B17)&gt;1,"Număr dublat. ","")&amp;IF(N(P17)=0,"Oferta nu are linii. ","")&amp;IF(M17="","Completează ce NU include oferta. ","")&amp;IF(AND(ISNUMBER(R17),R17&lt;MarjaMin),"Marjă totală sub minim. ","")&amp;IF(COUNTIFS('Linii ofertă'!$B$5:$B$1004,B17,'Linii ofertă'!$R$5:$R$1004,"Marjă*")&gt;0,"Are linii cu marjă sub minim. ","")&amp;IF(AND(S17="Expirată"),"Valabilitatea a expirat: reconfirmă prețurile. ","")))</f>
        <v/>
      </c>
    </row>
    <row r="18" spans="2:20" x14ac:dyDescent="0.2">
      <c r="B18" s="20"/>
      <c r="C18" s="21"/>
      <c r="D18" s="22"/>
      <c r="E18" s="22"/>
      <c r="F18" s="22"/>
      <c r="G18" s="20"/>
      <c r="H18" s="23" t="str">
        <f t="shared" si="0"/>
        <v/>
      </c>
      <c r="I18" s="22"/>
      <c r="J18" s="22"/>
      <c r="K18" s="24"/>
      <c r="L18" s="22"/>
      <c r="M18" s="22"/>
      <c r="N18" s="20"/>
      <c r="O18" s="21"/>
      <c r="P18" s="25" t="str">
        <f>IF(B18="","",SUMIF('Linii ofertă'!$B$5:$B$1004,B18,'Linii ofertă'!$J$5:$J$1004))</f>
        <v/>
      </c>
      <c r="Q18" s="25" t="str">
        <f>IF(B18="","",SUMIF('Linii ofertă'!$B$5:$B$1004,B18,'Linii ofertă'!$M$5:$M$1004))</f>
        <v/>
      </c>
      <c r="R18" s="26" t="str">
        <f>IF(OR(B18="",N(P18)=0),"",SUMIF('Linii ofertă'!$B$5:$B$1004,B18,'Linii ofertă'!$P$5:$P$1004)/P18)</f>
        <v/>
      </c>
      <c r="S18" s="27" t="str">
        <f t="shared" ca="1" si="1"/>
        <v/>
      </c>
      <c r="T18" s="28" t="str">
        <f>IF(B18="","",TRIM(IF(COUNTIF($B$5:$B$504,B18)&gt;1,"Număr dublat. ","")&amp;IF(N(P18)=0,"Oferta nu are linii. ","")&amp;IF(M18="","Completează ce NU include oferta. ","")&amp;IF(AND(ISNUMBER(R18),R18&lt;MarjaMin),"Marjă totală sub minim. ","")&amp;IF(COUNTIFS('Linii ofertă'!$B$5:$B$1004,B18,'Linii ofertă'!$R$5:$R$1004,"Marjă*")&gt;0,"Are linii cu marjă sub minim. ","")&amp;IF(AND(S18="Expirată"),"Valabilitatea a expirat: reconfirmă prețurile. ","")))</f>
        <v/>
      </c>
    </row>
    <row r="19" spans="2:20" x14ac:dyDescent="0.2">
      <c r="B19" s="20"/>
      <c r="C19" s="21"/>
      <c r="D19" s="22"/>
      <c r="E19" s="22"/>
      <c r="F19" s="22"/>
      <c r="G19" s="20"/>
      <c r="H19" s="23" t="str">
        <f t="shared" si="0"/>
        <v/>
      </c>
      <c r="I19" s="22"/>
      <c r="J19" s="22"/>
      <c r="K19" s="24"/>
      <c r="L19" s="22"/>
      <c r="M19" s="22"/>
      <c r="N19" s="20"/>
      <c r="O19" s="21"/>
      <c r="P19" s="25" t="str">
        <f>IF(B19="","",SUMIF('Linii ofertă'!$B$5:$B$1004,B19,'Linii ofertă'!$J$5:$J$1004))</f>
        <v/>
      </c>
      <c r="Q19" s="25" t="str">
        <f>IF(B19="","",SUMIF('Linii ofertă'!$B$5:$B$1004,B19,'Linii ofertă'!$M$5:$M$1004))</f>
        <v/>
      </c>
      <c r="R19" s="26" t="str">
        <f>IF(OR(B19="",N(P19)=0),"",SUMIF('Linii ofertă'!$B$5:$B$1004,B19,'Linii ofertă'!$P$5:$P$1004)/P19)</f>
        <v/>
      </c>
      <c r="S19" s="27" t="str">
        <f t="shared" ca="1" si="1"/>
        <v/>
      </c>
      <c r="T19" s="28" t="str">
        <f>IF(B19="","",TRIM(IF(COUNTIF($B$5:$B$504,B19)&gt;1,"Număr dublat. ","")&amp;IF(N(P19)=0,"Oferta nu are linii. ","")&amp;IF(M19="","Completează ce NU include oferta. ","")&amp;IF(AND(ISNUMBER(R19),R19&lt;MarjaMin),"Marjă totală sub minim. ","")&amp;IF(COUNTIFS('Linii ofertă'!$B$5:$B$1004,B19,'Linii ofertă'!$R$5:$R$1004,"Marjă*")&gt;0,"Are linii cu marjă sub minim. ","")&amp;IF(AND(S19="Expirată"),"Valabilitatea a expirat: reconfirmă prețurile. ","")))</f>
        <v/>
      </c>
    </row>
    <row r="20" spans="2:20" x14ac:dyDescent="0.2">
      <c r="B20" s="20"/>
      <c r="C20" s="21"/>
      <c r="D20" s="22"/>
      <c r="E20" s="22"/>
      <c r="F20" s="22"/>
      <c r="G20" s="20"/>
      <c r="H20" s="23" t="str">
        <f t="shared" si="0"/>
        <v/>
      </c>
      <c r="I20" s="22"/>
      <c r="J20" s="22"/>
      <c r="K20" s="24"/>
      <c r="L20" s="22"/>
      <c r="M20" s="22"/>
      <c r="N20" s="20"/>
      <c r="O20" s="21"/>
      <c r="P20" s="25" t="str">
        <f>IF(B20="","",SUMIF('Linii ofertă'!$B$5:$B$1004,B20,'Linii ofertă'!$J$5:$J$1004))</f>
        <v/>
      </c>
      <c r="Q20" s="25" t="str">
        <f>IF(B20="","",SUMIF('Linii ofertă'!$B$5:$B$1004,B20,'Linii ofertă'!$M$5:$M$1004))</f>
        <v/>
      </c>
      <c r="R20" s="26" t="str">
        <f>IF(OR(B20="",N(P20)=0),"",SUMIF('Linii ofertă'!$B$5:$B$1004,B20,'Linii ofertă'!$P$5:$P$1004)/P20)</f>
        <v/>
      </c>
      <c r="S20" s="27" t="str">
        <f t="shared" ca="1" si="1"/>
        <v/>
      </c>
      <c r="T20" s="28" t="str">
        <f>IF(B20="","",TRIM(IF(COUNTIF($B$5:$B$504,B20)&gt;1,"Număr dublat. ","")&amp;IF(N(P20)=0,"Oferta nu are linii. ","")&amp;IF(M20="","Completează ce NU include oferta. ","")&amp;IF(AND(ISNUMBER(R20),R20&lt;MarjaMin),"Marjă totală sub minim. ","")&amp;IF(COUNTIFS('Linii ofertă'!$B$5:$B$1004,B20,'Linii ofertă'!$R$5:$R$1004,"Marjă*")&gt;0,"Are linii cu marjă sub minim. ","")&amp;IF(AND(S20="Expirată"),"Valabilitatea a expirat: reconfirmă prețurile. ","")))</f>
        <v/>
      </c>
    </row>
    <row r="21" spans="2:20" x14ac:dyDescent="0.2">
      <c r="B21" s="20"/>
      <c r="C21" s="21"/>
      <c r="D21" s="22"/>
      <c r="E21" s="22"/>
      <c r="F21" s="22"/>
      <c r="G21" s="20"/>
      <c r="H21" s="23" t="str">
        <f t="shared" si="0"/>
        <v/>
      </c>
      <c r="I21" s="22"/>
      <c r="J21" s="22"/>
      <c r="K21" s="24"/>
      <c r="L21" s="22"/>
      <c r="M21" s="22"/>
      <c r="N21" s="20"/>
      <c r="O21" s="21"/>
      <c r="P21" s="25" t="str">
        <f>IF(B21="","",SUMIF('Linii ofertă'!$B$5:$B$1004,B21,'Linii ofertă'!$J$5:$J$1004))</f>
        <v/>
      </c>
      <c r="Q21" s="25" t="str">
        <f>IF(B21="","",SUMIF('Linii ofertă'!$B$5:$B$1004,B21,'Linii ofertă'!$M$5:$M$1004))</f>
        <v/>
      </c>
      <c r="R21" s="26" t="str">
        <f>IF(OR(B21="",N(P21)=0),"",SUMIF('Linii ofertă'!$B$5:$B$1004,B21,'Linii ofertă'!$P$5:$P$1004)/P21)</f>
        <v/>
      </c>
      <c r="S21" s="27" t="str">
        <f t="shared" ca="1" si="1"/>
        <v/>
      </c>
      <c r="T21" s="28" t="str">
        <f>IF(B21="","",TRIM(IF(COUNTIF($B$5:$B$504,B21)&gt;1,"Număr dublat. ","")&amp;IF(N(P21)=0,"Oferta nu are linii. ","")&amp;IF(M21="","Completează ce NU include oferta. ","")&amp;IF(AND(ISNUMBER(R21),R21&lt;MarjaMin),"Marjă totală sub minim. ","")&amp;IF(COUNTIFS('Linii ofertă'!$B$5:$B$1004,B21,'Linii ofertă'!$R$5:$R$1004,"Marjă*")&gt;0,"Are linii cu marjă sub minim. ","")&amp;IF(AND(S21="Expirată"),"Valabilitatea a expirat: reconfirmă prețurile. ","")))</f>
        <v/>
      </c>
    </row>
    <row r="22" spans="2:20" x14ac:dyDescent="0.2">
      <c r="B22" s="20"/>
      <c r="C22" s="21"/>
      <c r="D22" s="22"/>
      <c r="E22" s="22"/>
      <c r="F22" s="22"/>
      <c r="G22" s="20"/>
      <c r="H22" s="23" t="str">
        <f t="shared" si="0"/>
        <v/>
      </c>
      <c r="I22" s="22"/>
      <c r="J22" s="22"/>
      <c r="K22" s="24"/>
      <c r="L22" s="22"/>
      <c r="M22" s="22"/>
      <c r="N22" s="20"/>
      <c r="O22" s="21"/>
      <c r="P22" s="25" t="str">
        <f>IF(B22="","",SUMIF('Linii ofertă'!$B$5:$B$1004,B22,'Linii ofertă'!$J$5:$J$1004))</f>
        <v/>
      </c>
      <c r="Q22" s="25" t="str">
        <f>IF(B22="","",SUMIF('Linii ofertă'!$B$5:$B$1004,B22,'Linii ofertă'!$M$5:$M$1004))</f>
        <v/>
      </c>
      <c r="R22" s="26" t="str">
        <f>IF(OR(B22="",N(P22)=0),"",SUMIF('Linii ofertă'!$B$5:$B$1004,B22,'Linii ofertă'!$P$5:$P$1004)/P22)</f>
        <v/>
      </c>
      <c r="S22" s="27" t="str">
        <f t="shared" ca="1" si="1"/>
        <v/>
      </c>
      <c r="T22" s="28" t="str">
        <f>IF(B22="","",TRIM(IF(COUNTIF($B$5:$B$504,B22)&gt;1,"Număr dublat. ","")&amp;IF(N(P22)=0,"Oferta nu are linii. ","")&amp;IF(M22="","Completează ce NU include oferta. ","")&amp;IF(AND(ISNUMBER(R22),R22&lt;MarjaMin),"Marjă totală sub minim. ","")&amp;IF(COUNTIFS('Linii ofertă'!$B$5:$B$1004,B22,'Linii ofertă'!$R$5:$R$1004,"Marjă*")&gt;0,"Are linii cu marjă sub minim. ","")&amp;IF(AND(S22="Expirată"),"Valabilitatea a expirat: reconfirmă prețurile. ","")))</f>
        <v/>
      </c>
    </row>
    <row r="23" spans="2:20" x14ac:dyDescent="0.2">
      <c r="B23" s="20"/>
      <c r="C23" s="21"/>
      <c r="D23" s="22"/>
      <c r="E23" s="22"/>
      <c r="F23" s="22"/>
      <c r="G23" s="20"/>
      <c r="H23" s="23" t="str">
        <f t="shared" si="0"/>
        <v/>
      </c>
      <c r="I23" s="22"/>
      <c r="J23" s="22"/>
      <c r="K23" s="24"/>
      <c r="L23" s="22"/>
      <c r="M23" s="22"/>
      <c r="N23" s="20"/>
      <c r="O23" s="21"/>
      <c r="P23" s="25" t="str">
        <f>IF(B23="","",SUMIF('Linii ofertă'!$B$5:$B$1004,B23,'Linii ofertă'!$J$5:$J$1004))</f>
        <v/>
      </c>
      <c r="Q23" s="25" t="str">
        <f>IF(B23="","",SUMIF('Linii ofertă'!$B$5:$B$1004,B23,'Linii ofertă'!$M$5:$M$1004))</f>
        <v/>
      </c>
      <c r="R23" s="26" t="str">
        <f>IF(OR(B23="",N(P23)=0),"",SUMIF('Linii ofertă'!$B$5:$B$1004,B23,'Linii ofertă'!$P$5:$P$1004)/P23)</f>
        <v/>
      </c>
      <c r="S23" s="27" t="str">
        <f t="shared" ca="1" si="1"/>
        <v/>
      </c>
      <c r="T23" s="28" t="str">
        <f>IF(B23="","",TRIM(IF(COUNTIF($B$5:$B$504,B23)&gt;1,"Număr dublat. ","")&amp;IF(N(P23)=0,"Oferta nu are linii. ","")&amp;IF(M23="","Completează ce NU include oferta. ","")&amp;IF(AND(ISNUMBER(R23),R23&lt;MarjaMin),"Marjă totală sub minim. ","")&amp;IF(COUNTIFS('Linii ofertă'!$B$5:$B$1004,B23,'Linii ofertă'!$R$5:$R$1004,"Marjă*")&gt;0,"Are linii cu marjă sub minim. ","")&amp;IF(AND(S23="Expirată"),"Valabilitatea a expirat: reconfirmă prețurile. ","")))</f>
        <v/>
      </c>
    </row>
    <row r="24" spans="2:20" x14ac:dyDescent="0.2">
      <c r="B24" s="20"/>
      <c r="C24" s="21"/>
      <c r="D24" s="22"/>
      <c r="E24" s="22"/>
      <c r="F24" s="22"/>
      <c r="G24" s="20"/>
      <c r="H24" s="23" t="str">
        <f t="shared" si="0"/>
        <v/>
      </c>
      <c r="I24" s="22"/>
      <c r="J24" s="22"/>
      <c r="K24" s="24"/>
      <c r="L24" s="22"/>
      <c r="M24" s="22"/>
      <c r="N24" s="20"/>
      <c r="O24" s="21"/>
      <c r="P24" s="25" t="str">
        <f>IF(B24="","",SUMIF('Linii ofertă'!$B$5:$B$1004,B24,'Linii ofertă'!$J$5:$J$1004))</f>
        <v/>
      </c>
      <c r="Q24" s="25" t="str">
        <f>IF(B24="","",SUMIF('Linii ofertă'!$B$5:$B$1004,B24,'Linii ofertă'!$M$5:$M$1004))</f>
        <v/>
      </c>
      <c r="R24" s="26" t="str">
        <f>IF(OR(B24="",N(P24)=0),"",SUMIF('Linii ofertă'!$B$5:$B$1004,B24,'Linii ofertă'!$P$5:$P$1004)/P24)</f>
        <v/>
      </c>
      <c r="S24" s="27" t="str">
        <f t="shared" ca="1" si="1"/>
        <v/>
      </c>
      <c r="T24" s="28" t="str">
        <f>IF(B24="","",TRIM(IF(COUNTIF($B$5:$B$504,B24)&gt;1,"Număr dublat. ","")&amp;IF(N(P24)=0,"Oferta nu are linii. ","")&amp;IF(M24="","Completează ce NU include oferta. ","")&amp;IF(AND(ISNUMBER(R24),R24&lt;MarjaMin),"Marjă totală sub minim. ","")&amp;IF(COUNTIFS('Linii ofertă'!$B$5:$B$1004,B24,'Linii ofertă'!$R$5:$R$1004,"Marjă*")&gt;0,"Are linii cu marjă sub minim. ","")&amp;IF(AND(S24="Expirată"),"Valabilitatea a expirat: reconfirmă prețurile. ","")))</f>
        <v/>
      </c>
    </row>
    <row r="25" spans="2:20" x14ac:dyDescent="0.2">
      <c r="B25" s="20"/>
      <c r="C25" s="21"/>
      <c r="D25" s="22"/>
      <c r="E25" s="22"/>
      <c r="F25" s="22"/>
      <c r="G25" s="20"/>
      <c r="H25" s="23" t="str">
        <f t="shared" si="0"/>
        <v/>
      </c>
      <c r="I25" s="22"/>
      <c r="J25" s="22"/>
      <c r="K25" s="24"/>
      <c r="L25" s="22"/>
      <c r="M25" s="22"/>
      <c r="N25" s="20"/>
      <c r="O25" s="21"/>
      <c r="P25" s="25" t="str">
        <f>IF(B25="","",SUMIF('Linii ofertă'!$B$5:$B$1004,B25,'Linii ofertă'!$J$5:$J$1004))</f>
        <v/>
      </c>
      <c r="Q25" s="25" t="str">
        <f>IF(B25="","",SUMIF('Linii ofertă'!$B$5:$B$1004,B25,'Linii ofertă'!$M$5:$M$1004))</f>
        <v/>
      </c>
      <c r="R25" s="26" t="str">
        <f>IF(OR(B25="",N(P25)=0),"",SUMIF('Linii ofertă'!$B$5:$B$1004,B25,'Linii ofertă'!$P$5:$P$1004)/P25)</f>
        <v/>
      </c>
      <c r="S25" s="27" t="str">
        <f t="shared" ca="1" si="1"/>
        <v/>
      </c>
      <c r="T25" s="28" t="str">
        <f>IF(B25="","",TRIM(IF(COUNTIF($B$5:$B$504,B25)&gt;1,"Număr dublat. ","")&amp;IF(N(P25)=0,"Oferta nu are linii. ","")&amp;IF(M25="","Completează ce NU include oferta. ","")&amp;IF(AND(ISNUMBER(R25),R25&lt;MarjaMin),"Marjă totală sub minim. ","")&amp;IF(COUNTIFS('Linii ofertă'!$B$5:$B$1004,B25,'Linii ofertă'!$R$5:$R$1004,"Marjă*")&gt;0,"Are linii cu marjă sub minim. ","")&amp;IF(AND(S25="Expirată"),"Valabilitatea a expirat: reconfirmă prețurile. ","")))</f>
        <v/>
      </c>
    </row>
    <row r="26" spans="2:20" x14ac:dyDescent="0.2">
      <c r="B26" s="20"/>
      <c r="C26" s="21"/>
      <c r="D26" s="22"/>
      <c r="E26" s="22"/>
      <c r="F26" s="22"/>
      <c r="G26" s="20"/>
      <c r="H26" s="23" t="str">
        <f t="shared" si="0"/>
        <v/>
      </c>
      <c r="I26" s="22"/>
      <c r="J26" s="22"/>
      <c r="K26" s="24"/>
      <c r="L26" s="22"/>
      <c r="M26" s="22"/>
      <c r="N26" s="20"/>
      <c r="O26" s="21"/>
      <c r="P26" s="25" t="str">
        <f>IF(B26="","",SUMIF('Linii ofertă'!$B$5:$B$1004,B26,'Linii ofertă'!$J$5:$J$1004))</f>
        <v/>
      </c>
      <c r="Q26" s="25" t="str">
        <f>IF(B26="","",SUMIF('Linii ofertă'!$B$5:$B$1004,B26,'Linii ofertă'!$M$5:$M$1004))</f>
        <v/>
      </c>
      <c r="R26" s="26" t="str">
        <f>IF(OR(B26="",N(P26)=0),"",SUMIF('Linii ofertă'!$B$5:$B$1004,B26,'Linii ofertă'!$P$5:$P$1004)/P26)</f>
        <v/>
      </c>
      <c r="S26" s="27" t="str">
        <f t="shared" ca="1" si="1"/>
        <v/>
      </c>
      <c r="T26" s="28" t="str">
        <f>IF(B26="","",TRIM(IF(COUNTIF($B$5:$B$504,B26)&gt;1,"Număr dublat. ","")&amp;IF(N(P26)=0,"Oferta nu are linii. ","")&amp;IF(M26="","Completează ce NU include oferta. ","")&amp;IF(AND(ISNUMBER(R26),R26&lt;MarjaMin),"Marjă totală sub minim. ","")&amp;IF(COUNTIFS('Linii ofertă'!$B$5:$B$1004,B26,'Linii ofertă'!$R$5:$R$1004,"Marjă*")&gt;0,"Are linii cu marjă sub minim. ","")&amp;IF(AND(S26="Expirată"),"Valabilitatea a expirat: reconfirmă prețurile. ","")))</f>
        <v/>
      </c>
    </row>
    <row r="27" spans="2:20" x14ac:dyDescent="0.2">
      <c r="B27" s="20"/>
      <c r="C27" s="21"/>
      <c r="D27" s="22"/>
      <c r="E27" s="22"/>
      <c r="F27" s="22"/>
      <c r="G27" s="20"/>
      <c r="H27" s="23" t="str">
        <f t="shared" si="0"/>
        <v/>
      </c>
      <c r="I27" s="22"/>
      <c r="J27" s="22"/>
      <c r="K27" s="24"/>
      <c r="L27" s="22"/>
      <c r="M27" s="22"/>
      <c r="N27" s="20"/>
      <c r="O27" s="21"/>
      <c r="P27" s="25" t="str">
        <f>IF(B27="","",SUMIF('Linii ofertă'!$B$5:$B$1004,B27,'Linii ofertă'!$J$5:$J$1004))</f>
        <v/>
      </c>
      <c r="Q27" s="25" t="str">
        <f>IF(B27="","",SUMIF('Linii ofertă'!$B$5:$B$1004,B27,'Linii ofertă'!$M$5:$M$1004))</f>
        <v/>
      </c>
      <c r="R27" s="26" t="str">
        <f>IF(OR(B27="",N(P27)=0),"",SUMIF('Linii ofertă'!$B$5:$B$1004,B27,'Linii ofertă'!$P$5:$P$1004)/P27)</f>
        <v/>
      </c>
      <c r="S27" s="27" t="str">
        <f t="shared" ca="1" si="1"/>
        <v/>
      </c>
      <c r="T27" s="28" t="str">
        <f>IF(B27="","",TRIM(IF(COUNTIF($B$5:$B$504,B27)&gt;1,"Număr dublat. ","")&amp;IF(N(P27)=0,"Oferta nu are linii. ","")&amp;IF(M27="","Completează ce NU include oferta. ","")&amp;IF(AND(ISNUMBER(R27),R27&lt;MarjaMin),"Marjă totală sub minim. ","")&amp;IF(COUNTIFS('Linii ofertă'!$B$5:$B$1004,B27,'Linii ofertă'!$R$5:$R$1004,"Marjă*")&gt;0,"Are linii cu marjă sub minim. ","")&amp;IF(AND(S27="Expirată"),"Valabilitatea a expirat: reconfirmă prețurile. ","")))</f>
        <v/>
      </c>
    </row>
    <row r="28" spans="2:20" x14ac:dyDescent="0.2">
      <c r="B28" s="20"/>
      <c r="C28" s="21"/>
      <c r="D28" s="22"/>
      <c r="E28" s="22"/>
      <c r="F28" s="22"/>
      <c r="G28" s="20"/>
      <c r="H28" s="23" t="str">
        <f t="shared" si="0"/>
        <v/>
      </c>
      <c r="I28" s="22"/>
      <c r="J28" s="22"/>
      <c r="K28" s="24"/>
      <c r="L28" s="22"/>
      <c r="M28" s="22"/>
      <c r="N28" s="20"/>
      <c r="O28" s="21"/>
      <c r="P28" s="25" t="str">
        <f>IF(B28="","",SUMIF('Linii ofertă'!$B$5:$B$1004,B28,'Linii ofertă'!$J$5:$J$1004))</f>
        <v/>
      </c>
      <c r="Q28" s="25" t="str">
        <f>IF(B28="","",SUMIF('Linii ofertă'!$B$5:$B$1004,B28,'Linii ofertă'!$M$5:$M$1004))</f>
        <v/>
      </c>
      <c r="R28" s="26" t="str">
        <f>IF(OR(B28="",N(P28)=0),"",SUMIF('Linii ofertă'!$B$5:$B$1004,B28,'Linii ofertă'!$P$5:$P$1004)/P28)</f>
        <v/>
      </c>
      <c r="S28" s="27" t="str">
        <f t="shared" ca="1" si="1"/>
        <v/>
      </c>
      <c r="T28" s="28" t="str">
        <f>IF(B28="","",TRIM(IF(COUNTIF($B$5:$B$504,B28)&gt;1,"Număr dublat. ","")&amp;IF(N(P28)=0,"Oferta nu are linii. ","")&amp;IF(M28="","Completează ce NU include oferta. ","")&amp;IF(AND(ISNUMBER(R28),R28&lt;MarjaMin),"Marjă totală sub minim. ","")&amp;IF(COUNTIFS('Linii ofertă'!$B$5:$B$1004,B28,'Linii ofertă'!$R$5:$R$1004,"Marjă*")&gt;0,"Are linii cu marjă sub minim. ","")&amp;IF(AND(S28="Expirată"),"Valabilitatea a expirat: reconfirmă prețurile. ","")))</f>
        <v/>
      </c>
    </row>
    <row r="29" spans="2:20" x14ac:dyDescent="0.2">
      <c r="B29" s="20"/>
      <c r="C29" s="21"/>
      <c r="D29" s="22"/>
      <c r="E29" s="22"/>
      <c r="F29" s="22"/>
      <c r="G29" s="20"/>
      <c r="H29" s="23" t="str">
        <f t="shared" si="0"/>
        <v/>
      </c>
      <c r="I29" s="22"/>
      <c r="J29" s="22"/>
      <c r="K29" s="24"/>
      <c r="L29" s="22"/>
      <c r="M29" s="22"/>
      <c r="N29" s="20"/>
      <c r="O29" s="21"/>
      <c r="P29" s="25" t="str">
        <f>IF(B29="","",SUMIF('Linii ofertă'!$B$5:$B$1004,B29,'Linii ofertă'!$J$5:$J$1004))</f>
        <v/>
      </c>
      <c r="Q29" s="25" t="str">
        <f>IF(B29="","",SUMIF('Linii ofertă'!$B$5:$B$1004,B29,'Linii ofertă'!$M$5:$M$1004))</f>
        <v/>
      </c>
      <c r="R29" s="26" t="str">
        <f>IF(OR(B29="",N(P29)=0),"",SUMIF('Linii ofertă'!$B$5:$B$1004,B29,'Linii ofertă'!$P$5:$P$1004)/P29)</f>
        <v/>
      </c>
      <c r="S29" s="27" t="str">
        <f t="shared" ca="1" si="1"/>
        <v/>
      </c>
      <c r="T29" s="28" t="str">
        <f>IF(B29="","",TRIM(IF(COUNTIF($B$5:$B$504,B29)&gt;1,"Număr dublat. ","")&amp;IF(N(P29)=0,"Oferta nu are linii. ","")&amp;IF(M29="","Completează ce NU include oferta. ","")&amp;IF(AND(ISNUMBER(R29),R29&lt;MarjaMin),"Marjă totală sub minim. ","")&amp;IF(COUNTIFS('Linii ofertă'!$B$5:$B$1004,B29,'Linii ofertă'!$R$5:$R$1004,"Marjă*")&gt;0,"Are linii cu marjă sub minim. ","")&amp;IF(AND(S29="Expirată"),"Valabilitatea a expirat: reconfirmă prețurile. ","")))</f>
        <v/>
      </c>
    </row>
    <row r="30" spans="2:20" x14ac:dyDescent="0.2">
      <c r="B30" s="20"/>
      <c r="C30" s="21"/>
      <c r="D30" s="22"/>
      <c r="E30" s="22"/>
      <c r="F30" s="22"/>
      <c r="G30" s="20"/>
      <c r="H30" s="23" t="str">
        <f t="shared" si="0"/>
        <v/>
      </c>
      <c r="I30" s="22"/>
      <c r="J30" s="22"/>
      <c r="K30" s="24"/>
      <c r="L30" s="22"/>
      <c r="M30" s="22"/>
      <c r="N30" s="20"/>
      <c r="O30" s="21"/>
      <c r="P30" s="25" t="str">
        <f>IF(B30="","",SUMIF('Linii ofertă'!$B$5:$B$1004,B30,'Linii ofertă'!$J$5:$J$1004))</f>
        <v/>
      </c>
      <c r="Q30" s="25" t="str">
        <f>IF(B30="","",SUMIF('Linii ofertă'!$B$5:$B$1004,B30,'Linii ofertă'!$M$5:$M$1004))</f>
        <v/>
      </c>
      <c r="R30" s="26" t="str">
        <f>IF(OR(B30="",N(P30)=0),"",SUMIF('Linii ofertă'!$B$5:$B$1004,B30,'Linii ofertă'!$P$5:$P$1004)/P30)</f>
        <v/>
      </c>
      <c r="S30" s="27" t="str">
        <f t="shared" ca="1" si="1"/>
        <v/>
      </c>
      <c r="T30" s="28" t="str">
        <f>IF(B30="","",TRIM(IF(COUNTIF($B$5:$B$504,B30)&gt;1,"Număr dublat. ","")&amp;IF(N(P30)=0,"Oferta nu are linii. ","")&amp;IF(M30="","Completează ce NU include oferta. ","")&amp;IF(AND(ISNUMBER(R30),R30&lt;MarjaMin),"Marjă totală sub minim. ","")&amp;IF(COUNTIFS('Linii ofertă'!$B$5:$B$1004,B30,'Linii ofertă'!$R$5:$R$1004,"Marjă*")&gt;0,"Are linii cu marjă sub minim. ","")&amp;IF(AND(S30="Expirată"),"Valabilitatea a expirat: reconfirmă prețurile. ","")))</f>
        <v/>
      </c>
    </row>
    <row r="31" spans="2:20" x14ac:dyDescent="0.2">
      <c r="B31" s="20"/>
      <c r="C31" s="21"/>
      <c r="D31" s="22"/>
      <c r="E31" s="22"/>
      <c r="F31" s="22"/>
      <c r="G31" s="20"/>
      <c r="H31" s="23" t="str">
        <f t="shared" si="0"/>
        <v/>
      </c>
      <c r="I31" s="22"/>
      <c r="J31" s="22"/>
      <c r="K31" s="24"/>
      <c r="L31" s="22"/>
      <c r="M31" s="22"/>
      <c r="N31" s="20"/>
      <c r="O31" s="21"/>
      <c r="P31" s="25" t="str">
        <f>IF(B31="","",SUMIF('Linii ofertă'!$B$5:$B$1004,B31,'Linii ofertă'!$J$5:$J$1004))</f>
        <v/>
      </c>
      <c r="Q31" s="25" t="str">
        <f>IF(B31="","",SUMIF('Linii ofertă'!$B$5:$B$1004,B31,'Linii ofertă'!$M$5:$M$1004))</f>
        <v/>
      </c>
      <c r="R31" s="26" t="str">
        <f>IF(OR(B31="",N(P31)=0),"",SUMIF('Linii ofertă'!$B$5:$B$1004,B31,'Linii ofertă'!$P$5:$P$1004)/P31)</f>
        <v/>
      </c>
      <c r="S31" s="27" t="str">
        <f t="shared" ca="1" si="1"/>
        <v/>
      </c>
      <c r="T31" s="28" t="str">
        <f>IF(B31="","",TRIM(IF(COUNTIF($B$5:$B$504,B31)&gt;1,"Număr dublat. ","")&amp;IF(N(P31)=0,"Oferta nu are linii. ","")&amp;IF(M31="","Completează ce NU include oferta. ","")&amp;IF(AND(ISNUMBER(R31),R31&lt;MarjaMin),"Marjă totală sub minim. ","")&amp;IF(COUNTIFS('Linii ofertă'!$B$5:$B$1004,B31,'Linii ofertă'!$R$5:$R$1004,"Marjă*")&gt;0,"Are linii cu marjă sub minim. ","")&amp;IF(AND(S31="Expirată"),"Valabilitatea a expirat: reconfirmă prețurile. ","")))</f>
        <v/>
      </c>
    </row>
    <row r="32" spans="2:20" x14ac:dyDescent="0.2">
      <c r="B32" s="20"/>
      <c r="C32" s="21"/>
      <c r="D32" s="22"/>
      <c r="E32" s="22"/>
      <c r="F32" s="22"/>
      <c r="G32" s="20"/>
      <c r="H32" s="23" t="str">
        <f t="shared" si="0"/>
        <v/>
      </c>
      <c r="I32" s="22"/>
      <c r="J32" s="22"/>
      <c r="K32" s="24"/>
      <c r="L32" s="22"/>
      <c r="M32" s="22"/>
      <c r="N32" s="20"/>
      <c r="O32" s="21"/>
      <c r="P32" s="25" t="str">
        <f>IF(B32="","",SUMIF('Linii ofertă'!$B$5:$B$1004,B32,'Linii ofertă'!$J$5:$J$1004))</f>
        <v/>
      </c>
      <c r="Q32" s="25" t="str">
        <f>IF(B32="","",SUMIF('Linii ofertă'!$B$5:$B$1004,B32,'Linii ofertă'!$M$5:$M$1004))</f>
        <v/>
      </c>
      <c r="R32" s="26" t="str">
        <f>IF(OR(B32="",N(P32)=0),"",SUMIF('Linii ofertă'!$B$5:$B$1004,B32,'Linii ofertă'!$P$5:$P$1004)/P32)</f>
        <v/>
      </c>
      <c r="S32" s="27" t="str">
        <f t="shared" ca="1" si="1"/>
        <v/>
      </c>
      <c r="T32" s="28" t="str">
        <f>IF(B32="","",TRIM(IF(COUNTIF($B$5:$B$504,B32)&gt;1,"Număr dublat. ","")&amp;IF(N(P32)=0,"Oferta nu are linii. ","")&amp;IF(M32="","Completează ce NU include oferta. ","")&amp;IF(AND(ISNUMBER(R32),R32&lt;MarjaMin),"Marjă totală sub minim. ","")&amp;IF(COUNTIFS('Linii ofertă'!$B$5:$B$1004,B32,'Linii ofertă'!$R$5:$R$1004,"Marjă*")&gt;0,"Are linii cu marjă sub minim. ","")&amp;IF(AND(S32="Expirată"),"Valabilitatea a expirat: reconfirmă prețurile. ","")))</f>
        <v/>
      </c>
    </row>
    <row r="33" spans="2:20" x14ac:dyDescent="0.2">
      <c r="B33" s="20"/>
      <c r="C33" s="21"/>
      <c r="D33" s="22"/>
      <c r="E33" s="22"/>
      <c r="F33" s="22"/>
      <c r="G33" s="20"/>
      <c r="H33" s="23" t="str">
        <f t="shared" si="0"/>
        <v/>
      </c>
      <c r="I33" s="22"/>
      <c r="J33" s="22"/>
      <c r="K33" s="24"/>
      <c r="L33" s="22"/>
      <c r="M33" s="22"/>
      <c r="N33" s="20"/>
      <c r="O33" s="21"/>
      <c r="P33" s="25" t="str">
        <f>IF(B33="","",SUMIF('Linii ofertă'!$B$5:$B$1004,B33,'Linii ofertă'!$J$5:$J$1004))</f>
        <v/>
      </c>
      <c r="Q33" s="25" t="str">
        <f>IF(B33="","",SUMIF('Linii ofertă'!$B$5:$B$1004,B33,'Linii ofertă'!$M$5:$M$1004))</f>
        <v/>
      </c>
      <c r="R33" s="26" t="str">
        <f>IF(OR(B33="",N(P33)=0),"",SUMIF('Linii ofertă'!$B$5:$B$1004,B33,'Linii ofertă'!$P$5:$P$1004)/P33)</f>
        <v/>
      </c>
      <c r="S33" s="27" t="str">
        <f t="shared" ca="1" si="1"/>
        <v/>
      </c>
      <c r="T33" s="28" t="str">
        <f>IF(B33="","",TRIM(IF(COUNTIF($B$5:$B$504,B33)&gt;1,"Număr dublat. ","")&amp;IF(N(P33)=0,"Oferta nu are linii. ","")&amp;IF(M33="","Completează ce NU include oferta. ","")&amp;IF(AND(ISNUMBER(R33),R33&lt;MarjaMin),"Marjă totală sub minim. ","")&amp;IF(COUNTIFS('Linii ofertă'!$B$5:$B$1004,B33,'Linii ofertă'!$R$5:$R$1004,"Marjă*")&gt;0,"Are linii cu marjă sub minim. ","")&amp;IF(AND(S33="Expirată"),"Valabilitatea a expirat: reconfirmă prețurile. ","")))</f>
        <v/>
      </c>
    </row>
    <row r="34" spans="2:20" x14ac:dyDescent="0.2">
      <c r="B34" s="20"/>
      <c r="C34" s="21"/>
      <c r="D34" s="22"/>
      <c r="E34" s="22"/>
      <c r="F34" s="22"/>
      <c r="G34" s="20"/>
      <c r="H34" s="23" t="str">
        <f t="shared" si="0"/>
        <v/>
      </c>
      <c r="I34" s="22"/>
      <c r="J34" s="22"/>
      <c r="K34" s="24"/>
      <c r="L34" s="22"/>
      <c r="M34" s="22"/>
      <c r="N34" s="20"/>
      <c r="O34" s="21"/>
      <c r="P34" s="25" t="str">
        <f>IF(B34="","",SUMIF('Linii ofertă'!$B$5:$B$1004,B34,'Linii ofertă'!$J$5:$J$1004))</f>
        <v/>
      </c>
      <c r="Q34" s="25" t="str">
        <f>IF(B34="","",SUMIF('Linii ofertă'!$B$5:$B$1004,B34,'Linii ofertă'!$M$5:$M$1004))</f>
        <v/>
      </c>
      <c r="R34" s="26" t="str">
        <f>IF(OR(B34="",N(P34)=0),"",SUMIF('Linii ofertă'!$B$5:$B$1004,B34,'Linii ofertă'!$P$5:$P$1004)/P34)</f>
        <v/>
      </c>
      <c r="S34" s="27" t="str">
        <f t="shared" ca="1" si="1"/>
        <v/>
      </c>
      <c r="T34" s="28" t="str">
        <f>IF(B34="","",TRIM(IF(COUNTIF($B$5:$B$504,B34)&gt;1,"Număr dublat. ","")&amp;IF(N(P34)=0,"Oferta nu are linii. ","")&amp;IF(M34="","Completează ce NU include oferta. ","")&amp;IF(AND(ISNUMBER(R34),R34&lt;MarjaMin),"Marjă totală sub minim. ","")&amp;IF(COUNTIFS('Linii ofertă'!$B$5:$B$1004,B34,'Linii ofertă'!$R$5:$R$1004,"Marjă*")&gt;0,"Are linii cu marjă sub minim. ","")&amp;IF(AND(S34="Expirată"),"Valabilitatea a expirat: reconfirmă prețurile. ","")))</f>
        <v/>
      </c>
    </row>
    <row r="35" spans="2:20" x14ac:dyDescent="0.2">
      <c r="B35" s="20"/>
      <c r="C35" s="21"/>
      <c r="D35" s="22"/>
      <c r="E35" s="22"/>
      <c r="F35" s="22"/>
      <c r="G35" s="20"/>
      <c r="H35" s="23" t="str">
        <f t="shared" si="0"/>
        <v/>
      </c>
      <c r="I35" s="22"/>
      <c r="J35" s="22"/>
      <c r="K35" s="24"/>
      <c r="L35" s="22"/>
      <c r="M35" s="22"/>
      <c r="N35" s="20"/>
      <c r="O35" s="21"/>
      <c r="P35" s="25" t="str">
        <f>IF(B35="","",SUMIF('Linii ofertă'!$B$5:$B$1004,B35,'Linii ofertă'!$J$5:$J$1004))</f>
        <v/>
      </c>
      <c r="Q35" s="25" t="str">
        <f>IF(B35="","",SUMIF('Linii ofertă'!$B$5:$B$1004,B35,'Linii ofertă'!$M$5:$M$1004))</f>
        <v/>
      </c>
      <c r="R35" s="26" t="str">
        <f>IF(OR(B35="",N(P35)=0),"",SUMIF('Linii ofertă'!$B$5:$B$1004,B35,'Linii ofertă'!$P$5:$P$1004)/P35)</f>
        <v/>
      </c>
      <c r="S35" s="27" t="str">
        <f t="shared" ca="1" si="1"/>
        <v/>
      </c>
      <c r="T35" s="28" t="str">
        <f>IF(B35="","",TRIM(IF(COUNTIF($B$5:$B$504,B35)&gt;1,"Număr dublat. ","")&amp;IF(N(P35)=0,"Oferta nu are linii. ","")&amp;IF(M35="","Completează ce NU include oferta. ","")&amp;IF(AND(ISNUMBER(R35),R35&lt;MarjaMin),"Marjă totală sub minim. ","")&amp;IF(COUNTIFS('Linii ofertă'!$B$5:$B$1004,B35,'Linii ofertă'!$R$5:$R$1004,"Marjă*")&gt;0,"Are linii cu marjă sub minim. ","")&amp;IF(AND(S35="Expirată"),"Valabilitatea a expirat: reconfirmă prețurile. ","")))</f>
        <v/>
      </c>
    </row>
    <row r="36" spans="2:20" x14ac:dyDescent="0.2">
      <c r="B36" s="20"/>
      <c r="C36" s="21"/>
      <c r="D36" s="22"/>
      <c r="E36" s="22"/>
      <c r="F36" s="22"/>
      <c r="G36" s="20"/>
      <c r="H36" s="23" t="str">
        <f t="shared" si="0"/>
        <v/>
      </c>
      <c r="I36" s="22"/>
      <c r="J36" s="22"/>
      <c r="K36" s="24"/>
      <c r="L36" s="22"/>
      <c r="M36" s="22"/>
      <c r="N36" s="20"/>
      <c r="O36" s="21"/>
      <c r="P36" s="25" t="str">
        <f>IF(B36="","",SUMIF('Linii ofertă'!$B$5:$B$1004,B36,'Linii ofertă'!$J$5:$J$1004))</f>
        <v/>
      </c>
      <c r="Q36" s="25" t="str">
        <f>IF(B36="","",SUMIF('Linii ofertă'!$B$5:$B$1004,B36,'Linii ofertă'!$M$5:$M$1004))</f>
        <v/>
      </c>
      <c r="R36" s="26" t="str">
        <f>IF(OR(B36="",N(P36)=0),"",SUMIF('Linii ofertă'!$B$5:$B$1004,B36,'Linii ofertă'!$P$5:$P$1004)/P36)</f>
        <v/>
      </c>
      <c r="S36" s="27" t="str">
        <f t="shared" ca="1" si="1"/>
        <v/>
      </c>
      <c r="T36" s="28" t="str">
        <f>IF(B36="","",TRIM(IF(COUNTIF($B$5:$B$504,B36)&gt;1,"Număr dublat. ","")&amp;IF(N(P36)=0,"Oferta nu are linii. ","")&amp;IF(M36="","Completează ce NU include oferta. ","")&amp;IF(AND(ISNUMBER(R36),R36&lt;MarjaMin),"Marjă totală sub minim. ","")&amp;IF(COUNTIFS('Linii ofertă'!$B$5:$B$1004,B36,'Linii ofertă'!$R$5:$R$1004,"Marjă*")&gt;0,"Are linii cu marjă sub minim. ","")&amp;IF(AND(S36="Expirată"),"Valabilitatea a expirat: reconfirmă prețurile. ","")))</f>
        <v/>
      </c>
    </row>
    <row r="37" spans="2:20" x14ac:dyDescent="0.2">
      <c r="B37" s="20"/>
      <c r="C37" s="21"/>
      <c r="D37" s="22"/>
      <c r="E37" s="22"/>
      <c r="F37" s="22"/>
      <c r="G37" s="20"/>
      <c r="H37" s="23" t="str">
        <f t="shared" si="0"/>
        <v/>
      </c>
      <c r="I37" s="22"/>
      <c r="J37" s="22"/>
      <c r="K37" s="24"/>
      <c r="L37" s="22"/>
      <c r="M37" s="22"/>
      <c r="N37" s="20"/>
      <c r="O37" s="21"/>
      <c r="P37" s="25" t="str">
        <f>IF(B37="","",SUMIF('Linii ofertă'!$B$5:$B$1004,B37,'Linii ofertă'!$J$5:$J$1004))</f>
        <v/>
      </c>
      <c r="Q37" s="25" t="str">
        <f>IF(B37="","",SUMIF('Linii ofertă'!$B$5:$B$1004,B37,'Linii ofertă'!$M$5:$M$1004))</f>
        <v/>
      </c>
      <c r="R37" s="26" t="str">
        <f>IF(OR(B37="",N(P37)=0),"",SUMIF('Linii ofertă'!$B$5:$B$1004,B37,'Linii ofertă'!$P$5:$P$1004)/P37)</f>
        <v/>
      </c>
      <c r="S37" s="27" t="str">
        <f t="shared" ca="1" si="1"/>
        <v/>
      </c>
      <c r="T37" s="28" t="str">
        <f>IF(B37="","",TRIM(IF(COUNTIF($B$5:$B$504,B37)&gt;1,"Număr dublat. ","")&amp;IF(N(P37)=0,"Oferta nu are linii. ","")&amp;IF(M37="","Completează ce NU include oferta. ","")&amp;IF(AND(ISNUMBER(R37),R37&lt;MarjaMin),"Marjă totală sub minim. ","")&amp;IF(COUNTIFS('Linii ofertă'!$B$5:$B$1004,B37,'Linii ofertă'!$R$5:$R$1004,"Marjă*")&gt;0,"Are linii cu marjă sub minim. ","")&amp;IF(AND(S37="Expirată"),"Valabilitatea a expirat: reconfirmă prețurile. ","")))</f>
        <v/>
      </c>
    </row>
    <row r="38" spans="2:20" x14ac:dyDescent="0.2">
      <c r="B38" s="20"/>
      <c r="C38" s="21"/>
      <c r="D38" s="22"/>
      <c r="E38" s="22"/>
      <c r="F38" s="22"/>
      <c r="G38" s="20"/>
      <c r="H38" s="23" t="str">
        <f t="shared" si="0"/>
        <v/>
      </c>
      <c r="I38" s="22"/>
      <c r="J38" s="22"/>
      <c r="K38" s="24"/>
      <c r="L38" s="22"/>
      <c r="M38" s="22"/>
      <c r="N38" s="20"/>
      <c r="O38" s="21"/>
      <c r="P38" s="25" t="str">
        <f>IF(B38="","",SUMIF('Linii ofertă'!$B$5:$B$1004,B38,'Linii ofertă'!$J$5:$J$1004))</f>
        <v/>
      </c>
      <c r="Q38" s="25" t="str">
        <f>IF(B38="","",SUMIF('Linii ofertă'!$B$5:$B$1004,B38,'Linii ofertă'!$M$5:$M$1004))</f>
        <v/>
      </c>
      <c r="R38" s="26" t="str">
        <f>IF(OR(B38="",N(P38)=0),"",SUMIF('Linii ofertă'!$B$5:$B$1004,B38,'Linii ofertă'!$P$5:$P$1004)/P38)</f>
        <v/>
      </c>
      <c r="S38" s="27" t="str">
        <f t="shared" ca="1" si="1"/>
        <v/>
      </c>
      <c r="T38" s="28" t="str">
        <f>IF(B38="","",TRIM(IF(COUNTIF($B$5:$B$504,B38)&gt;1,"Număr dublat. ","")&amp;IF(N(P38)=0,"Oferta nu are linii. ","")&amp;IF(M38="","Completează ce NU include oferta. ","")&amp;IF(AND(ISNUMBER(R38),R38&lt;MarjaMin),"Marjă totală sub minim. ","")&amp;IF(COUNTIFS('Linii ofertă'!$B$5:$B$1004,B38,'Linii ofertă'!$R$5:$R$1004,"Marjă*")&gt;0,"Are linii cu marjă sub minim. ","")&amp;IF(AND(S38="Expirată"),"Valabilitatea a expirat: reconfirmă prețurile. ","")))</f>
        <v/>
      </c>
    </row>
    <row r="39" spans="2:20" x14ac:dyDescent="0.2">
      <c r="B39" s="20"/>
      <c r="C39" s="21"/>
      <c r="D39" s="22"/>
      <c r="E39" s="22"/>
      <c r="F39" s="22"/>
      <c r="G39" s="20"/>
      <c r="H39" s="23" t="str">
        <f t="shared" si="0"/>
        <v/>
      </c>
      <c r="I39" s="22"/>
      <c r="J39" s="22"/>
      <c r="K39" s="24"/>
      <c r="L39" s="22"/>
      <c r="M39" s="22"/>
      <c r="N39" s="20"/>
      <c r="O39" s="21"/>
      <c r="P39" s="25" t="str">
        <f>IF(B39="","",SUMIF('Linii ofertă'!$B$5:$B$1004,B39,'Linii ofertă'!$J$5:$J$1004))</f>
        <v/>
      </c>
      <c r="Q39" s="25" t="str">
        <f>IF(B39="","",SUMIF('Linii ofertă'!$B$5:$B$1004,B39,'Linii ofertă'!$M$5:$M$1004))</f>
        <v/>
      </c>
      <c r="R39" s="26" t="str">
        <f>IF(OR(B39="",N(P39)=0),"",SUMIF('Linii ofertă'!$B$5:$B$1004,B39,'Linii ofertă'!$P$5:$P$1004)/P39)</f>
        <v/>
      </c>
      <c r="S39" s="27" t="str">
        <f t="shared" ca="1" si="1"/>
        <v/>
      </c>
      <c r="T39" s="28" t="str">
        <f>IF(B39="","",TRIM(IF(COUNTIF($B$5:$B$504,B39)&gt;1,"Număr dublat. ","")&amp;IF(N(P39)=0,"Oferta nu are linii. ","")&amp;IF(M39="","Completează ce NU include oferta. ","")&amp;IF(AND(ISNUMBER(R39),R39&lt;MarjaMin),"Marjă totală sub minim. ","")&amp;IF(COUNTIFS('Linii ofertă'!$B$5:$B$1004,B39,'Linii ofertă'!$R$5:$R$1004,"Marjă*")&gt;0,"Are linii cu marjă sub minim. ","")&amp;IF(AND(S39="Expirată"),"Valabilitatea a expirat: reconfirmă prețurile. ","")))</f>
        <v/>
      </c>
    </row>
    <row r="40" spans="2:20" x14ac:dyDescent="0.2">
      <c r="B40" s="20"/>
      <c r="C40" s="21"/>
      <c r="D40" s="22"/>
      <c r="E40" s="22"/>
      <c r="F40" s="22"/>
      <c r="G40" s="20"/>
      <c r="H40" s="23" t="str">
        <f t="shared" si="0"/>
        <v/>
      </c>
      <c r="I40" s="22"/>
      <c r="J40" s="22"/>
      <c r="K40" s="24"/>
      <c r="L40" s="22"/>
      <c r="M40" s="22"/>
      <c r="N40" s="20"/>
      <c r="O40" s="21"/>
      <c r="P40" s="25" t="str">
        <f>IF(B40="","",SUMIF('Linii ofertă'!$B$5:$B$1004,B40,'Linii ofertă'!$J$5:$J$1004))</f>
        <v/>
      </c>
      <c r="Q40" s="25" t="str">
        <f>IF(B40="","",SUMIF('Linii ofertă'!$B$5:$B$1004,B40,'Linii ofertă'!$M$5:$M$1004))</f>
        <v/>
      </c>
      <c r="R40" s="26" t="str">
        <f>IF(OR(B40="",N(P40)=0),"",SUMIF('Linii ofertă'!$B$5:$B$1004,B40,'Linii ofertă'!$P$5:$P$1004)/P40)</f>
        <v/>
      </c>
      <c r="S40" s="27" t="str">
        <f t="shared" ca="1" si="1"/>
        <v/>
      </c>
      <c r="T40" s="28" t="str">
        <f>IF(B40="","",TRIM(IF(COUNTIF($B$5:$B$504,B40)&gt;1,"Număr dublat. ","")&amp;IF(N(P40)=0,"Oferta nu are linii. ","")&amp;IF(M40="","Completează ce NU include oferta. ","")&amp;IF(AND(ISNUMBER(R40),R40&lt;MarjaMin),"Marjă totală sub minim. ","")&amp;IF(COUNTIFS('Linii ofertă'!$B$5:$B$1004,B40,'Linii ofertă'!$R$5:$R$1004,"Marjă*")&gt;0,"Are linii cu marjă sub minim. ","")&amp;IF(AND(S40="Expirată"),"Valabilitatea a expirat: reconfirmă prețurile. ","")))</f>
        <v/>
      </c>
    </row>
    <row r="41" spans="2:20" x14ac:dyDescent="0.2">
      <c r="B41" s="20"/>
      <c r="C41" s="21"/>
      <c r="D41" s="22"/>
      <c r="E41" s="22"/>
      <c r="F41" s="22"/>
      <c r="G41" s="20"/>
      <c r="H41" s="23" t="str">
        <f t="shared" si="0"/>
        <v/>
      </c>
      <c r="I41" s="22"/>
      <c r="J41" s="22"/>
      <c r="K41" s="24"/>
      <c r="L41" s="22"/>
      <c r="M41" s="22"/>
      <c r="N41" s="20"/>
      <c r="O41" s="21"/>
      <c r="P41" s="25" t="str">
        <f>IF(B41="","",SUMIF('Linii ofertă'!$B$5:$B$1004,B41,'Linii ofertă'!$J$5:$J$1004))</f>
        <v/>
      </c>
      <c r="Q41" s="25" t="str">
        <f>IF(B41="","",SUMIF('Linii ofertă'!$B$5:$B$1004,B41,'Linii ofertă'!$M$5:$M$1004))</f>
        <v/>
      </c>
      <c r="R41" s="26" t="str">
        <f>IF(OR(B41="",N(P41)=0),"",SUMIF('Linii ofertă'!$B$5:$B$1004,B41,'Linii ofertă'!$P$5:$P$1004)/P41)</f>
        <v/>
      </c>
      <c r="S41" s="27" t="str">
        <f t="shared" ca="1" si="1"/>
        <v/>
      </c>
      <c r="T41" s="28" t="str">
        <f>IF(B41="","",TRIM(IF(COUNTIF($B$5:$B$504,B41)&gt;1,"Număr dublat. ","")&amp;IF(N(P41)=0,"Oferta nu are linii. ","")&amp;IF(M41="","Completează ce NU include oferta. ","")&amp;IF(AND(ISNUMBER(R41),R41&lt;MarjaMin),"Marjă totală sub minim. ","")&amp;IF(COUNTIFS('Linii ofertă'!$B$5:$B$1004,B41,'Linii ofertă'!$R$5:$R$1004,"Marjă*")&gt;0,"Are linii cu marjă sub minim. ","")&amp;IF(AND(S41="Expirată"),"Valabilitatea a expirat: reconfirmă prețurile. ","")))</f>
        <v/>
      </c>
    </row>
    <row r="42" spans="2:20" x14ac:dyDescent="0.2">
      <c r="B42" s="20"/>
      <c r="C42" s="21"/>
      <c r="D42" s="22"/>
      <c r="E42" s="22"/>
      <c r="F42" s="22"/>
      <c r="G42" s="20"/>
      <c r="H42" s="23" t="str">
        <f t="shared" si="0"/>
        <v/>
      </c>
      <c r="I42" s="22"/>
      <c r="J42" s="22"/>
      <c r="K42" s="24"/>
      <c r="L42" s="22"/>
      <c r="M42" s="22"/>
      <c r="N42" s="20"/>
      <c r="O42" s="21"/>
      <c r="P42" s="25" t="str">
        <f>IF(B42="","",SUMIF('Linii ofertă'!$B$5:$B$1004,B42,'Linii ofertă'!$J$5:$J$1004))</f>
        <v/>
      </c>
      <c r="Q42" s="25" t="str">
        <f>IF(B42="","",SUMIF('Linii ofertă'!$B$5:$B$1004,B42,'Linii ofertă'!$M$5:$M$1004))</f>
        <v/>
      </c>
      <c r="R42" s="26" t="str">
        <f>IF(OR(B42="",N(P42)=0),"",SUMIF('Linii ofertă'!$B$5:$B$1004,B42,'Linii ofertă'!$P$5:$P$1004)/P42)</f>
        <v/>
      </c>
      <c r="S42" s="27" t="str">
        <f t="shared" ca="1" si="1"/>
        <v/>
      </c>
      <c r="T42" s="28" t="str">
        <f>IF(B42="","",TRIM(IF(COUNTIF($B$5:$B$504,B42)&gt;1,"Număr dublat. ","")&amp;IF(N(P42)=0,"Oferta nu are linii. ","")&amp;IF(M42="","Completează ce NU include oferta. ","")&amp;IF(AND(ISNUMBER(R42),R42&lt;MarjaMin),"Marjă totală sub minim. ","")&amp;IF(COUNTIFS('Linii ofertă'!$B$5:$B$1004,B42,'Linii ofertă'!$R$5:$R$1004,"Marjă*")&gt;0,"Are linii cu marjă sub minim. ","")&amp;IF(AND(S42="Expirată"),"Valabilitatea a expirat: reconfirmă prețurile. ","")))</f>
        <v/>
      </c>
    </row>
    <row r="43" spans="2:20" x14ac:dyDescent="0.2">
      <c r="B43" s="20"/>
      <c r="C43" s="21"/>
      <c r="D43" s="22"/>
      <c r="E43" s="22"/>
      <c r="F43" s="22"/>
      <c r="G43" s="20"/>
      <c r="H43" s="23" t="str">
        <f t="shared" si="0"/>
        <v/>
      </c>
      <c r="I43" s="22"/>
      <c r="J43" s="22"/>
      <c r="K43" s="24"/>
      <c r="L43" s="22"/>
      <c r="M43" s="22"/>
      <c r="N43" s="20"/>
      <c r="O43" s="21"/>
      <c r="P43" s="25" t="str">
        <f>IF(B43="","",SUMIF('Linii ofertă'!$B$5:$B$1004,B43,'Linii ofertă'!$J$5:$J$1004))</f>
        <v/>
      </c>
      <c r="Q43" s="25" t="str">
        <f>IF(B43="","",SUMIF('Linii ofertă'!$B$5:$B$1004,B43,'Linii ofertă'!$M$5:$M$1004))</f>
        <v/>
      </c>
      <c r="R43" s="26" t="str">
        <f>IF(OR(B43="",N(P43)=0),"",SUMIF('Linii ofertă'!$B$5:$B$1004,B43,'Linii ofertă'!$P$5:$P$1004)/P43)</f>
        <v/>
      </c>
      <c r="S43" s="27" t="str">
        <f t="shared" ca="1" si="1"/>
        <v/>
      </c>
      <c r="T43" s="28" t="str">
        <f>IF(B43="","",TRIM(IF(COUNTIF($B$5:$B$504,B43)&gt;1,"Număr dublat. ","")&amp;IF(N(P43)=0,"Oferta nu are linii. ","")&amp;IF(M43="","Completează ce NU include oferta. ","")&amp;IF(AND(ISNUMBER(R43),R43&lt;MarjaMin),"Marjă totală sub minim. ","")&amp;IF(COUNTIFS('Linii ofertă'!$B$5:$B$1004,B43,'Linii ofertă'!$R$5:$R$1004,"Marjă*")&gt;0,"Are linii cu marjă sub minim. ","")&amp;IF(AND(S43="Expirată"),"Valabilitatea a expirat: reconfirmă prețurile. ","")))</f>
        <v/>
      </c>
    </row>
    <row r="44" spans="2:20" x14ac:dyDescent="0.2">
      <c r="B44" s="20"/>
      <c r="C44" s="21"/>
      <c r="D44" s="22"/>
      <c r="E44" s="22"/>
      <c r="F44" s="22"/>
      <c r="G44" s="20"/>
      <c r="H44" s="23" t="str">
        <f t="shared" si="0"/>
        <v/>
      </c>
      <c r="I44" s="22"/>
      <c r="J44" s="22"/>
      <c r="K44" s="24"/>
      <c r="L44" s="22"/>
      <c r="M44" s="22"/>
      <c r="N44" s="20"/>
      <c r="O44" s="21"/>
      <c r="P44" s="25" t="str">
        <f>IF(B44="","",SUMIF('Linii ofertă'!$B$5:$B$1004,B44,'Linii ofertă'!$J$5:$J$1004))</f>
        <v/>
      </c>
      <c r="Q44" s="25" t="str">
        <f>IF(B44="","",SUMIF('Linii ofertă'!$B$5:$B$1004,B44,'Linii ofertă'!$M$5:$M$1004))</f>
        <v/>
      </c>
      <c r="R44" s="26" t="str">
        <f>IF(OR(B44="",N(P44)=0),"",SUMIF('Linii ofertă'!$B$5:$B$1004,B44,'Linii ofertă'!$P$5:$P$1004)/P44)</f>
        <v/>
      </c>
      <c r="S44" s="27" t="str">
        <f t="shared" ca="1" si="1"/>
        <v/>
      </c>
      <c r="T44" s="28" t="str">
        <f>IF(B44="","",TRIM(IF(COUNTIF($B$5:$B$504,B44)&gt;1,"Număr dublat. ","")&amp;IF(N(P44)=0,"Oferta nu are linii. ","")&amp;IF(M44="","Completează ce NU include oferta. ","")&amp;IF(AND(ISNUMBER(R44),R44&lt;MarjaMin),"Marjă totală sub minim. ","")&amp;IF(COUNTIFS('Linii ofertă'!$B$5:$B$1004,B44,'Linii ofertă'!$R$5:$R$1004,"Marjă*")&gt;0,"Are linii cu marjă sub minim. ","")&amp;IF(AND(S44="Expirată"),"Valabilitatea a expirat: reconfirmă prețurile. ","")))</f>
        <v/>
      </c>
    </row>
    <row r="45" spans="2:20" x14ac:dyDescent="0.2">
      <c r="B45" s="20"/>
      <c r="C45" s="21"/>
      <c r="D45" s="22"/>
      <c r="E45" s="22"/>
      <c r="F45" s="22"/>
      <c r="G45" s="20"/>
      <c r="H45" s="23" t="str">
        <f t="shared" si="0"/>
        <v/>
      </c>
      <c r="I45" s="22"/>
      <c r="J45" s="22"/>
      <c r="K45" s="24"/>
      <c r="L45" s="22"/>
      <c r="M45" s="22"/>
      <c r="N45" s="20"/>
      <c r="O45" s="21"/>
      <c r="P45" s="25" t="str">
        <f>IF(B45="","",SUMIF('Linii ofertă'!$B$5:$B$1004,B45,'Linii ofertă'!$J$5:$J$1004))</f>
        <v/>
      </c>
      <c r="Q45" s="25" t="str">
        <f>IF(B45="","",SUMIF('Linii ofertă'!$B$5:$B$1004,B45,'Linii ofertă'!$M$5:$M$1004))</f>
        <v/>
      </c>
      <c r="R45" s="26" t="str">
        <f>IF(OR(B45="",N(P45)=0),"",SUMIF('Linii ofertă'!$B$5:$B$1004,B45,'Linii ofertă'!$P$5:$P$1004)/P45)</f>
        <v/>
      </c>
      <c r="S45" s="27" t="str">
        <f t="shared" ca="1" si="1"/>
        <v/>
      </c>
      <c r="T45" s="28" t="str">
        <f>IF(B45="","",TRIM(IF(COUNTIF($B$5:$B$504,B45)&gt;1,"Număr dublat. ","")&amp;IF(N(P45)=0,"Oferta nu are linii. ","")&amp;IF(M45="","Completează ce NU include oferta. ","")&amp;IF(AND(ISNUMBER(R45),R45&lt;MarjaMin),"Marjă totală sub minim. ","")&amp;IF(COUNTIFS('Linii ofertă'!$B$5:$B$1004,B45,'Linii ofertă'!$R$5:$R$1004,"Marjă*")&gt;0,"Are linii cu marjă sub minim. ","")&amp;IF(AND(S45="Expirată"),"Valabilitatea a expirat: reconfirmă prețurile. ","")))</f>
        <v/>
      </c>
    </row>
    <row r="46" spans="2:20" x14ac:dyDescent="0.2">
      <c r="B46" s="20"/>
      <c r="C46" s="21"/>
      <c r="D46" s="22"/>
      <c r="E46" s="22"/>
      <c r="F46" s="22"/>
      <c r="G46" s="20"/>
      <c r="H46" s="23" t="str">
        <f t="shared" si="0"/>
        <v/>
      </c>
      <c r="I46" s="22"/>
      <c r="J46" s="22"/>
      <c r="K46" s="24"/>
      <c r="L46" s="22"/>
      <c r="M46" s="22"/>
      <c r="N46" s="20"/>
      <c r="O46" s="21"/>
      <c r="P46" s="25" t="str">
        <f>IF(B46="","",SUMIF('Linii ofertă'!$B$5:$B$1004,B46,'Linii ofertă'!$J$5:$J$1004))</f>
        <v/>
      </c>
      <c r="Q46" s="25" t="str">
        <f>IF(B46="","",SUMIF('Linii ofertă'!$B$5:$B$1004,B46,'Linii ofertă'!$M$5:$M$1004))</f>
        <v/>
      </c>
      <c r="R46" s="26" t="str">
        <f>IF(OR(B46="",N(P46)=0),"",SUMIF('Linii ofertă'!$B$5:$B$1004,B46,'Linii ofertă'!$P$5:$P$1004)/P46)</f>
        <v/>
      </c>
      <c r="S46" s="27" t="str">
        <f t="shared" ca="1" si="1"/>
        <v/>
      </c>
      <c r="T46" s="28" t="str">
        <f>IF(B46="","",TRIM(IF(COUNTIF($B$5:$B$504,B46)&gt;1,"Număr dublat. ","")&amp;IF(N(P46)=0,"Oferta nu are linii. ","")&amp;IF(M46="","Completează ce NU include oferta. ","")&amp;IF(AND(ISNUMBER(R46),R46&lt;MarjaMin),"Marjă totală sub minim. ","")&amp;IF(COUNTIFS('Linii ofertă'!$B$5:$B$1004,B46,'Linii ofertă'!$R$5:$R$1004,"Marjă*")&gt;0,"Are linii cu marjă sub minim. ","")&amp;IF(AND(S46="Expirată"),"Valabilitatea a expirat: reconfirmă prețurile. ","")))</f>
        <v/>
      </c>
    </row>
    <row r="47" spans="2:20" x14ac:dyDescent="0.2">
      <c r="B47" s="20"/>
      <c r="C47" s="21"/>
      <c r="D47" s="22"/>
      <c r="E47" s="22"/>
      <c r="F47" s="22"/>
      <c r="G47" s="20"/>
      <c r="H47" s="23" t="str">
        <f t="shared" si="0"/>
        <v/>
      </c>
      <c r="I47" s="22"/>
      <c r="J47" s="22"/>
      <c r="K47" s="24"/>
      <c r="L47" s="22"/>
      <c r="M47" s="22"/>
      <c r="N47" s="20"/>
      <c r="O47" s="21"/>
      <c r="P47" s="25" t="str">
        <f>IF(B47="","",SUMIF('Linii ofertă'!$B$5:$B$1004,B47,'Linii ofertă'!$J$5:$J$1004))</f>
        <v/>
      </c>
      <c r="Q47" s="25" t="str">
        <f>IF(B47="","",SUMIF('Linii ofertă'!$B$5:$B$1004,B47,'Linii ofertă'!$M$5:$M$1004))</f>
        <v/>
      </c>
      <c r="R47" s="26" t="str">
        <f>IF(OR(B47="",N(P47)=0),"",SUMIF('Linii ofertă'!$B$5:$B$1004,B47,'Linii ofertă'!$P$5:$P$1004)/P47)</f>
        <v/>
      </c>
      <c r="S47" s="27" t="str">
        <f t="shared" ca="1" si="1"/>
        <v/>
      </c>
      <c r="T47" s="28" t="str">
        <f>IF(B47="","",TRIM(IF(COUNTIF($B$5:$B$504,B47)&gt;1,"Număr dublat. ","")&amp;IF(N(P47)=0,"Oferta nu are linii. ","")&amp;IF(M47="","Completează ce NU include oferta. ","")&amp;IF(AND(ISNUMBER(R47),R47&lt;MarjaMin),"Marjă totală sub minim. ","")&amp;IF(COUNTIFS('Linii ofertă'!$B$5:$B$1004,B47,'Linii ofertă'!$R$5:$R$1004,"Marjă*")&gt;0,"Are linii cu marjă sub minim. ","")&amp;IF(AND(S47="Expirată"),"Valabilitatea a expirat: reconfirmă prețurile. ","")))</f>
        <v/>
      </c>
    </row>
    <row r="48" spans="2:20" x14ac:dyDescent="0.2">
      <c r="B48" s="20"/>
      <c r="C48" s="21"/>
      <c r="D48" s="22"/>
      <c r="E48" s="22"/>
      <c r="F48" s="22"/>
      <c r="G48" s="20"/>
      <c r="H48" s="23" t="str">
        <f t="shared" si="0"/>
        <v/>
      </c>
      <c r="I48" s="22"/>
      <c r="J48" s="22"/>
      <c r="K48" s="24"/>
      <c r="L48" s="22"/>
      <c r="M48" s="22"/>
      <c r="N48" s="20"/>
      <c r="O48" s="21"/>
      <c r="P48" s="25" t="str">
        <f>IF(B48="","",SUMIF('Linii ofertă'!$B$5:$B$1004,B48,'Linii ofertă'!$J$5:$J$1004))</f>
        <v/>
      </c>
      <c r="Q48" s="25" t="str">
        <f>IF(B48="","",SUMIF('Linii ofertă'!$B$5:$B$1004,B48,'Linii ofertă'!$M$5:$M$1004))</f>
        <v/>
      </c>
      <c r="R48" s="26" t="str">
        <f>IF(OR(B48="",N(P48)=0),"",SUMIF('Linii ofertă'!$B$5:$B$1004,B48,'Linii ofertă'!$P$5:$P$1004)/P48)</f>
        <v/>
      </c>
      <c r="S48" s="27" t="str">
        <f t="shared" ca="1" si="1"/>
        <v/>
      </c>
      <c r="T48" s="28" t="str">
        <f>IF(B48="","",TRIM(IF(COUNTIF($B$5:$B$504,B48)&gt;1,"Număr dublat. ","")&amp;IF(N(P48)=0,"Oferta nu are linii. ","")&amp;IF(M48="","Completează ce NU include oferta. ","")&amp;IF(AND(ISNUMBER(R48),R48&lt;MarjaMin),"Marjă totală sub minim. ","")&amp;IF(COUNTIFS('Linii ofertă'!$B$5:$B$1004,B48,'Linii ofertă'!$R$5:$R$1004,"Marjă*")&gt;0,"Are linii cu marjă sub minim. ","")&amp;IF(AND(S48="Expirată"),"Valabilitatea a expirat: reconfirmă prețurile. ","")))</f>
        <v/>
      </c>
    </row>
    <row r="49" spans="2:20" x14ac:dyDescent="0.2">
      <c r="B49" s="20"/>
      <c r="C49" s="21"/>
      <c r="D49" s="22"/>
      <c r="E49" s="22"/>
      <c r="F49" s="22"/>
      <c r="G49" s="20"/>
      <c r="H49" s="23" t="str">
        <f t="shared" si="0"/>
        <v/>
      </c>
      <c r="I49" s="22"/>
      <c r="J49" s="22"/>
      <c r="K49" s="24"/>
      <c r="L49" s="22"/>
      <c r="M49" s="22"/>
      <c r="N49" s="20"/>
      <c r="O49" s="21"/>
      <c r="P49" s="25" t="str">
        <f>IF(B49="","",SUMIF('Linii ofertă'!$B$5:$B$1004,B49,'Linii ofertă'!$J$5:$J$1004))</f>
        <v/>
      </c>
      <c r="Q49" s="25" t="str">
        <f>IF(B49="","",SUMIF('Linii ofertă'!$B$5:$B$1004,B49,'Linii ofertă'!$M$5:$M$1004))</f>
        <v/>
      </c>
      <c r="R49" s="26" t="str">
        <f>IF(OR(B49="",N(P49)=0),"",SUMIF('Linii ofertă'!$B$5:$B$1004,B49,'Linii ofertă'!$P$5:$P$1004)/P49)</f>
        <v/>
      </c>
      <c r="S49" s="27" t="str">
        <f t="shared" ca="1" si="1"/>
        <v/>
      </c>
      <c r="T49" s="28" t="str">
        <f>IF(B49="","",TRIM(IF(COUNTIF($B$5:$B$504,B49)&gt;1,"Număr dublat. ","")&amp;IF(N(P49)=0,"Oferta nu are linii. ","")&amp;IF(M49="","Completează ce NU include oferta. ","")&amp;IF(AND(ISNUMBER(R49),R49&lt;MarjaMin),"Marjă totală sub minim. ","")&amp;IF(COUNTIFS('Linii ofertă'!$B$5:$B$1004,B49,'Linii ofertă'!$R$5:$R$1004,"Marjă*")&gt;0,"Are linii cu marjă sub minim. ","")&amp;IF(AND(S49="Expirată"),"Valabilitatea a expirat: reconfirmă prețurile. ","")))</f>
        <v/>
      </c>
    </row>
    <row r="50" spans="2:20" x14ac:dyDescent="0.2">
      <c r="B50" s="20"/>
      <c r="C50" s="21"/>
      <c r="D50" s="22"/>
      <c r="E50" s="22"/>
      <c r="F50" s="22"/>
      <c r="G50" s="20"/>
      <c r="H50" s="23" t="str">
        <f t="shared" si="0"/>
        <v/>
      </c>
      <c r="I50" s="22"/>
      <c r="J50" s="22"/>
      <c r="K50" s="24"/>
      <c r="L50" s="22"/>
      <c r="M50" s="22"/>
      <c r="N50" s="20"/>
      <c r="O50" s="21"/>
      <c r="P50" s="25" t="str">
        <f>IF(B50="","",SUMIF('Linii ofertă'!$B$5:$B$1004,B50,'Linii ofertă'!$J$5:$J$1004))</f>
        <v/>
      </c>
      <c r="Q50" s="25" t="str">
        <f>IF(B50="","",SUMIF('Linii ofertă'!$B$5:$B$1004,B50,'Linii ofertă'!$M$5:$M$1004))</f>
        <v/>
      </c>
      <c r="R50" s="26" t="str">
        <f>IF(OR(B50="",N(P50)=0),"",SUMIF('Linii ofertă'!$B$5:$B$1004,B50,'Linii ofertă'!$P$5:$P$1004)/P50)</f>
        <v/>
      </c>
      <c r="S50" s="27" t="str">
        <f t="shared" ca="1" si="1"/>
        <v/>
      </c>
      <c r="T50" s="28" t="str">
        <f>IF(B50="","",TRIM(IF(COUNTIF($B$5:$B$504,B50)&gt;1,"Număr dublat. ","")&amp;IF(N(P50)=0,"Oferta nu are linii. ","")&amp;IF(M50="","Completează ce NU include oferta. ","")&amp;IF(AND(ISNUMBER(R50),R50&lt;MarjaMin),"Marjă totală sub minim. ","")&amp;IF(COUNTIFS('Linii ofertă'!$B$5:$B$1004,B50,'Linii ofertă'!$R$5:$R$1004,"Marjă*")&gt;0,"Are linii cu marjă sub minim. ","")&amp;IF(AND(S50="Expirată"),"Valabilitatea a expirat: reconfirmă prețurile. ","")))</f>
        <v/>
      </c>
    </row>
    <row r="51" spans="2:20" x14ac:dyDescent="0.2">
      <c r="B51" s="20"/>
      <c r="C51" s="21"/>
      <c r="D51" s="22"/>
      <c r="E51" s="22"/>
      <c r="F51" s="22"/>
      <c r="G51" s="20"/>
      <c r="H51" s="23" t="str">
        <f t="shared" si="0"/>
        <v/>
      </c>
      <c r="I51" s="22"/>
      <c r="J51" s="22"/>
      <c r="K51" s="24"/>
      <c r="L51" s="22"/>
      <c r="M51" s="22"/>
      <c r="N51" s="20"/>
      <c r="O51" s="21"/>
      <c r="P51" s="25" t="str">
        <f>IF(B51="","",SUMIF('Linii ofertă'!$B$5:$B$1004,B51,'Linii ofertă'!$J$5:$J$1004))</f>
        <v/>
      </c>
      <c r="Q51" s="25" t="str">
        <f>IF(B51="","",SUMIF('Linii ofertă'!$B$5:$B$1004,B51,'Linii ofertă'!$M$5:$M$1004))</f>
        <v/>
      </c>
      <c r="R51" s="26" t="str">
        <f>IF(OR(B51="",N(P51)=0),"",SUMIF('Linii ofertă'!$B$5:$B$1004,B51,'Linii ofertă'!$P$5:$P$1004)/P51)</f>
        <v/>
      </c>
      <c r="S51" s="27" t="str">
        <f t="shared" ca="1" si="1"/>
        <v/>
      </c>
      <c r="T51" s="28" t="str">
        <f>IF(B51="","",TRIM(IF(COUNTIF($B$5:$B$504,B51)&gt;1,"Număr dublat. ","")&amp;IF(N(P51)=0,"Oferta nu are linii. ","")&amp;IF(M51="","Completează ce NU include oferta. ","")&amp;IF(AND(ISNUMBER(R51),R51&lt;MarjaMin),"Marjă totală sub minim. ","")&amp;IF(COUNTIFS('Linii ofertă'!$B$5:$B$1004,B51,'Linii ofertă'!$R$5:$R$1004,"Marjă*")&gt;0,"Are linii cu marjă sub minim. ","")&amp;IF(AND(S51="Expirată"),"Valabilitatea a expirat: reconfirmă prețurile. ","")))</f>
        <v/>
      </c>
    </row>
    <row r="52" spans="2:20" x14ac:dyDescent="0.2">
      <c r="B52" s="20"/>
      <c r="C52" s="21"/>
      <c r="D52" s="22"/>
      <c r="E52" s="22"/>
      <c r="F52" s="22"/>
      <c r="G52" s="20"/>
      <c r="H52" s="23" t="str">
        <f t="shared" si="0"/>
        <v/>
      </c>
      <c r="I52" s="22"/>
      <c r="J52" s="22"/>
      <c r="K52" s="24"/>
      <c r="L52" s="22"/>
      <c r="M52" s="22"/>
      <c r="N52" s="20"/>
      <c r="O52" s="21"/>
      <c r="P52" s="25" t="str">
        <f>IF(B52="","",SUMIF('Linii ofertă'!$B$5:$B$1004,B52,'Linii ofertă'!$J$5:$J$1004))</f>
        <v/>
      </c>
      <c r="Q52" s="25" t="str">
        <f>IF(B52="","",SUMIF('Linii ofertă'!$B$5:$B$1004,B52,'Linii ofertă'!$M$5:$M$1004))</f>
        <v/>
      </c>
      <c r="R52" s="26" t="str">
        <f>IF(OR(B52="",N(P52)=0),"",SUMIF('Linii ofertă'!$B$5:$B$1004,B52,'Linii ofertă'!$P$5:$P$1004)/P52)</f>
        <v/>
      </c>
      <c r="S52" s="27" t="str">
        <f t="shared" ca="1" si="1"/>
        <v/>
      </c>
      <c r="T52" s="28" t="str">
        <f>IF(B52="","",TRIM(IF(COUNTIF($B$5:$B$504,B52)&gt;1,"Număr dublat. ","")&amp;IF(N(P52)=0,"Oferta nu are linii. ","")&amp;IF(M52="","Completează ce NU include oferta. ","")&amp;IF(AND(ISNUMBER(R52),R52&lt;MarjaMin),"Marjă totală sub minim. ","")&amp;IF(COUNTIFS('Linii ofertă'!$B$5:$B$1004,B52,'Linii ofertă'!$R$5:$R$1004,"Marjă*")&gt;0,"Are linii cu marjă sub minim. ","")&amp;IF(AND(S52="Expirată"),"Valabilitatea a expirat: reconfirmă prețurile. ","")))</f>
        <v/>
      </c>
    </row>
    <row r="53" spans="2:20" x14ac:dyDescent="0.2">
      <c r="B53" s="20"/>
      <c r="C53" s="21"/>
      <c r="D53" s="22"/>
      <c r="E53" s="22"/>
      <c r="F53" s="22"/>
      <c r="G53" s="20"/>
      <c r="H53" s="23" t="str">
        <f t="shared" si="0"/>
        <v/>
      </c>
      <c r="I53" s="22"/>
      <c r="J53" s="22"/>
      <c r="K53" s="24"/>
      <c r="L53" s="22"/>
      <c r="M53" s="22"/>
      <c r="N53" s="20"/>
      <c r="O53" s="21"/>
      <c r="P53" s="25" t="str">
        <f>IF(B53="","",SUMIF('Linii ofertă'!$B$5:$B$1004,B53,'Linii ofertă'!$J$5:$J$1004))</f>
        <v/>
      </c>
      <c r="Q53" s="25" t="str">
        <f>IF(B53="","",SUMIF('Linii ofertă'!$B$5:$B$1004,B53,'Linii ofertă'!$M$5:$M$1004))</f>
        <v/>
      </c>
      <c r="R53" s="26" t="str">
        <f>IF(OR(B53="",N(P53)=0),"",SUMIF('Linii ofertă'!$B$5:$B$1004,B53,'Linii ofertă'!$P$5:$P$1004)/P53)</f>
        <v/>
      </c>
      <c r="S53" s="27" t="str">
        <f t="shared" ca="1" si="1"/>
        <v/>
      </c>
      <c r="T53" s="28" t="str">
        <f>IF(B53="","",TRIM(IF(COUNTIF($B$5:$B$504,B53)&gt;1,"Număr dublat. ","")&amp;IF(N(P53)=0,"Oferta nu are linii. ","")&amp;IF(M53="","Completează ce NU include oferta. ","")&amp;IF(AND(ISNUMBER(R53),R53&lt;MarjaMin),"Marjă totală sub minim. ","")&amp;IF(COUNTIFS('Linii ofertă'!$B$5:$B$1004,B53,'Linii ofertă'!$R$5:$R$1004,"Marjă*")&gt;0,"Are linii cu marjă sub minim. ","")&amp;IF(AND(S53="Expirată"),"Valabilitatea a expirat: reconfirmă prețurile. ","")))</f>
        <v/>
      </c>
    </row>
    <row r="54" spans="2:20" x14ac:dyDescent="0.2">
      <c r="B54" s="20"/>
      <c r="C54" s="21"/>
      <c r="D54" s="22"/>
      <c r="E54" s="22"/>
      <c r="F54" s="22"/>
      <c r="G54" s="20"/>
      <c r="H54" s="23" t="str">
        <f t="shared" si="0"/>
        <v/>
      </c>
      <c r="I54" s="22"/>
      <c r="J54" s="22"/>
      <c r="K54" s="24"/>
      <c r="L54" s="22"/>
      <c r="M54" s="22"/>
      <c r="N54" s="20"/>
      <c r="O54" s="21"/>
      <c r="P54" s="25" t="str">
        <f>IF(B54="","",SUMIF('Linii ofertă'!$B$5:$B$1004,B54,'Linii ofertă'!$J$5:$J$1004))</f>
        <v/>
      </c>
      <c r="Q54" s="25" t="str">
        <f>IF(B54="","",SUMIF('Linii ofertă'!$B$5:$B$1004,B54,'Linii ofertă'!$M$5:$M$1004))</f>
        <v/>
      </c>
      <c r="R54" s="26" t="str">
        <f>IF(OR(B54="",N(P54)=0),"",SUMIF('Linii ofertă'!$B$5:$B$1004,B54,'Linii ofertă'!$P$5:$P$1004)/P54)</f>
        <v/>
      </c>
      <c r="S54" s="27" t="str">
        <f t="shared" ca="1" si="1"/>
        <v/>
      </c>
      <c r="T54" s="28" t="str">
        <f>IF(B54="","",TRIM(IF(COUNTIF($B$5:$B$504,B54)&gt;1,"Număr dublat. ","")&amp;IF(N(P54)=0,"Oferta nu are linii. ","")&amp;IF(M54="","Completează ce NU include oferta. ","")&amp;IF(AND(ISNUMBER(R54),R54&lt;MarjaMin),"Marjă totală sub minim. ","")&amp;IF(COUNTIFS('Linii ofertă'!$B$5:$B$1004,B54,'Linii ofertă'!$R$5:$R$1004,"Marjă*")&gt;0,"Are linii cu marjă sub minim. ","")&amp;IF(AND(S54="Expirată"),"Valabilitatea a expirat: reconfirmă prețurile. ","")))</f>
        <v/>
      </c>
    </row>
    <row r="55" spans="2:20" x14ac:dyDescent="0.2">
      <c r="B55" s="20"/>
      <c r="C55" s="21"/>
      <c r="D55" s="22"/>
      <c r="E55" s="22"/>
      <c r="F55" s="22"/>
      <c r="G55" s="20"/>
      <c r="H55" s="23" t="str">
        <f t="shared" si="0"/>
        <v/>
      </c>
      <c r="I55" s="22"/>
      <c r="J55" s="22"/>
      <c r="K55" s="24"/>
      <c r="L55" s="22"/>
      <c r="M55" s="22"/>
      <c r="N55" s="20"/>
      <c r="O55" s="21"/>
      <c r="P55" s="25" t="str">
        <f>IF(B55="","",SUMIF('Linii ofertă'!$B$5:$B$1004,B55,'Linii ofertă'!$J$5:$J$1004))</f>
        <v/>
      </c>
      <c r="Q55" s="25" t="str">
        <f>IF(B55="","",SUMIF('Linii ofertă'!$B$5:$B$1004,B55,'Linii ofertă'!$M$5:$M$1004))</f>
        <v/>
      </c>
      <c r="R55" s="26" t="str">
        <f>IF(OR(B55="",N(P55)=0),"",SUMIF('Linii ofertă'!$B$5:$B$1004,B55,'Linii ofertă'!$P$5:$P$1004)/P55)</f>
        <v/>
      </c>
      <c r="S55" s="27" t="str">
        <f t="shared" ca="1" si="1"/>
        <v/>
      </c>
      <c r="T55" s="28" t="str">
        <f>IF(B55="","",TRIM(IF(COUNTIF($B$5:$B$504,B55)&gt;1,"Număr dublat. ","")&amp;IF(N(P55)=0,"Oferta nu are linii. ","")&amp;IF(M55="","Completează ce NU include oferta. ","")&amp;IF(AND(ISNUMBER(R55),R55&lt;MarjaMin),"Marjă totală sub minim. ","")&amp;IF(COUNTIFS('Linii ofertă'!$B$5:$B$1004,B55,'Linii ofertă'!$R$5:$R$1004,"Marjă*")&gt;0,"Are linii cu marjă sub minim. ","")&amp;IF(AND(S55="Expirată"),"Valabilitatea a expirat: reconfirmă prețurile. ","")))</f>
        <v/>
      </c>
    </row>
    <row r="56" spans="2:20" x14ac:dyDescent="0.2">
      <c r="B56" s="20"/>
      <c r="C56" s="21"/>
      <c r="D56" s="22"/>
      <c r="E56" s="22"/>
      <c r="F56" s="22"/>
      <c r="G56" s="20"/>
      <c r="H56" s="23" t="str">
        <f t="shared" si="0"/>
        <v/>
      </c>
      <c r="I56" s="22"/>
      <c r="J56" s="22"/>
      <c r="K56" s="24"/>
      <c r="L56" s="22"/>
      <c r="M56" s="22"/>
      <c r="N56" s="20"/>
      <c r="O56" s="21"/>
      <c r="P56" s="25" t="str">
        <f>IF(B56="","",SUMIF('Linii ofertă'!$B$5:$B$1004,B56,'Linii ofertă'!$J$5:$J$1004))</f>
        <v/>
      </c>
      <c r="Q56" s="25" t="str">
        <f>IF(B56="","",SUMIF('Linii ofertă'!$B$5:$B$1004,B56,'Linii ofertă'!$M$5:$M$1004))</f>
        <v/>
      </c>
      <c r="R56" s="26" t="str">
        <f>IF(OR(B56="",N(P56)=0),"",SUMIF('Linii ofertă'!$B$5:$B$1004,B56,'Linii ofertă'!$P$5:$P$1004)/P56)</f>
        <v/>
      </c>
      <c r="S56" s="27" t="str">
        <f t="shared" ca="1" si="1"/>
        <v/>
      </c>
      <c r="T56" s="28" t="str">
        <f>IF(B56="","",TRIM(IF(COUNTIF($B$5:$B$504,B56)&gt;1,"Număr dublat. ","")&amp;IF(N(P56)=0,"Oferta nu are linii. ","")&amp;IF(M56="","Completează ce NU include oferta. ","")&amp;IF(AND(ISNUMBER(R56),R56&lt;MarjaMin),"Marjă totală sub minim. ","")&amp;IF(COUNTIFS('Linii ofertă'!$B$5:$B$1004,B56,'Linii ofertă'!$R$5:$R$1004,"Marjă*")&gt;0,"Are linii cu marjă sub minim. ","")&amp;IF(AND(S56="Expirată"),"Valabilitatea a expirat: reconfirmă prețurile. ","")))</f>
        <v/>
      </c>
    </row>
    <row r="57" spans="2:20" x14ac:dyDescent="0.2">
      <c r="B57" s="20"/>
      <c r="C57" s="21"/>
      <c r="D57" s="22"/>
      <c r="E57" s="22"/>
      <c r="F57" s="22"/>
      <c r="G57" s="20"/>
      <c r="H57" s="23" t="str">
        <f t="shared" si="0"/>
        <v/>
      </c>
      <c r="I57" s="22"/>
      <c r="J57" s="22"/>
      <c r="K57" s="24"/>
      <c r="L57" s="22"/>
      <c r="M57" s="22"/>
      <c r="N57" s="20"/>
      <c r="O57" s="21"/>
      <c r="P57" s="25" t="str">
        <f>IF(B57="","",SUMIF('Linii ofertă'!$B$5:$B$1004,B57,'Linii ofertă'!$J$5:$J$1004))</f>
        <v/>
      </c>
      <c r="Q57" s="25" t="str">
        <f>IF(B57="","",SUMIF('Linii ofertă'!$B$5:$B$1004,B57,'Linii ofertă'!$M$5:$M$1004))</f>
        <v/>
      </c>
      <c r="R57" s="26" t="str">
        <f>IF(OR(B57="",N(P57)=0),"",SUMIF('Linii ofertă'!$B$5:$B$1004,B57,'Linii ofertă'!$P$5:$P$1004)/P57)</f>
        <v/>
      </c>
      <c r="S57" s="27" t="str">
        <f t="shared" ca="1" si="1"/>
        <v/>
      </c>
      <c r="T57" s="28" t="str">
        <f>IF(B57="","",TRIM(IF(COUNTIF($B$5:$B$504,B57)&gt;1,"Număr dublat. ","")&amp;IF(N(P57)=0,"Oferta nu are linii. ","")&amp;IF(M57="","Completează ce NU include oferta. ","")&amp;IF(AND(ISNUMBER(R57),R57&lt;MarjaMin),"Marjă totală sub minim. ","")&amp;IF(COUNTIFS('Linii ofertă'!$B$5:$B$1004,B57,'Linii ofertă'!$R$5:$R$1004,"Marjă*")&gt;0,"Are linii cu marjă sub minim. ","")&amp;IF(AND(S57="Expirată"),"Valabilitatea a expirat: reconfirmă prețurile. ","")))</f>
        <v/>
      </c>
    </row>
    <row r="58" spans="2:20" x14ac:dyDescent="0.2">
      <c r="B58" s="20"/>
      <c r="C58" s="21"/>
      <c r="D58" s="22"/>
      <c r="E58" s="22"/>
      <c r="F58" s="22"/>
      <c r="G58" s="20"/>
      <c r="H58" s="23" t="str">
        <f t="shared" si="0"/>
        <v/>
      </c>
      <c r="I58" s="22"/>
      <c r="J58" s="22"/>
      <c r="K58" s="24"/>
      <c r="L58" s="22"/>
      <c r="M58" s="22"/>
      <c r="N58" s="20"/>
      <c r="O58" s="21"/>
      <c r="P58" s="25" t="str">
        <f>IF(B58="","",SUMIF('Linii ofertă'!$B$5:$B$1004,B58,'Linii ofertă'!$J$5:$J$1004))</f>
        <v/>
      </c>
      <c r="Q58" s="25" t="str">
        <f>IF(B58="","",SUMIF('Linii ofertă'!$B$5:$B$1004,B58,'Linii ofertă'!$M$5:$M$1004))</f>
        <v/>
      </c>
      <c r="R58" s="26" t="str">
        <f>IF(OR(B58="",N(P58)=0),"",SUMIF('Linii ofertă'!$B$5:$B$1004,B58,'Linii ofertă'!$P$5:$P$1004)/P58)</f>
        <v/>
      </c>
      <c r="S58" s="27" t="str">
        <f t="shared" ca="1" si="1"/>
        <v/>
      </c>
      <c r="T58" s="28" t="str">
        <f>IF(B58="","",TRIM(IF(COUNTIF($B$5:$B$504,B58)&gt;1,"Număr dublat. ","")&amp;IF(N(P58)=0,"Oferta nu are linii. ","")&amp;IF(M58="","Completează ce NU include oferta. ","")&amp;IF(AND(ISNUMBER(R58),R58&lt;MarjaMin),"Marjă totală sub minim. ","")&amp;IF(COUNTIFS('Linii ofertă'!$B$5:$B$1004,B58,'Linii ofertă'!$R$5:$R$1004,"Marjă*")&gt;0,"Are linii cu marjă sub minim. ","")&amp;IF(AND(S58="Expirată"),"Valabilitatea a expirat: reconfirmă prețurile. ","")))</f>
        <v/>
      </c>
    </row>
    <row r="59" spans="2:20" x14ac:dyDescent="0.2">
      <c r="B59" s="20"/>
      <c r="C59" s="21"/>
      <c r="D59" s="22"/>
      <c r="E59" s="22"/>
      <c r="F59" s="22"/>
      <c r="G59" s="20"/>
      <c r="H59" s="23" t="str">
        <f t="shared" si="0"/>
        <v/>
      </c>
      <c r="I59" s="22"/>
      <c r="J59" s="22"/>
      <c r="K59" s="24"/>
      <c r="L59" s="22"/>
      <c r="M59" s="22"/>
      <c r="N59" s="20"/>
      <c r="O59" s="21"/>
      <c r="P59" s="25" t="str">
        <f>IF(B59="","",SUMIF('Linii ofertă'!$B$5:$B$1004,B59,'Linii ofertă'!$J$5:$J$1004))</f>
        <v/>
      </c>
      <c r="Q59" s="25" t="str">
        <f>IF(B59="","",SUMIF('Linii ofertă'!$B$5:$B$1004,B59,'Linii ofertă'!$M$5:$M$1004))</f>
        <v/>
      </c>
      <c r="R59" s="26" t="str">
        <f>IF(OR(B59="",N(P59)=0),"",SUMIF('Linii ofertă'!$B$5:$B$1004,B59,'Linii ofertă'!$P$5:$P$1004)/P59)</f>
        <v/>
      </c>
      <c r="S59" s="27" t="str">
        <f t="shared" ca="1" si="1"/>
        <v/>
      </c>
      <c r="T59" s="28" t="str">
        <f>IF(B59="","",TRIM(IF(COUNTIF($B$5:$B$504,B59)&gt;1,"Număr dublat. ","")&amp;IF(N(P59)=0,"Oferta nu are linii. ","")&amp;IF(M59="","Completează ce NU include oferta. ","")&amp;IF(AND(ISNUMBER(R59),R59&lt;MarjaMin),"Marjă totală sub minim. ","")&amp;IF(COUNTIFS('Linii ofertă'!$B$5:$B$1004,B59,'Linii ofertă'!$R$5:$R$1004,"Marjă*")&gt;0,"Are linii cu marjă sub minim. ","")&amp;IF(AND(S59="Expirată"),"Valabilitatea a expirat: reconfirmă prețurile. ","")))</f>
        <v/>
      </c>
    </row>
    <row r="60" spans="2:20" x14ac:dyDescent="0.2">
      <c r="B60" s="20"/>
      <c r="C60" s="21"/>
      <c r="D60" s="22"/>
      <c r="E60" s="22"/>
      <c r="F60" s="22"/>
      <c r="G60" s="20"/>
      <c r="H60" s="23" t="str">
        <f t="shared" si="0"/>
        <v/>
      </c>
      <c r="I60" s="22"/>
      <c r="J60" s="22"/>
      <c r="K60" s="24"/>
      <c r="L60" s="22"/>
      <c r="M60" s="22"/>
      <c r="N60" s="20"/>
      <c r="O60" s="21"/>
      <c r="P60" s="25" t="str">
        <f>IF(B60="","",SUMIF('Linii ofertă'!$B$5:$B$1004,B60,'Linii ofertă'!$J$5:$J$1004))</f>
        <v/>
      </c>
      <c r="Q60" s="25" t="str">
        <f>IF(B60="","",SUMIF('Linii ofertă'!$B$5:$B$1004,B60,'Linii ofertă'!$M$5:$M$1004))</f>
        <v/>
      </c>
      <c r="R60" s="26" t="str">
        <f>IF(OR(B60="",N(P60)=0),"",SUMIF('Linii ofertă'!$B$5:$B$1004,B60,'Linii ofertă'!$P$5:$P$1004)/P60)</f>
        <v/>
      </c>
      <c r="S60" s="27" t="str">
        <f t="shared" ca="1" si="1"/>
        <v/>
      </c>
      <c r="T60" s="28" t="str">
        <f>IF(B60="","",TRIM(IF(COUNTIF($B$5:$B$504,B60)&gt;1,"Număr dublat. ","")&amp;IF(N(P60)=0,"Oferta nu are linii. ","")&amp;IF(M60="","Completează ce NU include oferta. ","")&amp;IF(AND(ISNUMBER(R60),R60&lt;MarjaMin),"Marjă totală sub minim. ","")&amp;IF(COUNTIFS('Linii ofertă'!$B$5:$B$1004,B60,'Linii ofertă'!$R$5:$R$1004,"Marjă*")&gt;0,"Are linii cu marjă sub minim. ","")&amp;IF(AND(S60="Expirată"),"Valabilitatea a expirat: reconfirmă prețurile. ","")))</f>
        <v/>
      </c>
    </row>
    <row r="61" spans="2:20" x14ac:dyDescent="0.2">
      <c r="B61" s="20"/>
      <c r="C61" s="21"/>
      <c r="D61" s="22"/>
      <c r="E61" s="22"/>
      <c r="F61" s="22"/>
      <c r="G61" s="20"/>
      <c r="H61" s="23" t="str">
        <f t="shared" si="0"/>
        <v/>
      </c>
      <c r="I61" s="22"/>
      <c r="J61" s="22"/>
      <c r="K61" s="24"/>
      <c r="L61" s="22"/>
      <c r="M61" s="22"/>
      <c r="N61" s="20"/>
      <c r="O61" s="21"/>
      <c r="P61" s="25" t="str">
        <f>IF(B61="","",SUMIF('Linii ofertă'!$B$5:$B$1004,B61,'Linii ofertă'!$J$5:$J$1004))</f>
        <v/>
      </c>
      <c r="Q61" s="25" t="str">
        <f>IF(B61="","",SUMIF('Linii ofertă'!$B$5:$B$1004,B61,'Linii ofertă'!$M$5:$M$1004))</f>
        <v/>
      </c>
      <c r="R61" s="26" t="str">
        <f>IF(OR(B61="",N(P61)=0),"",SUMIF('Linii ofertă'!$B$5:$B$1004,B61,'Linii ofertă'!$P$5:$P$1004)/P61)</f>
        <v/>
      </c>
      <c r="S61" s="27" t="str">
        <f t="shared" ca="1" si="1"/>
        <v/>
      </c>
      <c r="T61" s="28" t="str">
        <f>IF(B61="","",TRIM(IF(COUNTIF($B$5:$B$504,B61)&gt;1,"Număr dublat. ","")&amp;IF(N(P61)=0,"Oferta nu are linii. ","")&amp;IF(M61="","Completează ce NU include oferta. ","")&amp;IF(AND(ISNUMBER(R61),R61&lt;MarjaMin),"Marjă totală sub minim. ","")&amp;IF(COUNTIFS('Linii ofertă'!$B$5:$B$1004,B61,'Linii ofertă'!$R$5:$R$1004,"Marjă*")&gt;0,"Are linii cu marjă sub minim. ","")&amp;IF(AND(S61="Expirată"),"Valabilitatea a expirat: reconfirmă prețurile. ","")))</f>
        <v/>
      </c>
    </row>
    <row r="62" spans="2:20" x14ac:dyDescent="0.2">
      <c r="B62" s="20"/>
      <c r="C62" s="21"/>
      <c r="D62" s="22"/>
      <c r="E62" s="22"/>
      <c r="F62" s="22"/>
      <c r="G62" s="20"/>
      <c r="H62" s="23" t="str">
        <f t="shared" si="0"/>
        <v/>
      </c>
      <c r="I62" s="22"/>
      <c r="J62" s="22"/>
      <c r="K62" s="24"/>
      <c r="L62" s="22"/>
      <c r="M62" s="22"/>
      <c r="N62" s="20"/>
      <c r="O62" s="21"/>
      <c r="P62" s="25" t="str">
        <f>IF(B62="","",SUMIF('Linii ofertă'!$B$5:$B$1004,B62,'Linii ofertă'!$J$5:$J$1004))</f>
        <v/>
      </c>
      <c r="Q62" s="25" t="str">
        <f>IF(B62="","",SUMIF('Linii ofertă'!$B$5:$B$1004,B62,'Linii ofertă'!$M$5:$M$1004))</f>
        <v/>
      </c>
      <c r="R62" s="26" t="str">
        <f>IF(OR(B62="",N(P62)=0),"",SUMIF('Linii ofertă'!$B$5:$B$1004,B62,'Linii ofertă'!$P$5:$P$1004)/P62)</f>
        <v/>
      </c>
      <c r="S62" s="27" t="str">
        <f t="shared" ca="1" si="1"/>
        <v/>
      </c>
      <c r="T62" s="28" t="str">
        <f>IF(B62="","",TRIM(IF(COUNTIF($B$5:$B$504,B62)&gt;1,"Număr dublat. ","")&amp;IF(N(P62)=0,"Oferta nu are linii. ","")&amp;IF(M62="","Completează ce NU include oferta. ","")&amp;IF(AND(ISNUMBER(R62),R62&lt;MarjaMin),"Marjă totală sub minim. ","")&amp;IF(COUNTIFS('Linii ofertă'!$B$5:$B$1004,B62,'Linii ofertă'!$R$5:$R$1004,"Marjă*")&gt;0,"Are linii cu marjă sub minim. ","")&amp;IF(AND(S62="Expirată"),"Valabilitatea a expirat: reconfirmă prețurile. ","")))</f>
        <v/>
      </c>
    </row>
    <row r="63" spans="2:20" x14ac:dyDescent="0.2">
      <c r="B63" s="20"/>
      <c r="C63" s="21"/>
      <c r="D63" s="22"/>
      <c r="E63" s="22"/>
      <c r="F63" s="22"/>
      <c r="G63" s="20"/>
      <c r="H63" s="23" t="str">
        <f t="shared" si="0"/>
        <v/>
      </c>
      <c r="I63" s="22"/>
      <c r="J63" s="22"/>
      <c r="K63" s="24"/>
      <c r="L63" s="22"/>
      <c r="M63" s="22"/>
      <c r="N63" s="20"/>
      <c r="O63" s="21"/>
      <c r="P63" s="25" t="str">
        <f>IF(B63="","",SUMIF('Linii ofertă'!$B$5:$B$1004,B63,'Linii ofertă'!$J$5:$J$1004))</f>
        <v/>
      </c>
      <c r="Q63" s="25" t="str">
        <f>IF(B63="","",SUMIF('Linii ofertă'!$B$5:$B$1004,B63,'Linii ofertă'!$M$5:$M$1004))</f>
        <v/>
      </c>
      <c r="R63" s="26" t="str">
        <f>IF(OR(B63="",N(P63)=0),"",SUMIF('Linii ofertă'!$B$5:$B$1004,B63,'Linii ofertă'!$P$5:$P$1004)/P63)</f>
        <v/>
      </c>
      <c r="S63" s="27" t="str">
        <f t="shared" ca="1" si="1"/>
        <v/>
      </c>
      <c r="T63" s="28" t="str">
        <f>IF(B63="","",TRIM(IF(COUNTIF($B$5:$B$504,B63)&gt;1,"Număr dublat. ","")&amp;IF(N(P63)=0,"Oferta nu are linii. ","")&amp;IF(M63="","Completează ce NU include oferta. ","")&amp;IF(AND(ISNUMBER(R63),R63&lt;MarjaMin),"Marjă totală sub minim. ","")&amp;IF(COUNTIFS('Linii ofertă'!$B$5:$B$1004,B63,'Linii ofertă'!$R$5:$R$1004,"Marjă*")&gt;0,"Are linii cu marjă sub minim. ","")&amp;IF(AND(S63="Expirată"),"Valabilitatea a expirat: reconfirmă prețurile. ","")))</f>
        <v/>
      </c>
    </row>
    <row r="64" spans="2:20" x14ac:dyDescent="0.2">
      <c r="B64" s="20"/>
      <c r="C64" s="21"/>
      <c r="D64" s="22"/>
      <c r="E64" s="22"/>
      <c r="F64" s="22"/>
      <c r="G64" s="20"/>
      <c r="H64" s="23" t="str">
        <f t="shared" si="0"/>
        <v/>
      </c>
      <c r="I64" s="22"/>
      <c r="J64" s="22"/>
      <c r="K64" s="24"/>
      <c r="L64" s="22"/>
      <c r="M64" s="22"/>
      <c r="N64" s="20"/>
      <c r="O64" s="21"/>
      <c r="P64" s="25" t="str">
        <f>IF(B64="","",SUMIF('Linii ofertă'!$B$5:$B$1004,B64,'Linii ofertă'!$J$5:$J$1004))</f>
        <v/>
      </c>
      <c r="Q64" s="25" t="str">
        <f>IF(B64="","",SUMIF('Linii ofertă'!$B$5:$B$1004,B64,'Linii ofertă'!$M$5:$M$1004))</f>
        <v/>
      </c>
      <c r="R64" s="26" t="str">
        <f>IF(OR(B64="",N(P64)=0),"",SUMIF('Linii ofertă'!$B$5:$B$1004,B64,'Linii ofertă'!$P$5:$P$1004)/P64)</f>
        <v/>
      </c>
      <c r="S64" s="27" t="str">
        <f t="shared" ca="1" si="1"/>
        <v/>
      </c>
      <c r="T64" s="28" t="str">
        <f>IF(B64="","",TRIM(IF(COUNTIF($B$5:$B$504,B64)&gt;1,"Număr dublat. ","")&amp;IF(N(P64)=0,"Oferta nu are linii. ","")&amp;IF(M64="","Completează ce NU include oferta. ","")&amp;IF(AND(ISNUMBER(R64),R64&lt;MarjaMin),"Marjă totală sub minim. ","")&amp;IF(COUNTIFS('Linii ofertă'!$B$5:$B$1004,B64,'Linii ofertă'!$R$5:$R$1004,"Marjă*")&gt;0,"Are linii cu marjă sub minim. ","")&amp;IF(AND(S64="Expirată"),"Valabilitatea a expirat: reconfirmă prețurile. ","")))</f>
        <v/>
      </c>
    </row>
    <row r="65" spans="2:20" x14ac:dyDescent="0.2">
      <c r="B65" s="20"/>
      <c r="C65" s="21"/>
      <c r="D65" s="22"/>
      <c r="E65" s="22"/>
      <c r="F65" s="22"/>
      <c r="G65" s="20"/>
      <c r="H65" s="23" t="str">
        <f t="shared" si="0"/>
        <v/>
      </c>
      <c r="I65" s="22"/>
      <c r="J65" s="22"/>
      <c r="K65" s="24"/>
      <c r="L65" s="22"/>
      <c r="M65" s="22"/>
      <c r="N65" s="20"/>
      <c r="O65" s="21"/>
      <c r="P65" s="25" t="str">
        <f>IF(B65="","",SUMIF('Linii ofertă'!$B$5:$B$1004,B65,'Linii ofertă'!$J$5:$J$1004))</f>
        <v/>
      </c>
      <c r="Q65" s="25" t="str">
        <f>IF(B65="","",SUMIF('Linii ofertă'!$B$5:$B$1004,B65,'Linii ofertă'!$M$5:$M$1004))</f>
        <v/>
      </c>
      <c r="R65" s="26" t="str">
        <f>IF(OR(B65="",N(P65)=0),"",SUMIF('Linii ofertă'!$B$5:$B$1004,B65,'Linii ofertă'!$P$5:$P$1004)/P65)</f>
        <v/>
      </c>
      <c r="S65" s="27" t="str">
        <f t="shared" ca="1" si="1"/>
        <v/>
      </c>
      <c r="T65" s="28" t="str">
        <f>IF(B65="","",TRIM(IF(COUNTIF($B$5:$B$504,B65)&gt;1,"Număr dublat. ","")&amp;IF(N(P65)=0,"Oferta nu are linii. ","")&amp;IF(M65="","Completează ce NU include oferta. ","")&amp;IF(AND(ISNUMBER(R65),R65&lt;MarjaMin),"Marjă totală sub minim. ","")&amp;IF(COUNTIFS('Linii ofertă'!$B$5:$B$1004,B65,'Linii ofertă'!$R$5:$R$1004,"Marjă*")&gt;0,"Are linii cu marjă sub minim. ","")&amp;IF(AND(S65="Expirată"),"Valabilitatea a expirat: reconfirmă prețurile. ","")))</f>
        <v/>
      </c>
    </row>
    <row r="66" spans="2:20" x14ac:dyDescent="0.2">
      <c r="B66" s="20"/>
      <c r="C66" s="21"/>
      <c r="D66" s="22"/>
      <c r="E66" s="22"/>
      <c r="F66" s="22"/>
      <c r="G66" s="20"/>
      <c r="H66" s="23" t="str">
        <f t="shared" si="0"/>
        <v/>
      </c>
      <c r="I66" s="22"/>
      <c r="J66" s="22"/>
      <c r="K66" s="24"/>
      <c r="L66" s="22"/>
      <c r="M66" s="22"/>
      <c r="N66" s="20"/>
      <c r="O66" s="21"/>
      <c r="P66" s="25" t="str">
        <f>IF(B66="","",SUMIF('Linii ofertă'!$B$5:$B$1004,B66,'Linii ofertă'!$J$5:$J$1004))</f>
        <v/>
      </c>
      <c r="Q66" s="25" t="str">
        <f>IF(B66="","",SUMIF('Linii ofertă'!$B$5:$B$1004,B66,'Linii ofertă'!$M$5:$M$1004))</f>
        <v/>
      </c>
      <c r="R66" s="26" t="str">
        <f>IF(OR(B66="",N(P66)=0),"",SUMIF('Linii ofertă'!$B$5:$B$1004,B66,'Linii ofertă'!$P$5:$P$1004)/P66)</f>
        <v/>
      </c>
      <c r="S66" s="27" t="str">
        <f t="shared" ca="1" si="1"/>
        <v/>
      </c>
      <c r="T66" s="28" t="str">
        <f>IF(B66="","",TRIM(IF(COUNTIF($B$5:$B$504,B66)&gt;1,"Număr dublat. ","")&amp;IF(N(P66)=0,"Oferta nu are linii. ","")&amp;IF(M66="","Completează ce NU include oferta. ","")&amp;IF(AND(ISNUMBER(R66),R66&lt;MarjaMin),"Marjă totală sub minim. ","")&amp;IF(COUNTIFS('Linii ofertă'!$B$5:$B$1004,B66,'Linii ofertă'!$R$5:$R$1004,"Marjă*")&gt;0,"Are linii cu marjă sub minim. ","")&amp;IF(AND(S66="Expirată"),"Valabilitatea a expirat: reconfirmă prețurile. ","")))</f>
        <v/>
      </c>
    </row>
    <row r="67" spans="2:20" x14ac:dyDescent="0.2">
      <c r="B67" s="20"/>
      <c r="C67" s="21"/>
      <c r="D67" s="22"/>
      <c r="E67" s="22"/>
      <c r="F67" s="22"/>
      <c r="G67" s="20"/>
      <c r="H67" s="23" t="str">
        <f t="shared" si="0"/>
        <v/>
      </c>
      <c r="I67" s="22"/>
      <c r="J67" s="22"/>
      <c r="K67" s="24"/>
      <c r="L67" s="22"/>
      <c r="M67" s="22"/>
      <c r="N67" s="20"/>
      <c r="O67" s="21"/>
      <c r="P67" s="25" t="str">
        <f>IF(B67="","",SUMIF('Linii ofertă'!$B$5:$B$1004,B67,'Linii ofertă'!$J$5:$J$1004))</f>
        <v/>
      </c>
      <c r="Q67" s="25" t="str">
        <f>IF(B67="","",SUMIF('Linii ofertă'!$B$5:$B$1004,B67,'Linii ofertă'!$M$5:$M$1004))</f>
        <v/>
      </c>
      <c r="R67" s="26" t="str">
        <f>IF(OR(B67="",N(P67)=0),"",SUMIF('Linii ofertă'!$B$5:$B$1004,B67,'Linii ofertă'!$P$5:$P$1004)/P67)</f>
        <v/>
      </c>
      <c r="S67" s="27" t="str">
        <f t="shared" ca="1" si="1"/>
        <v/>
      </c>
      <c r="T67" s="28" t="str">
        <f>IF(B67="","",TRIM(IF(COUNTIF($B$5:$B$504,B67)&gt;1,"Număr dublat. ","")&amp;IF(N(P67)=0,"Oferta nu are linii. ","")&amp;IF(M67="","Completează ce NU include oferta. ","")&amp;IF(AND(ISNUMBER(R67),R67&lt;MarjaMin),"Marjă totală sub minim. ","")&amp;IF(COUNTIFS('Linii ofertă'!$B$5:$B$1004,B67,'Linii ofertă'!$R$5:$R$1004,"Marjă*")&gt;0,"Are linii cu marjă sub minim. ","")&amp;IF(AND(S67="Expirată"),"Valabilitatea a expirat: reconfirmă prețurile. ","")))</f>
        <v/>
      </c>
    </row>
    <row r="68" spans="2:20" x14ac:dyDescent="0.2">
      <c r="B68" s="20"/>
      <c r="C68" s="21"/>
      <c r="D68" s="22"/>
      <c r="E68" s="22"/>
      <c r="F68" s="22"/>
      <c r="G68" s="20"/>
      <c r="H68" s="23" t="str">
        <f t="shared" si="0"/>
        <v/>
      </c>
      <c r="I68" s="22"/>
      <c r="J68" s="22"/>
      <c r="K68" s="24"/>
      <c r="L68" s="22"/>
      <c r="M68" s="22"/>
      <c r="N68" s="20"/>
      <c r="O68" s="21"/>
      <c r="P68" s="25" t="str">
        <f>IF(B68="","",SUMIF('Linii ofertă'!$B$5:$B$1004,B68,'Linii ofertă'!$J$5:$J$1004))</f>
        <v/>
      </c>
      <c r="Q68" s="25" t="str">
        <f>IF(B68="","",SUMIF('Linii ofertă'!$B$5:$B$1004,B68,'Linii ofertă'!$M$5:$M$1004))</f>
        <v/>
      </c>
      <c r="R68" s="26" t="str">
        <f>IF(OR(B68="",N(P68)=0),"",SUMIF('Linii ofertă'!$B$5:$B$1004,B68,'Linii ofertă'!$P$5:$P$1004)/P68)</f>
        <v/>
      </c>
      <c r="S68" s="27" t="str">
        <f t="shared" ca="1" si="1"/>
        <v/>
      </c>
      <c r="T68" s="28" t="str">
        <f>IF(B68="","",TRIM(IF(COUNTIF($B$5:$B$504,B68)&gt;1,"Număr dublat. ","")&amp;IF(N(P68)=0,"Oferta nu are linii. ","")&amp;IF(M68="","Completează ce NU include oferta. ","")&amp;IF(AND(ISNUMBER(R68),R68&lt;MarjaMin),"Marjă totală sub minim. ","")&amp;IF(COUNTIFS('Linii ofertă'!$B$5:$B$1004,B68,'Linii ofertă'!$R$5:$R$1004,"Marjă*")&gt;0,"Are linii cu marjă sub minim. ","")&amp;IF(AND(S68="Expirată"),"Valabilitatea a expirat: reconfirmă prețurile. ","")))</f>
        <v/>
      </c>
    </row>
    <row r="69" spans="2:20" x14ac:dyDescent="0.2">
      <c r="B69" s="20"/>
      <c r="C69" s="21"/>
      <c r="D69" s="22"/>
      <c r="E69" s="22"/>
      <c r="F69" s="22"/>
      <c r="G69" s="20"/>
      <c r="H69" s="23" t="str">
        <f t="shared" ref="H69:H132" si="2">IF(OR(B69="",C69=""),"",C69+IF(G69="",ValImpl,G69))</f>
        <v/>
      </c>
      <c r="I69" s="22"/>
      <c r="J69" s="22"/>
      <c r="K69" s="24"/>
      <c r="L69" s="22"/>
      <c r="M69" s="22"/>
      <c r="N69" s="20"/>
      <c r="O69" s="21"/>
      <c r="P69" s="25" t="str">
        <f>IF(B69="","",SUMIF('Linii ofertă'!$B$5:$B$1004,B69,'Linii ofertă'!$J$5:$J$1004))</f>
        <v/>
      </c>
      <c r="Q69" s="25" t="str">
        <f>IF(B69="","",SUMIF('Linii ofertă'!$B$5:$B$1004,B69,'Linii ofertă'!$M$5:$M$1004))</f>
        <v/>
      </c>
      <c r="R69" s="26" t="str">
        <f>IF(OR(B69="",N(P69)=0),"",SUMIF('Linii ofertă'!$B$5:$B$1004,B69,'Linii ofertă'!$P$5:$P$1004)/P69)</f>
        <v/>
      </c>
      <c r="S69" s="27" t="str">
        <f t="shared" ref="S69:S132" ca="1" si="3">IF(B69="","",IF(AND(OR(N69="Trimisă",N69="În lucru"),ISNUMBER(H69),TODAY()&gt;H69),"Expirată",IF(N69="","În lucru",N69)))</f>
        <v/>
      </c>
      <c r="T69" s="28" t="str">
        <f>IF(B69="","",TRIM(IF(COUNTIF($B$5:$B$504,B69)&gt;1,"Număr dublat. ","")&amp;IF(N(P69)=0,"Oferta nu are linii. ","")&amp;IF(M69="","Completează ce NU include oferta. ","")&amp;IF(AND(ISNUMBER(R69),R69&lt;MarjaMin),"Marjă totală sub minim. ","")&amp;IF(COUNTIFS('Linii ofertă'!$B$5:$B$1004,B69,'Linii ofertă'!$R$5:$R$1004,"Marjă*")&gt;0,"Are linii cu marjă sub minim. ","")&amp;IF(AND(S69="Expirată"),"Valabilitatea a expirat: reconfirmă prețurile. ","")))</f>
        <v/>
      </c>
    </row>
    <row r="70" spans="2:20" x14ac:dyDescent="0.2">
      <c r="B70" s="20"/>
      <c r="C70" s="21"/>
      <c r="D70" s="22"/>
      <c r="E70" s="22"/>
      <c r="F70" s="22"/>
      <c r="G70" s="20"/>
      <c r="H70" s="23" t="str">
        <f t="shared" si="2"/>
        <v/>
      </c>
      <c r="I70" s="22"/>
      <c r="J70" s="22"/>
      <c r="K70" s="24"/>
      <c r="L70" s="22"/>
      <c r="M70" s="22"/>
      <c r="N70" s="20"/>
      <c r="O70" s="21"/>
      <c r="P70" s="25" t="str">
        <f>IF(B70="","",SUMIF('Linii ofertă'!$B$5:$B$1004,B70,'Linii ofertă'!$J$5:$J$1004))</f>
        <v/>
      </c>
      <c r="Q70" s="25" t="str">
        <f>IF(B70="","",SUMIF('Linii ofertă'!$B$5:$B$1004,B70,'Linii ofertă'!$M$5:$M$1004))</f>
        <v/>
      </c>
      <c r="R70" s="26" t="str">
        <f>IF(OR(B70="",N(P70)=0),"",SUMIF('Linii ofertă'!$B$5:$B$1004,B70,'Linii ofertă'!$P$5:$P$1004)/P70)</f>
        <v/>
      </c>
      <c r="S70" s="27" t="str">
        <f t="shared" ca="1" si="3"/>
        <v/>
      </c>
      <c r="T70" s="28" t="str">
        <f>IF(B70="","",TRIM(IF(COUNTIF($B$5:$B$504,B70)&gt;1,"Număr dublat. ","")&amp;IF(N(P70)=0,"Oferta nu are linii. ","")&amp;IF(M70="","Completează ce NU include oferta. ","")&amp;IF(AND(ISNUMBER(R70),R70&lt;MarjaMin),"Marjă totală sub minim. ","")&amp;IF(COUNTIFS('Linii ofertă'!$B$5:$B$1004,B70,'Linii ofertă'!$R$5:$R$1004,"Marjă*")&gt;0,"Are linii cu marjă sub minim. ","")&amp;IF(AND(S70="Expirată"),"Valabilitatea a expirat: reconfirmă prețurile. ","")))</f>
        <v/>
      </c>
    </row>
    <row r="71" spans="2:20" x14ac:dyDescent="0.2">
      <c r="B71" s="20"/>
      <c r="C71" s="21"/>
      <c r="D71" s="22"/>
      <c r="E71" s="22"/>
      <c r="F71" s="22"/>
      <c r="G71" s="20"/>
      <c r="H71" s="23" t="str">
        <f t="shared" si="2"/>
        <v/>
      </c>
      <c r="I71" s="22"/>
      <c r="J71" s="22"/>
      <c r="K71" s="24"/>
      <c r="L71" s="22"/>
      <c r="M71" s="22"/>
      <c r="N71" s="20"/>
      <c r="O71" s="21"/>
      <c r="P71" s="25" t="str">
        <f>IF(B71="","",SUMIF('Linii ofertă'!$B$5:$B$1004,B71,'Linii ofertă'!$J$5:$J$1004))</f>
        <v/>
      </c>
      <c r="Q71" s="25" t="str">
        <f>IF(B71="","",SUMIF('Linii ofertă'!$B$5:$B$1004,B71,'Linii ofertă'!$M$5:$M$1004))</f>
        <v/>
      </c>
      <c r="R71" s="26" t="str">
        <f>IF(OR(B71="",N(P71)=0),"",SUMIF('Linii ofertă'!$B$5:$B$1004,B71,'Linii ofertă'!$P$5:$P$1004)/P71)</f>
        <v/>
      </c>
      <c r="S71" s="27" t="str">
        <f t="shared" ca="1" si="3"/>
        <v/>
      </c>
      <c r="T71" s="28" t="str">
        <f>IF(B71="","",TRIM(IF(COUNTIF($B$5:$B$504,B71)&gt;1,"Număr dublat. ","")&amp;IF(N(P71)=0,"Oferta nu are linii. ","")&amp;IF(M71="","Completează ce NU include oferta. ","")&amp;IF(AND(ISNUMBER(R71),R71&lt;MarjaMin),"Marjă totală sub minim. ","")&amp;IF(COUNTIFS('Linii ofertă'!$B$5:$B$1004,B71,'Linii ofertă'!$R$5:$R$1004,"Marjă*")&gt;0,"Are linii cu marjă sub minim. ","")&amp;IF(AND(S71="Expirată"),"Valabilitatea a expirat: reconfirmă prețurile. ","")))</f>
        <v/>
      </c>
    </row>
    <row r="72" spans="2:20" x14ac:dyDescent="0.2">
      <c r="B72" s="20"/>
      <c r="C72" s="21"/>
      <c r="D72" s="22"/>
      <c r="E72" s="22"/>
      <c r="F72" s="22"/>
      <c r="G72" s="20"/>
      <c r="H72" s="23" t="str">
        <f t="shared" si="2"/>
        <v/>
      </c>
      <c r="I72" s="22"/>
      <c r="J72" s="22"/>
      <c r="K72" s="24"/>
      <c r="L72" s="22"/>
      <c r="M72" s="22"/>
      <c r="N72" s="20"/>
      <c r="O72" s="21"/>
      <c r="P72" s="25" t="str">
        <f>IF(B72="","",SUMIF('Linii ofertă'!$B$5:$B$1004,B72,'Linii ofertă'!$J$5:$J$1004))</f>
        <v/>
      </c>
      <c r="Q72" s="25" t="str">
        <f>IF(B72="","",SUMIF('Linii ofertă'!$B$5:$B$1004,B72,'Linii ofertă'!$M$5:$M$1004))</f>
        <v/>
      </c>
      <c r="R72" s="26" t="str">
        <f>IF(OR(B72="",N(P72)=0),"",SUMIF('Linii ofertă'!$B$5:$B$1004,B72,'Linii ofertă'!$P$5:$P$1004)/P72)</f>
        <v/>
      </c>
      <c r="S72" s="27" t="str">
        <f t="shared" ca="1" si="3"/>
        <v/>
      </c>
      <c r="T72" s="28" t="str">
        <f>IF(B72="","",TRIM(IF(COUNTIF($B$5:$B$504,B72)&gt;1,"Număr dublat. ","")&amp;IF(N(P72)=0,"Oferta nu are linii. ","")&amp;IF(M72="","Completează ce NU include oferta. ","")&amp;IF(AND(ISNUMBER(R72),R72&lt;MarjaMin),"Marjă totală sub minim. ","")&amp;IF(COUNTIFS('Linii ofertă'!$B$5:$B$1004,B72,'Linii ofertă'!$R$5:$R$1004,"Marjă*")&gt;0,"Are linii cu marjă sub minim. ","")&amp;IF(AND(S72="Expirată"),"Valabilitatea a expirat: reconfirmă prețurile. ","")))</f>
        <v/>
      </c>
    </row>
    <row r="73" spans="2:20" x14ac:dyDescent="0.2">
      <c r="B73" s="20"/>
      <c r="C73" s="21"/>
      <c r="D73" s="22"/>
      <c r="E73" s="22"/>
      <c r="F73" s="22"/>
      <c r="G73" s="20"/>
      <c r="H73" s="23" t="str">
        <f t="shared" si="2"/>
        <v/>
      </c>
      <c r="I73" s="22"/>
      <c r="J73" s="22"/>
      <c r="K73" s="24"/>
      <c r="L73" s="22"/>
      <c r="M73" s="22"/>
      <c r="N73" s="20"/>
      <c r="O73" s="21"/>
      <c r="P73" s="25" t="str">
        <f>IF(B73="","",SUMIF('Linii ofertă'!$B$5:$B$1004,B73,'Linii ofertă'!$J$5:$J$1004))</f>
        <v/>
      </c>
      <c r="Q73" s="25" t="str">
        <f>IF(B73="","",SUMIF('Linii ofertă'!$B$5:$B$1004,B73,'Linii ofertă'!$M$5:$M$1004))</f>
        <v/>
      </c>
      <c r="R73" s="26" t="str">
        <f>IF(OR(B73="",N(P73)=0),"",SUMIF('Linii ofertă'!$B$5:$B$1004,B73,'Linii ofertă'!$P$5:$P$1004)/P73)</f>
        <v/>
      </c>
      <c r="S73" s="27" t="str">
        <f t="shared" ca="1" si="3"/>
        <v/>
      </c>
      <c r="T73" s="28" t="str">
        <f>IF(B73="","",TRIM(IF(COUNTIF($B$5:$B$504,B73)&gt;1,"Număr dublat. ","")&amp;IF(N(P73)=0,"Oferta nu are linii. ","")&amp;IF(M73="","Completează ce NU include oferta. ","")&amp;IF(AND(ISNUMBER(R73),R73&lt;MarjaMin),"Marjă totală sub minim. ","")&amp;IF(COUNTIFS('Linii ofertă'!$B$5:$B$1004,B73,'Linii ofertă'!$R$5:$R$1004,"Marjă*")&gt;0,"Are linii cu marjă sub minim. ","")&amp;IF(AND(S73="Expirată"),"Valabilitatea a expirat: reconfirmă prețurile. ","")))</f>
        <v/>
      </c>
    </row>
    <row r="74" spans="2:20" x14ac:dyDescent="0.2">
      <c r="B74" s="20"/>
      <c r="C74" s="21"/>
      <c r="D74" s="22"/>
      <c r="E74" s="22"/>
      <c r="F74" s="22"/>
      <c r="G74" s="20"/>
      <c r="H74" s="23" t="str">
        <f t="shared" si="2"/>
        <v/>
      </c>
      <c r="I74" s="22"/>
      <c r="J74" s="22"/>
      <c r="K74" s="24"/>
      <c r="L74" s="22"/>
      <c r="M74" s="22"/>
      <c r="N74" s="20"/>
      <c r="O74" s="21"/>
      <c r="P74" s="25" t="str">
        <f>IF(B74="","",SUMIF('Linii ofertă'!$B$5:$B$1004,B74,'Linii ofertă'!$J$5:$J$1004))</f>
        <v/>
      </c>
      <c r="Q74" s="25" t="str">
        <f>IF(B74="","",SUMIF('Linii ofertă'!$B$5:$B$1004,B74,'Linii ofertă'!$M$5:$M$1004))</f>
        <v/>
      </c>
      <c r="R74" s="26" t="str">
        <f>IF(OR(B74="",N(P74)=0),"",SUMIF('Linii ofertă'!$B$5:$B$1004,B74,'Linii ofertă'!$P$5:$P$1004)/P74)</f>
        <v/>
      </c>
      <c r="S74" s="27" t="str">
        <f t="shared" ca="1" si="3"/>
        <v/>
      </c>
      <c r="T74" s="28" t="str">
        <f>IF(B74="","",TRIM(IF(COUNTIF($B$5:$B$504,B74)&gt;1,"Număr dublat. ","")&amp;IF(N(P74)=0,"Oferta nu are linii. ","")&amp;IF(M74="","Completează ce NU include oferta. ","")&amp;IF(AND(ISNUMBER(R74),R74&lt;MarjaMin),"Marjă totală sub minim. ","")&amp;IF(COUNTIFS('Linii ofertă'!$B$5:$B$1004,B74,'Linii ofertă'!$R$5:$R$1004,"Marjă*")&gt;0,"Are linii cu marjă sub minim. ","")&amp;IF(AND(S74="Expirată"),"Valabilitatea a expirat: reconfirmă prețurile. ","")))</f>
        <v/>
      </c>
    </row>
    <row r="75" spans="2:20" x14ac:dyDescent="0.2">
      <c r="B75" s="20"/>
      <c r="C75" s="21"/>
      <c r="D75" s="22"/>
      <c r="E75" s="22"/>
      <c r="F75" s="22"/>
      <c r="G75" s="20"/>
      <c r="H75" s="23" t="str">
        <f t="shared" si="2"/>
        <v/>
      </c>
      <c r="I75" s="22"/>
      <c r="J75" s="22"/>
      <c r="K75" s="24"/>
      <c r="L75" s="22"/>
      <c r="M75" s="22"/>
      <c r="N75" s="20"/>
      <c r="O75" s="21"/>
      <c r="P75" s="25" t="str">
        <f>IF(B75="","",SUMIF('Linii ofertă'!$B$5:$B$1004,B75,'Linii ofertă'!$J$5:$J$1004))</f>
        <v/>
      </c>
      <c r="Q75" s="25" t="str">
        <f>IF(B75="","",SUMIF('Linii ofertă'!$B$5:$B$1004,B75,'Linii ofertă'!$M$5:$M$1004))</f>
        <v/>
      </c>
      <c r="R75" s="26" t="str">
        <f>IF(OR(B75="",N(P75)=0),"",SUMIF('Linii ofertă'!$B$5:$B$1004,B75,'Linii ofertă'!$P$5:$P$1004)/P75)</f>
        <v/>
      </c>
      <c r="S75" s="27" t="str">
        <f t="shared" ca="1" si="3"/>
        <v/>
      </c>
      <c r="T75" s="28" t="str">
        <f>IF(B75="","",TRIM(IF(COUNTIF($B$5:$B$504,B75)&gt;1,"Număr dublat. ","")&amp;IF(N(P75)=0,"Oferta nu are linii. ","")&amp;IF(M75="","Completează ce NU include oferta. ","")&amp;IF(AND(ISNUMBER(R75),R75&lt;MarjaMin),"Marjă totală sub minim. ","")&amp;IF(COUNTIFS('Linii ofertă'!$B$5:$B$1004,B75,'Linii ofertă'!$R$5:$R$1004,"Marjă*")&gt;0,"Are linii cu marjă sub minim. ","")&amp;IF(AND(S75="Expirată"),"Valabilitatea a expirat: reconfirmă prețurile. ","")))</f>
        <v/>
      </c>
    </row>
    <row r="76" spans="2:20" x14ac:dyDescent="0.2">
      <c r="B76" s="20"/>
      <c r="C76" s="21"/>
      <c r="D76" s="22"/>
      <c r="E76" s="22"/>
      <c r="F76" s="22"/>
      <c r="G76" s="20"/>
      <c r="H76" s="23" t="str">
        <f t="shared" si="2"/>
        <v/>
      </c>
      <c r="I76" s="22"/>
      <c r="J76" s="22"/>
      <c r="K76" s="24"/>
      <c r="L76" s="22"/>
      <c r="M76" s="22"/>
      <c r="N76" s="20"/>
      <c r="O76" s="21"/>
      <c r="P76" s="25" t="str">
        <f>IF(B76="","",SUMIF('Linii ofertă'!$B$5:$B$1004,B76,'Linii ofertă'!$J$5:$J$1004))</f>
        <v/>
      </c>
      <c r="Q76" s="25" t="str">
        <f>IF(B76="","",SUMIF('Linii ofertă'!$B$5:$B$1004,B76,'Linii ofertă'!$M$5:$M$1004))</f>
        <v/>
      </c>
      <c r="R76" s="26" t="str">
        <f>IF(OR(B76="",N(P76)=0),"",SUMIF('Linii ofertă'!$B$5:$B$1004,B76,'Linii ofertă'!$P$5:$P$1004)/P76)</f>
        <v/>
      </c>
      <c r="S76" s="27" t="str">
        <f t="shared" ca="1" si="3"/>
        <v/>
      </c>
      <c r="T76" s="28" t="str">
        <f>IF(B76="","",TRIM(IF(COUNTIF($B$5:$B$504,B76)&gt;1,"Număr dublat. ","")&amp;IF(N(P76)=0,"Oferta nu are linii. ","")&amp;IF(M76="","Completează ce NU include oferta. ","")&amp;IF(AND(ISNUMBER(R76),R76&lt;MarjaMin),"Marjă totală sub minim. ","")&amp;IF(COUNTIFS('Linii ofertă'!$B$5:$B$1004,B76,'Linii ofertă'!$R$5:$R$1004,"Marjă*")&gt;0,"Are linii cu marjă sub minim. ","")&amp;IF(AND(S76="Expirată"),"Valabilitatea a expirat: reconfirmă prețurile. ","")))</f>
        <v/>
      </c>
    </row>
    <row r="77" spans="2:20" x14ac:dyDescent="0.2">
      <c r="B77" s="20"/>
      <c r="C77" s="21"/>
      <c r="D77" s="22"/>
      <c r="E77" s="22"/>
      <c r="F77" s="22"/>
      <c r="G77" s="20"/>
      <c r="H77" s="23" t="str">
        <f t="shared" si="2"/>
        <v/>
      </c>
      <c r="I77" s="22"/>
      <c r="J77" s="22"/>
      <c r="K77" s="24"/>
      <c r="L77" s="22"/>
      <c r="M77" s="22"/>
      <c r="N77" s="20"/>
      <c r="O77" s="21"/>
      <c r="P77" s="25" t="str">
        <f>IF(B77="","",SUMIF('Linii ofertă'!$B$5:$B$1004,B77,'Linii ofertă'!$J$5:$J$1004))</f>
        <v/>
      </c>
      <c r="Q77" s="25" t="str">
        <f>IF(B77="","",SUMIF('Linii ofertă'!$B$5:$B$1004,B77,'Linii ofertă'!$M$5:$M$1004))</f>
        <v/>
      </c>
      <c r="R77" s="26" t="str">
        <f>IF(OR(B77="",N(P77)=0),"",SUMIF('Linii ofertă'!$B$5:$B$1004,B77,'Linii ofertă'!$P$5:$P$1004)/P77)</f>
        <v/>
      </c>
      <c r="S77" s="27" t="str">
        <f t="shared" ca="1" si="3"/>
        <v/>
      </c>
      <c r="T77" s="28" t="str">
        <f>IF(B77="","",TRIM(IF(COUNTIF($B$5:$B$504,B77)&gt;1,"Număr dublat. ","")&amp;IF(N(P77)=0,"Oferta nu are linii. ","")&amp;IF(M77="","Completează ce NU include oferta. ","")&amp;IF(AND(ISNUMBER(R77),R77&lt;MarjaMin),"Marjă totală sub minim. ","")&amp;IF(COUNTIFS('Linii ofertă'!$B$5:$B$1004,B77,'Linii ofertă'!$R$5:$R$1004,"Marjă*")&gt;0,"Are linii cu marjă sub minim. ","")&amp;IF(AND(S77="Expirată"),"Valabilitatea a expirat: reconfirmă prețurile. ","")))</f>
        <v/>
      </c>
    </row>
    <row r="78" spans="2:20" x14ac:dyDescent="0.2">
      <c r="B78" s="20"/>
      <c r="C78" s="21"/>
      <c r="D78" s="22"/>
      <c r="E78" s="22"/>
      <c r="F78" s="22"/>
      <c r="G78" s="20"/>
      <c r="H78" s="23" t="str">
        <f t="shared" si="2"/>
        <v/>
      </c>
      <c r="I78" s="22"/>
      <c r="J78" s="22"/>
      <c r="K78" s="24"/>
      <c r="L78" s="22"/>
      <c r="M78" s="22"/>
      <c r="N78" s="20"/>
      <c r="O78" s="21"/>
      <c r="P78" s="25" t="str">
        <f>IF(B78="","",SUMIF('Linii ofertă'!$B$5:$B$1004,B78,'Linii ofertă'!$J$5:$J$1004))</f>
        <v/>
      </c>
      <c r="Q78" s="25" t="str">
        <f>IF(B78="","",SUMIF('Linii ofertă'!$B$5:$B$1004,B78,'Linii ofertă'!$M$5:$M$1004))</f>
        <v/>
      </c>
      <c r="R78" s="26" t="str">
        <f>IF(OR(B78="",N(P78)=0),"",SUMIF('Linii ofertă'!$B$5:$B$1004,B78,'Linii ofertă'!$P$5:$P$1004)/P78)</f>
        <v/>
      </c>
      <c r="S78" s="27" t="str">
        <f t="shared" ca="1" si="3"/>
        <v/>
      </c>
      <c r="T78" s="28" t="str">
        <f>IF(B78="","",TRIM(IF(COUNTIF($B$5:$B$504,B78)&gt;1,"Număr dublat. ","")&amp;IF(N(P78)=0,"Oferta nu are linii. ","")&amp;IF(M78="","Completează ce NU include oferta. ","")&amp;IF(AND(ISNUMBER(R78),R78&lt;MarjaMin),"Marjă totală sub minim. ","")&amp;IF(COUNTIFS('Linii ofertă'!$B$5:$B$1004,B78,'Linii ofertă'!$R$5:$R$1004,"Marjă*")&gt;0,"Are linii cu marjă sub minim. ","")&amp;IF(AND(S78="Expirată"),"Valabilitatea a expirat: reconfirmă prețurile. ","")))</f>
        <v/>
      </c>
    </row>
    <row r="79" spans="2:20" x14ac:dyDescent="0.2">
      <c r="B79" s="20"/>
      <c r="C79" s="21"/>
      <c r="D79" s="22"/>
      <c r="E79" s="22"/>
      <c r="F79" s="22"/>
      <c r="G79" s="20"/>
      <c r="H79" s="23" t="str">
        <f t="shared" si="2"/>
        <v/>
      </c>
      <c r="I79" s="22"/>
      <c r="J79" s="22"/>
      <c r="K79" s="24"/>
      <c r="L79" s="22"/>
      <c r="M79" s="22"/>
      <c r="N79" s="20"/>
      <c r="O79" s="21"/>
      <c r="P79" s="25" t="str">
        <f>IF(B79="","",SUMIF('Linii ofertă'!$B$5:$B$1004,B79,'Linii ofertă'!$J$5:$J$1004))</f>
        <v/>
      </c>
      <c r="Q79" s="25" t="str">
        <f>IF(B79="","",SUMIF('Linii ofertă'!$B$5:$B$1004,B79,'Linii ofertă'!$M$5:$M$1004))</f>
        <v/>
      </c>
      <c r="R79" s="26" t="str">
        <f>IF(OR(B79="",N(P79)=0),"",SUMIF('Linii ofertă'!$B$5:$B$1004,B79,'Linii ofertă'!$P$5:$P$1004)/P79)</f>
        <v/>
      </c>
      <c r="S79" s="27" t="str">
        <f t="shared" ca="1" si="3"/>
        <v/>
      </c>
      <c r="T79" s="28" t="str">
        <f>IF(B79="","",TRIM(IF(COUNTIF($B$5:$B$504,B79)&gt;1,"Număr dublat. ","")&amp;IF(N(P79)=0,"Oferta nu are linii. ","")&amp;IF(M79="","Completează ce NU include oferta. ","")&amp;IF(AND(ISNUMBER(R79),R79&lt;MarjaMin),"Marjă totală sub minim. ","")&amp;IF(COUNTIFS('Linii ofertă'!$B$5:$B$1004,B79,'Linii ofertă'!$R$5:$R$1004,"Marjă*")&gt;0,"Are linii cu marjă sub minim. ","")&amp;IF(AND(S79="Expirată"),"Valabilitatea a expirat: reconfirmă prețurile. ","")))</f>
        <v/>
      </c>
    </row>
    <row r="80" spans="2:20" x14ac:dyDescent="0.2">
      <c r="B80" s="20"/>
      <c r="C80" s="21"/>
      <c r="D80" s="22"/>
      <c r="E80" s="22"/>
      <c r="F80" s="22"/>
      <c r="G80" s="20"/>
      <c r="H80" s="23" t="str">
        <f t="shared" si="2"/>
        <v/>
      </c>
      <c r="I80" s="22"/>
      <c r="J80" s="22"/>
      <c r="K80" s="24"/>
      <c r="L80" s="22"/>
      <c r="M80" s="22"/>
      <c r="N80" s="20"/>
      <c r="O80" s="21"/>
      <c r="P80" s="25" t="str">
        <f>IF(B80="","",SUMIF('Linii ofertă'!$B$5:$B$1004,B80,'Linii ofertă'!$J$5:$J$1004))</f>
        <v/>
      </c>
      <c r="Q80" s="25" t="str">
        <f>IF(B80="","",SUMIF('Linii ofertă'!$B$5:$B$1004,B80,'Linii ofertă'!$M$5:$M$1004))</f>
        <v/>
      </c>
      <c r="R80" s="26" t="str">
        <f>IF(OR(B80="",N(P80)=0),"",SUMIF('Linii ofertă'!$B$5:$B$1004,B80,'Linii ofertă'!$P$5:$P$1004)/P80)</f>
        <v/>
      </c>
      <c r="S80" s="27" t="str">
        <f t="shared" ca="1" si="3"/>
        <v/>
      </c>
      <c r="T80" s="28" t="str">
        <f>IF(B80="","",TRIM(IF(COUNTIF($B$5:$B$504,B80)&gt;1,"Număr dublat. ","")&amp;IF(N(P80)=0,"Oferta nu are linii. ","")&amp;IF(M80="","Completează ce NU include oferta. ","")&amp;IF(AND(ISNUMBER(R80),R80&lt;MarjaMin),"Marjă totală sub minim. ","")&amp;IF(COUNTIFS('Linii ofertă'!$B$5:$B$1004,B80,'Linii ofertă'!$R$5:$R$1004,"Marjă*")&gt;0,"Are linii cu marjă sub minim. ","")&amp;IF(AND(S80="Expirată"),"Valabilitatea a expirat: reconfirmă prețurile. ","")))</f>
        <v/>
      </c>
    </row>
    <row r="81" spans="2:20" x14ac:dyDescent="0.2">
      <c r="B81" s="20"/>
      <c r="C81" s="21"/>
      <c r="D81" s="22"/>
      <c r="E81" s="22"/>
      <c r="F81" s="22"/>
      <c r="G81" s="20"/>
      <c r="H81" s="23" t="str">
        <f t="shared" si="2"/>
        <v/>
      </c>
      <c r="I81" s="22"/>
      <c r="J81" s="22"/>
      <c r="K81" s="24"/>
      <c r="L81" s="22"/>
      <c r="M81" s="22"/>
      <c r="N81" s="20"/>
      <c r="O81" s="21"/>
      <c r="P81" s="25" t="str">
        <f>IF(B81="","",SUMIF('Linii ofertă'!$B$5:$B$1004,B81,'Linii ofertă'!$J$5:$J$1004))</f>
        <v/>
      </c>
      <c r="Q81" s="25" t="str">
        <f>IF(B81="","",SUMIF('Linii ofertă'!$B$5:$B$1004,B81,'Linii ofertă'!$M$5:$M$1004))</f>
        <v/>
      </c>
      <c r="R81" s="26" t="str">
        <f>IF(OR(B81="",N(P81)=0),"",SUMIF('Linii ofertă'!$B$5:$B$1004,B81,'Linii ofertă'!$P$5:$P$1004)/P81)</f>
        <v/>
      </c>
      <c r="S81" s="27" t="str">
        <f t="shared" ca="1" si="3"/>
        <v/>
      </c>
      <c r="T81" s="28" t="str">
        <f>IF(B81="","",TRIM(IF(COUNTIF($B$5:$B$504,B81)&gt;1,"Număr dublat. ","")&amp;IF(N(P81)=0,"Oferta nu are linii. ","")&amp;IF(M81="","Completează ce NU include oferta. ","")&amp;IF(AND(ISNUMBER(R81),R81&lt;MarjaMin),"Marjă totală sub minim. ","")&amp;IF(COUNTIFS('Linii ofertă'!$B$5:$B$1004,B81,'Linii ofertă'!$R$5:$R$1004,"Marjă*")&gt;0,"Are linii cu marjă sub minim. ","")&amp;IF(AND(S81="Expirată"),"Valabilitatea a expirat: reconfirmă prețurile. ","")))</f>
        <v/>
      </c>
    </row>
    <row r="82" spans="2:20" x14ac:dyDescent="0.2">
      <c r="B82" s="20"/>
      <c r="C82" s="21"/>
      <c r="D82" s="22"/>
      <c r="E82" s="22"/>
      <c r="F82" s="22"/>
      <c r="G82" s="20"/>
      <c r="H82" s="23" t="str">
        <f t="shared" si="2"/>
        <v/>
      </c>
      <c r="I82" s="22"/>
      <c r="J82" s="22"/>
      <c r="K82" s="24"/>
      <c r="L82" s="22"/>
      <c r="M82" s="22"/>
      <c r="N82" s="20"/>
      <c r="O82" s="21"/>
      <c r="P82" s="25" t="str">
        <f>IF(B82="","",SUMIF('Linii ofertă'!$B$5:$B$1004,B82,'Linii ofertă'!$J$5:$J$1004))</f>
        <v/>
      </c>
      <c r="Q82" s="25" t="str">
        <f>IF(B82="","",SUMIF('Linii ofertă'!$B$5:$B$1004,B82,'Linii ofertă'!$M$5:$M$1004))</f>
        <v/>
      </c>
      <c r="R82" s="26" t="str">
        <f>IF(OR(B82="",N(P82)=0),"",SUMIF('Linii ofertă'!$B$5:$B$1004,B82,'Linii ofertă'!$P$5:$P$1004)/P82)</f>
        <v/>
      </c>
      <c r="S82" s="27" t="str">
        <f t="shared" ca="1" si="3"/>
        <v/>
      </c>
      <c r="T82" s="28" t="str">
        <f>IF(B82="","",TRIM(IF(COUNTIF($B$5:$B$504,B82)&gt;1,"Număr dublat. ","")&amp;IF(N(P82)=0,"Oferta nu are linii. ","")&amp;IF(M82="","Completează ce NU include oferta. ","")&amp;IF(AND(ISNUMBER(R82),R82&lt;MarjaMin),"Marjă totală sub minim. ","")&amp;IF(COUNTIFS('Linii ofertă'!$B$5:$B$1004,B82,'Linii ofertă'!$R$5:$R$1004,"Marjă*")&gt;0,"Are linii cu marjă sub minim. ","")&amp;IF(AND(S82="Expirată"),"Valabilitatea a expirat: reconfirmă prețurile. ","")))</f>
        <v/>
      </c>
    </row>
    <row r="83" spans="2:20" x14ac:dyDescent="0.2">
      <c r="B83" s="20"/>
      <c r="C83" s="21"/>
      <c r="D83" s="22"/>
      <c r="E83" s="22"/>
      <c r="F83" s="22"/>
      <c r="G83" s="20"/>
      <c r="H83" s="23" t="str">
        <f t="shared" si="2"/>
        <v/>
      </c>
      <c r="I83" s="22"/>
      <c r="J83" s="22"/>
      <c r="K83" s="24"/>
      <c r="L83" s="22"/>
      <c r="M83" s="22"/>
      <c r="N83" s="20"/>
      <c r="O83" s="21"/>
      <c r="P83" s="25" t="str">
        <f>IF(B83="","",SUMIF('Linii ofertă'!$B$5:$B$1004,B83,'Linii ofertă'!$J$5:$J$1004))</f>
        <v/>
      </c>
      <c r="Q83" s="25" t="str">
        <f>IF(B83="","",SUMIF('Linii ofertă'!$B$5:$B$1004,B83,'Linii ofertă'!$M$5:$M$1004))</f>
        <v/>
      </c>
      <c r="R83" s="26" t="str">
        <f>IF(OR(B83="",N(P83)=0),"",SUMIF('Linii ofertă'!$B$5:$B$1004,B83,'Linii ofertă'!$P$5:$P$1004)/P83)</f>
        <v/>
      </c>
      <c r="S83" s="27" t="str">
        <f t="shared" ca="1" si="3"/>
        <v/>
      </c>
      <c r="T83" s="28" t="str">
        <f>IF(B83="","",TRIM(IF(COUNTIF($B$5:$B$504,B83)&gt;1,"Număr dublat. ","")&amp;IF(N(P83)=0,"Oferta nu are linii. ","")&amp;IF(M83="","Completează ce NU include oferta. ","")&amp;IF(AND(ISNUMBER(R83),R83&lt;MarjaMin),"Marjă totală sub minim. ","")&amp;IF(COUNTIFS('Linii ofertă'!$B$5:$B$1004,B83,'Linii ofertă'!$R$5:$R$1004,"Marjă*")&gt;0,"Are linii cu marjă sub minim. ","")&amp;IF(AND(S83="Expirată"),"Valabilitatea a expirat: reconfirmă prețurile. ","")))</f>
        <v/>
      </c>
    </row>
    <row r="84" spans="2:20" x14ac:dyDescent="0.2">
      <c r="B84" s="20"/>
      <c r="C84" s="21"/>
      <c r="D84" s="22"/>
      <c r="E84" s="22"/>
      <c r="F84" s="22"/>
      <c r="G84" s="20"/>
      <c r="H84" s="23" t="str">
        <f t="shared" si="2"/>
        <v/>
      </c>
      <c r="I84" s="22"/>
      <c r="J84" s="22"/>
      <c r="K84" s="24"/>
      <c r="L84" s="22"/>
      <c r="M84" s="22"/>
      <c r="N84" s="20"/>
      <c r="O84" s="21"/>
      <c r="P84" s="25" t="str">
        <f>IF(B84="","",SUMIF('Linii ofertă'!$B$5:$B$1004,B84,'Linii ofertă'!$J$5:$J$1004))</f>
        <v/>
      </c>
      <c r="Q84" s="25" t="str">
        <f>IF(B84="","",SUMIF('Linii ofertă'!$B$5:$B$1004,B84,'Linii ofertă'!$M$5:$M$1004))</f>
        <v/>
      </c>
      <c r="R84" s="26" t="str">
        <f>IF(OR(B84="",N(P84)=0),"",SUMIF('Linii ofertă'!$B$5:$B$1004,B84,'Linii ofertă'!$P$5:$P$1004)/P84)</f>
        <v/>
      </c>
      <c r="S84" s="27" t="str">
        <f t="shared" ca="1" si="3"/>
        <v/>
      </c>
      <c r="T84" s="28" t="str">
        <f>IF(B84="","",TRIM(IF(COUNTIF($B$5:$B$504,B84)&gt;1,"Număr dublat. ","")&amp;IF(N(P84)=0,"Oferta nu are linii. ","")&amp;IF(M84="","Completează ce NU include oferta. ","")&amp;IF(AND(ISNUMBER(R84),R84&lt;MarjaMin),"Marjă totală sub minim. ","")&amp;IF(COUNTIFS('Linii ofertă'!$B$5:$B$1004,B84,'Linii ofertă'!$R$5:$R$1004,"Marjă*")&gt;0,"Are linii cu marjă sub minim. ","")&amp;IF(AND(S84="Expirată"),"Valabilitatea a expirat: reconfirmă prețurile. ","")))</f>
        <v/>
      </c>
    </row>
    <row r="85" spans="2:20" x14ac:dyDescent="0.2">
      <c r="B85" s="20"/>
      <c r="C85" s="21"/>
      <c r="D85" s="22"/>
      <c r="E85" s="22"/>
      <c r="F85" s="22"/>
      <c r="G85" s="20"/>
      <c r="H85" s="23" t="str">
        <f t="shared" si="2"/>
        <v/>
      </c>
      <c r="I85" s="22"/>
      <c r="J85" s="22"/>
      <c r="K85" s="24"/>
      <c r="L85" s="22"/>
      <c r="M85" s="22"/>
      <c r="N85" s="20"/>
      <c r="O85" s="21"/>
      <c r="P85" s="25" t="str">
        <f>IF(B85="","",SUMIF('Linii ofertă'!$B$5:$B$1004,B85,'Linii ofertă'!$J$5:$J$1004))</f>
        <v/>
      </c>
      <c r="Q85" s="25" t="str">
        <f>IF(B85="","",SUMIF('Linii ofertă'!$B$5:$B$1004,B85,'Linii ofertă'!$M$5:$M$1004))</f>
        <v/>
      </c>
      <c r="R85" s="26" t="str">
        <f>IF(OR(B85="",N(P85)=0),"",SUMIF('Linii ofertă'!$B$5:$B$1004,B85,'Linii ofertă'!$P$5:$P$1004)/P85)</f>
        <v/>
      </c>
      <c r="S85" s="27" t="str">
        <f t="shared" ca="1" si="3"/>
        <v/>
      </c>
      <c r="T85" s="28" t="str">
        <f>IF(B85="","",TRIM(IF(COUNTIF($B$5:$B$504,B85)&gt;1,"Număr dublat. ","")&amp;IF(N(P85)=0,"Oferta nu are linii. ","")&amp;IF(M85="","Completează ce NU include oferta. ","")&amp;IF(AND(ISNUMBER(R85),R85&lt;MarjaMin),"Marjă totală sub minim. ","")&amp;IF(COUNTIFS('Linii ofertă'!$B$5:$B$1004,B85,'Linii ofertă'!$R$5:$R$1004,"Marjă*")&gt;0,"Are linii cu marjă sub minim. ","")&amp;IF(AND(S85="Expirată"),"Valabilitatea a expirat: reconfirmă prețurile. ","")))</f>
        <v/>
      </c>
    </row>
    <row r="86" spans="2:20" x14ac:dyDescent="0.2">
      <c r="B86" s="20"/>
      <c r="C86" s="21"/>
      <c r="D86" s="22"/>
      <c r="E86" s="22"/>
      <c r="F86" s="22"/>
      <c r="G86" s="20"/>
      <c r="H86" s="23" t="str">
        <f t="shared" si="2"/>
        <v/>
      </c>
      <c r="I86" s="22"/>
      <c r="J86" s="22"/>
      <c r="K86" s="24"/>
      <c r="L86" s="22"/>
      <c r="M86" s="22"/>
      <c r="N86" s="20"/>
      <c r="O86" s="21"/>
      <c r="P86" s="25" t="str">
        <f>IF(B86="","",SUMIF('Linii ofertă'!$B$5:$B$1004,B86,'Linii ofertă'!$J$5:$J$1004))</f>
        <v/>
      </c>
      <c r="Q86" s="25" t="str">
        <f>IF(B86="","",SUMIF('Linii ofertă'!$B$5:$B$1004,B86,'Linii ofertă'!$M$5:$M$1004))</f>
        <v/>
      </c>
      <c r="R86" s="26" t="str">
        <f>IF(OR(B86="",N(P86)=0),"",SUMIF('Linii ofertă'!$B$5:$B$1004,B86,'Linii ofertă'!$P$5:$P$1004)/P86)</f>
        <v/>
      </c>
      <c r="S86" s="27" t="str">
        <f t="shared" ca="1" si="3"/>
        <v/>
      </c>
      <c r="T86" s="28" t="str">
        <f>IF(B86="","",TRIM(IF(COUNTIF($B$5:$B$504,B86)&gt;1,"Număr dublat. ","")&amp;IF(N(P86)=0,"Oferta nu are linii. ","")&amp;IF(M86="","Completează ce NU include oferta. ","")&amp;IF(AND(ISNUMBER(R86),R86&lt;MarjaMin),"Marjă totală sub minim. ","")&amp;IF(COUNTIFS('Linii ofertă'!$B$5:$B$1004,B86,'Linii ofertă'!$R$5:$R$1004,"Marjă*")&gt;0,"Are linii cu marjă sub minim. ","")&amp;IF(AND(S86="Expirată"),"Valabilitatea a expirat: reconfirmă prețurile. ","")))</f>
        <v/>
      </c>
    </row>
    <row r="87" spans="2:20" x14ac:dyDescent="0.2">
      <c r="B87" s="20"/>
      <c r="C87" s="21"/>
      <c r="D87" s="22"/>
      <c r="E87" s="22"/>
      <c r="F87" s="22"/>
      <c r="G87" s="20"/>
      <c r="H87" s="23" t="str">
        <f t="shared" si="2"/>
        <v/>
      </c>
      <c r="I87" s="22"/>
      <c r="J87" s="22"/>
      <c r="K87" s="24"/>
      <c r="L87" s="22"/>
      <c r="M87" s="22"/>
      <c r="N87" s="20"/>
      <c r="O87" s="21"/>
      <c r="P87" s="25" t="str">
        <f>IF(B87="","",SUMIF('Linii ofertă'!$B$5:$B$1004,B87,'Linii ofertă'!$J$5:$J$1004))</f>
        <v/>
      </c>
      <c r="Q87" s="25" t="str">
        <f>IF(B87="","",SUMIF('Linii ofertă'!$B$5:$B$1004,B87,'Linii ofertă'!$M$5:$M$1004))</f>
        <v/>
      </c>
      <c r="R87" s="26" t="str">
        <f>IF(OR(B87="",N(P87)=0),"",SUMIF('Linii ofertă'!$B$5:$B$1004,B87,'Linii ofertă'!$P$5:$P$1004)/P87)</f>
        <v/>
      </c>
      <c r="S87" s="27" t="str">
        <f t="shared" ca="1" si="3"/>
        <v/>
      </c>
      <c r="T87" s="28" t="str">
        <f>IF(B87="","",TRIM(IF(COUNTIF($B$5:$B$504,B87)&gt;1,"Număr dublat. ","")&amp;IF(N(P87)=0,"Oferta nu are linii. ","")&amp;IF(M87="","Completează ce NU include oferta. ","")&amp;IF(AND(ISNUMBER(R87),R87&lt;MarjaMin),"Marjă totală sub minim. ","")&amp;IF(COUNTIFS('Linii ofertă'!$B$5:$B$1004,B87,'Linii ofertă'!$R$5:$R$1004,"Marjă*")&gt;0,"Are linii cu marjă sub minim. ","")&amp;IF(AND(S87="Expirată"),"Valabilitatea a expirat: reconfirmă prețurile. ","")))</f>
        <v/>
      </c>
    </row>
    <row r="88" spans="2:20" x14ac:dyDescent="0.2">
      <c r="B88" s="20"/>
      <c r="C88" s="21"/>
      <c r="D88" s="22"/>
      <c r="E88" s="22"/>
      <c r="F88" s="22"/>
      <c r="G88" s="20"/>
      <c r="H88" s="23" t="str">
        <f t="shared" si="2"/>
        <v/>
      </c>
      <c r="I88" s="22"/>
      <c r="J88" s="22"/>
      <c r="K88" s="24"/>
      <c r="L88" s="22"/>
      <c r="M88" s="22"/>
      <c r="N88" s="20"/>
      <c r="O88" s="21"/>
      <c r="P88" s="25" t="str">
        <f>IF(B88="","",SUMIF('Linii ofertă'!$B$5:$B$1004,B88,'Linii ofertă'!$J$5:$J$1004))</f>
        <v/>
      </c>
      <c r="Q88" s="25" t="str">
        <f>IF(B88="","",SUMIF('Linii ofertă'!$B$5:$B$1004,B88,'Linii ofertă'!$M$5:$M$1004))</f>
        <v/>
      </c>
      <c r="R88" s="26" t="str">
        <f>IF(OR(B88="",N(P88)=0),"",SUMIF('Linii ofertă'!$B$5:$B$1004,B88,'Linii ofertă'!$P$5:$P$1004)/P88)</f>
        <v/>
      </c>
      <c r="S88" s="27" t="str">
        <f t="shared" ca="1" si="3"/>
        <v/>
      </c>
      <c r="T88" s="28" t="str">
        <f>IF(B88="","",TRIM(IF(COUNTIF($B$5:$B$504,B88)&gt;1,"Număr dublat. ","")&amp;IF(N(P88)=0,"Oferta nu are linii. ","")&amp;IF(M88="","Completează ce NU include oferta. ","")&amp;IF(AND(ISNUMBER(R88),R88&lt;MarjaMin),"Marjă totală sub minim. ","")&amp;IF(COUNTIFS('Linii ofertă'!$B$5:$B$1004,B88,'Linii ofertă'!$R$5:$R$1004,"Marjă*")&gt;0,"Are linii cu marjă sub minim. ","")&amp;IF(AND(S88="Expirată"),"Valabilitatea a expirat: reconfirmă prețurile. ","")))</f>
        <v/>
      </c>
    </row>
    <row r="89" spans="2:20" x14ac:dyDescent="0.2">
      <c r="B89" s="20"/>
      <c r="C89" s="21"/>
      <c r="D89" s="22"/>
      <c r="E89" s="22"/>
      <c r="F89" s="22"/>
      <c r="G89" s="20"/>
      <c r="H89" s="23" t="str">
        <f t="shared" si="2"/>
        <v/>
      </c>
      <c r="I89" s="22"/>
      <c r="J89" s="22"/>
      <c r="K89" s="24"/>
      <c r="L89" s="22"/>
      <c r="M89" s="22"/>
      <c r="N89" s="20"/>
      <c r="O89" s="21"/>
      <c r="P89" s="25" t="str">
        <f>IF(B89="","",SUMIF('Linii ofertă'!$B$5:$B$1004,B89,'Linii ofertă'!$J$5:$J$1004))</f>
        <v/>
      </c>
      <c r="Q89" s="25" t="str">
        <f>IF(B89="","",SUMIF('Linii ofertă'!$B$5:$B$1004,B89,'Linii ofertă'!$M$5:$M$1004))</f>
        <v/>
      </c>
      <c r="R89" s="26" t="str">
        <f>IF(OR(B89="",N(P89)=0),"",SUMIF('Linii ofertă'!$B$5:$B$1004,B89,'Linii ofertă'!$P$5:$P$1004)/P89)</f>
        <v/>
      </c>
      <c r="S89" s="27" t="str">
        <f t="shared" ca="1" si="3"/>
        <v/>
      </c>
      <c r="T89" s="28" t="str">
        <f>IF(B89="","",TRIM(IF(COUNTIF($B$5:$B$504,B89)&gt;1,"Număr dublat. ","")&amp;IF(N(P89)=0,"Oferta nu are linii. ","")&amp;IF(M89="","Completează ce NU include oferta. ","")&amp;IF(AND(ISNUMBER(R89),R89&lt;MarjaMin),"Marjă totală sub minim. ","")&amp;IF(COUNTIFS('Linii ofertă'!$B$5:$B$1004,B89,'Linii ofertă'!$R$5:$R$1004,"Marjă*")&gt;0,"Are linii cu marjă sub minim. ","")&amp;IF(AND(S89="Expirată"),"Valabilitatea a expirat: reconfirmă prețurile. ","")))</f>
        <v/>
      </c>
    </row>
    <row r="90" spans="2:20" x14ac:dyDescent="0.2">
      <c r="B90" s="20"/>
      <c r="C90" s="21"/>
      <c r="D90" s="22"/>
      <c r="E90" s="22"/>
      <c r="F90" s="22"/>
      <c r="G90" s="20"/>
      <c r="H90" s="23" t="str">
        <f t="shared" si="2"/>
        <v/>
      </c>
      <c r="I90" s="22"/>
      <c r="J90" s="22"/>
      <c r="K90" s="24"/>
      <c r="L90" s="22"/>
      <c r="M90" s="22"/>
      <c r="N90" s="20"/>
      <c r="O90" s="21"/>
      <c r="P90" s="25" t="str">
        <f>IF(B90="","",SUMIF('Linii ofertă'!$B$5:$B$1004,B90,'Linii ofertă'!$J$5:$J$1004))</f>
        <v/>
      </c>
      <c r="Q90" s="25" t="str">
        <f>IF(B90="","",SUMIF('Linii ofertă'!$B$5:$B$1004,B90,'Linii ofertă'!$M$5:$M$1004))</f>
        <v/>
      </c>
      <c r="R90" s="26" t="str">
        <f>IF(OR(B90="",N(P90)=0),"",SUMIF('Linii ofertă'!$B$5:$B$1004,B90,'Linii ofertă'!$P$5:$P$1004)/P90)</f>
        <v/>
      </c>
      <c r="S90" s="27" t="str">
        <f t="shared" ca="1" si="3"/>
        <v/>
      </c>
      <c r="T90" s="28" t="str">
        <f>IF(B90="","",TRIM(IF(COUNTIF($B$5:$B$504,B90)&gt;1,"Număr dublat. ","")&amp;IF(N(P90)=0,"Oferta nu are linii. ","")&amp;IF(M90="","Completează ce NU include oferta. ","")&amp;IF(AND(ISNUMBER(R90),R90&lt;MarjaMin),"Marjă totală sub minim. ","")&amp;IF(COUNTIFS('Linii ofertă'!$B$5:$B$1004,B90,'Linii ofertă'!$R$5:$R$1004,"Marjă*")&gt;0,"Are linii cu marjă sub minim. ","")&amp;IF(AND(S90="Expirată"),"Valabilitatea a expirat: reconfirmă prețurile. ","")))</f>
        <v/>
      </c>
    </row>
    <row r="91" spans="2:20" x14ac:dyDescent="0.2">
      <c r="B91" s="20"/>
      <c r="C91" s="21"/>
      <c r="D91" s="22"/>
      <c r="E91" s="22"/>
      <c r="F91" s="22"/>
      <c r="G91" s="20"/>
      <c r="H91" s="23" t="str">
        <f t="shared" si="2"/>
        <v/>
      </c>
      <c r="I91" s="22"/>
      <c r="J91" s="22"/>
      <c r="K91" s="24"/>
      <c r="L91" s="22"/>
      <c r="M91" s="22"/>
      <c r="N91" s="20"/>
      <c r="O91" s="21"/>
      <c r="P91" s="25" t="str">
        <f>IF(B91="","",SUMIF('Linii ofertă'!$B$5:$B$1004,B91,'Linii ofertă'!$J$5:$J$1004))</f>
        <v/>
      </c>
      <c r="Q91" s="25" t="str">
        <f>IF(B91="","",SUMIF('Linii ofertă'!$B$5:$B$1004,B91,'Linii ofertă'!$M$5:$M$1004))</f>
        <v/>
      </c>
      <c r="R91" s="26" t="str">
        <f>IF(OR(B91="",N(P91)=0),"",SUMIF('Linii ofertă'!$B$5:$B$1004,B91,'Linii ofertă'!$P$5:$P$1004)/P91)</f>
        <v/>
      </c>
      <c r="S91" s="27" t="str">
        <f t="shared" ca="1" si="3"/>
        <v/>
      </c>
      <c r="T91" s="28" t="str">
        <f>IF(B91="","",TRIM(IF(COUNTIF($B$5:$B$504,B91)&gt;1,"Număr dublat. ","")&amp;IF(N(P91)=0,"Oferta nu are linii. ","")&amp;IF(M91="","Completează ce NU include oferta. ","")&amp;IF(AND(ISNUMBER(R91),R91&lt;MarjaMin),"Marjă totală sub minim. ","")&amp;IF(COUNTIFS('Linii ofertă'!$B$5:$B$1004,B91,'Linii ofertă'!$R$5:$R$1004,"Marjă*")&gt;0,"Are linii cu marjă sub minim. ","")&amp;IF(AND(S91="Expirată"),"Valabilitatea a expirat: reconfirmă prețurile. ","")))</f>
        <v/>
      </c>
    </row>
    <row r="92" spans="2:20" x14ac:dyDescent="0.2">
      <c r="B92" s="20"/>
      <c r="C92" s="21"/>
      <c r="D92" s="22"/>
      <c r="E92" s="22"/>
      <c r="F92" s="22"/>
      <c r="G92" s="20"/>
      <c r="H92" s="23" t="str">
        <f t="shared" si="2"/>
        <v/>
      </c>
      <c r="I92" s="22"/>
      <c r="J92" s="22"/>
      <c r="K92" s="24"/>
      <c r="L92" s="22"/>
      <c r="M92" s="22"/>
      <c r="N92" s="20"/>
      <c r="O92" s="21"/>
      <c r="P92" s="25" t="str">
        <f>IF(B92="","",SUMIF('Linii ofertă'!$B$5:$B$1004,B92,'Linii ofertă'!$J$5:$J$1004))</f>
        <v/>
      </c>
      <c r="Q92" s="25" t="str">
        <f>IF(B92="","",SUMIF('Linii ofertă'!$B$5:$B$1004,B92,'Linii ofertă'!$M$5:$M$1004))</f>
        <v/>
      </c>
      <c r="R92" s="26" t="str">
        <f>IF(OR(B92="",N(P92)=0),"",SUMIF('Linii ofertă'!$B$5:$B$1004,B92,'Linii ofertă'!$P$5:$P$1004)/P92)</f>
        <v/>
      </c>
      <c r="S92" s="27" t="str">
        <f t="shared" ca="1" si="3"/>
        <v/>
      </c>
      <c r="T92" s="28" t="str">
        <f>IF(B92="","",TRIM(IF(COUNTIF($B$5:$B$504,B92)&gt;1,"Număr dublat. ","")&amp;IF(N(P92)=0,"Oferta nu are linii. ","")&amp;IF(M92="","Completează ce NU include oferta. ","")&amp;IF(AND(ISNUMBER(R92),R92&lt;MarjaMin),"Marjă totală sub minim. ","")&amp;IF(COUNTIFS('Linii ofertă'!$B$5:$B$1004,B92,'Linii ofertă'!$R$5:$R$1004,"Marjă*")&gt;0,"Are linii cu marjă sub minim. ","")&amp;IF(AND(S92="Expirată"),"Valabilitatea a expirat: reconfirmă prețurile. ","")))</f>
        <v/>
      </c>
    </row>
    <row r="93" spans="2:20" x14ac:dyDescent="0.2">
      <c r="B93" s="20"/>
      <c r="C93" s="21"/>
      <c r="D93" s="22"/>
      <c r="E93" s="22"/>
      <c r="F93" s="22"/>
      <c r="G93" s="20"/>
      <c r="H93" s="23" t="str">
        <f t="shared" si="2"/>
        <v/>
      </c>
      <c r="I93" s="22"/>
      <c r="J93" s="22"/>
      <c r="K93" s="24"/>
      <c r="L93" s="22"/>
      <c r="M93" s="22"/>
      <c r="N93" s="20"/>
      <c r="O93" s="21"/>
      <c r="P93" s="25" t="str">
        <f>IF(B93="","",SUMIF('Linii ofertă'!$B$5:$B$1004,B93,'Linii ofertă'!$J$5:$J$1004))</f>
        <v/>
      </c>
      <c r="Q93" s="25" t="str">
        <f>IF(B93="","",SUMIF('Linii ofertă'!$B$5:$B$1004,B93,'Linii ofertă'!$M$5:$M$1004))</f>
        <v/>
      </c>
      <c r="R93" s="26" t="str">
        <f>IF(OR(B93="",N(P93)=0),"",SUMIF('Linii ofertă'!$B$5:$B$1004,B93,'Linii ofertă'!$P$5:$P$1004)/P93)</f>
        <v/>
      </c>
      <c r="S93" s="27" t="str">
        <f t="shared" ca="1" si="3"/>
        <v/>
      </c>
      <c r="T93" s="28" t="str">
        <f>IF(B93="","",TRIM(IF(COUNTIF($B$5:$B$504,B93)&gt;1,"Număr dublat. ","")&amp;IF(N(P93)=0,"Oferta nu are linii. ","")&amp;IF(M93="","Completează ce NU include oferta. ","")&amp;IF(AND(ISNUMBER(R93),R93&lt;MarjaMin),"Marjă totală sub minim. ","")&amp;IF(COUNTIFS('Linii ofertă'!$B$5:$B$1004,B93,'Linii ofertă'!$R$5:$R$1004,"Marjă*")&gt;0,"Are linii cu marjă sub minim. ","")&amp;IF(AND(S93="Expirată"),"Valabilitatea a expirat: reconfirmă prețurile. ","")))</f>
        <v/>
      </c>
    </row>
    <row r="94" spans="2:20" x14ac:dyDescent="0.2">
      <c r="B94" s="20"/>
      <c r="C94" s="21"/>
      <c r="D94" s="22"/>
      <c r="E94" s="22"/>
      <c r="F94" s="22"/>
      <c r="G94" s="20"/>
      <c r="H94" s="23" t="str">
        <f t="shared" si="2"/>
        <v/>
      </c>
      <c r="I94" s="22"/>
      <c r="J94" s="22"/>
      <c r="K94" s="24"/>
      <c r="L94" s="22"/>
      <c r="M94" s="22"/>
      <c r="N94" s="20"/>
      <c r="O94" s="21"/>
      <c r="P94" s="25" t="str">
        <f>IF(B94="","",SUMIF('Linii ofertă'!$B$5:$B$1004,B94,'Linii ofertă'!$J$5:$J$1004))</f>
        <v/>
      </c>
      <c r="Q94" s="25" t="str">
        <f>IF(B94="","",SUMIF('Linii ofertă'!$B$5:$B$1004,B94,'Linii ofertă'!$M$5:$M$1004))</f>
        <v/>
      </c>
      <c r="R94" s="26" t="str">
        <f>IF(OR(B94="",N(P94)=0),"",SUMIF('Linii ofertă'!$B$5:$B$1004,B94,'Linii ofertă'!$P$5:$P$1004)/P94)</f>
        <v/>
      </c>
      <c r="S94" s="27" t="str">
        <f t="shared" ca="1" si="3"/>
        <v/>
      </c>
      <c r="T94" s="28" t="str">
        <f>IF(B94="","",TRIM(IF(COUNTIF($B$5:$B$504,B94)&gt;1,"Număr dublat. ","")&amp;IF(N(P94)=0,"Oferta nu are linii. ","")&amp;IF(M94="","Completează ce NU include oferta. ","")&amp;IF(AND(ISNUMBER(R94),R94&lt;MarjaMin),"Marjă totală sub minim. ","")&amp;IF(COUNTIFS('Linii ofertă'!$B$5:$B$1004,B94,'Linii ofertă'!$R$5:$R$1004,"Marjă*")&gt;0,"Are linii cu marjă sub minim. ","")&amp;IF(AND(S94="Expirată"),"Valabilitatea a expirat: reconfirmă prețurile. ","")))</f>
        <v/>
      </c>
    </row>
    <row r="95" spans="2:20" x14ac:dyDescent="0.2">
      <c r="B95" s="20"/>
      <c r="C95" s="21"/>
      <c r="D95" s="22"/>
      <c r="E95" s="22"/>
      <c r="F95" s="22"/>
      <c r="G95" s="20"/>
      <c r="H95" s="23" t="str">
        <f t="shared" si="2"/>
        <v/>
      </c>
      <c r="I95" s="22"/>
      <c r="J95" s="22"/>
      <c r="K95" s="24"/>
      <c r="L95" s="22"/>
      <c r="M95" s="22"/>
      <c r="N95" s="20"/>
      <c r="O95" s="21"/>
      <c r="P95" s="25" t="str">
        <f>IF(B95="","",SUMIF('Linii ofertă'!$B$5:$B$1004,B95,'Linii ofertă'!$J$5:$J$1004))</f>
        <v/>
      </c>
      <c r="Q95" s="25" t="str">
        <f>IF(B95="","",SUMIF('Linii ofertă'!$B$5:$B$1004,B95,'Linii ofertă'!$M$5:$M$1004))</f>
        <v/>
      </c>
      <c r="R95" s="26" t="str">
        <f>IF(OR(B95="",N(P95)=0),"",SUMIF('Linii ofertă'!$B$5:$B$1004,B95,'Linii ofertă'!$P$5:$P$1004)/P95)</f>
        <v/>
      </c>
      <c r="S95" s="27" t="str">
        <f t="shared" ca="1" si="3"/>
        <v/>
      </c>
      <c r="T95" s="28" t="str">
        <f>IF(B95="","",TRIM(IF(COUNTIF($B$5:$B$504,B95)&gt;1,"Număr dublat. ","")&amp;IF(N(P95)=0,"Oferta nu are linii. ","")&amp;IF(M95="","Completează ce NU include oferta. ","")&amp;IF(AND(ISNUMBER(R95),R95&lt;MarjaMin),"Marjă totală sub minim. ","")&amp;IF(COUNTIFS('Linii ofertă'!$B$5:$B$1004,B95,'Linii ofertă'!$R$5:$R$1004,"Marjă*")&gt;0,"Are linii cu marjă sub minim. ","")&amp;IF(AND(S95="Expirată"),"Valabilitatea a expirat: reconfirmă prețurile. ","")))</f>
        <v/>
      </c>
    </row>
    <row r="96" spans="2:20" x14ac:dyDescent="0.2">
      <c r="B96" s="20"/>
      <c r="C96" s="21"/>
      <c r="D96" s="22"/>
      <c r="E96" s="22"/>
      <c r="F96" s="22"/>
      <c r="G96" s="20"/>
      <c r="H96" s="23" t="str">
        <f t="shared" si="2"/>
        <v/>
      </c>
      <c r="I96" s="22"/>
      <c r="J96" s="22"/>
      <c r="K96" s="24"/>
      <c r="L96" s="22"/>
      <c r="M96" s="22"/>
      <c r="N96" s="20"/>
      <c r="O96" s="21"/>
      <c r="P96" s="25" t="str">
        <f>IF(B96="","",SUMIF('Linii ofertă'!$B$5:$B$1004,B96,'Linii ofertă'!$J$5:$J$1004))</f>
        <v/>
      </c>
      <c r="Q96" s="25" t="str">
        <f>IF(B96="","",SUMIF('Linii ofertă'!$B$5:$B$1004,B96,'Linii ofertă'!$M$5:$M$1004))</f>
        <v/>
      </c>
      <c r="R96" s="26" t="str">
        <f>IF(OR(B96="",N(P96)=0),"",SUMIF('Linii ofertă'!$B$5:$B$1004,B96,'Linii ofertă'!$P$5:$P$1004)/P96)</f>
        <v/>
      </c>
      <c r="S96" s="27" t="str">
        <f t="shared" ca="1" si="3"/>
        <v/>
      </c>
      <c r="T96" s="28" t="str">
        <f>IF(B96="","",TRIM(IF(COUNTIF($B$5:$B$504,B96)&gt;1,"Număr dublat. ","")&amp;IF(N(P96)=0,"Oferta nu are linii. ","")&amp;IF(M96="","Completează ce NU include oferta. ","")&amp;IF(AND(ISNUMBER(R96),R96&lt;MarjaMin),"Marjă totală sub minim. ","")&amp;IF(COUNTIFS('Linii ofertă'!$B$5:$B$1004,B96,'Linii ofertă'!$R$5:$R$1004,"Marjă*")&gt;0,"Are linii cu marjă sub minim. ","")&amp;IF(AND(S96="Expirată"),"Valabilitatea a expirat: reconfirmă prețurile. ","")))</f>
        <v/>
      </c>
    </row>
    <row r="97" spans="2:20" x14ac:dyDescent="0.2">
      <c r="B97" s="20"/>
      <c r="C97" s="21"/>
      <c r="D97" s="22"/>
      <c r="E97" s="22"/>
      <c r="F97" s="22"/>
      <c r="G97" s="20"/>
      <c r="H97" s="23" t="str">
        <f t="shared" si="2"/>
        <v/>
      </c>
      <c r="I97" s="22"/>
      <c r="J97" s="22"/>
      <c r="K97" s="24"/>
      <c r="L97" s="22"/>
      <c r="M97" s="22"/>
      <c r="N97" s="20"/>
      <c r="O97" s="21"/>
      <c r="P97" s="25" t="str">
        <f>IF(B97="","",SUMIF('Linii ofertă'!$B$5:$B$1004,B97,'Linii ofertă'!$J$5:$J$1004))</f>
        <v/>
      </c>
      <c r="Q97" s="25" t="str">
        <f>IF(B97="","",SUMIF('Linii ofertă'!$B$5:$B$1004,B97,'Linii ofertă'!$M$5:$M$1004))</f>
        <v/>
      </c>
      <c r="R97" s="26" t="str">
        <f>IF(OR(B97="",N(P97)=0),"",SUMIF('Linii ofertă'!$B$5:$B$1004,B97,'Linii ofertă'!$P$5:$P$1004)/P97)</f>
        <v/>
      </c>
      <c r="S97" s="27" t="str">
        <f t="shared" ca="1" si="3"/>
        <v/>
      </c>
      <c r="T97" s="28" t="str">
        <f>IF(B97="","",TRIM(IF(COUNTIF($B$5:$B$504,B97)&gt;1,"Număr dublat. ","")&amp;IF(N(P97)=0,"Oferta nu are linii. ","")&amp;IF(M97="","Completează ce NU include oferta. ","")&amp;IF(AND(ISNUMBER(R97),R97&lt;MarjaMin),"Marjă totală sub minim. ","")&amp;IF(COUNTIFS('Linii ofertă'!$B$5:$B$1004,B97,'Linii ofertă'!$R$5:$R$1004,"Marjă*")&gt;0,"Are linii cu marjă sub minim. ","")&amp;IF(AND(S97="Expirată"),"Valabilitatea a expirat: reconfirmă prețurile. ","")))</f>
        <v/>
      </c>
    </row>
    <row r="98" spans="2:20" x14ac:dyDescent="0.2">
      <c r="B98" s="20"/>
      <c r="C98" s="21"/>
      <c r="D98" s="22"/>
      <c r="E98" s="22"/>
      <c r="F98" s="22"/>
      <c r="G98" s="20"/>
      <c r="H98" s="23" t="str">
        <f t="shared" si="2"/>
        <v/>
      </c>
      <c r="I98" s="22"/>
      <c r="J98" s="22"/>
      <c r="K98" s="24"/>
      <c r="L98" s="22"/>
      <c r="M98" s="22"/>
      <c r="N98" s="20"/>
      <c r="O98" s="21"/>
      <c r="P98" s="25" t="str">
        <f>IF(B98="","",SUMIF('Linii ofertă'!$B$5:$B$1004,B98,'Linii ofertă'!$J$5:$J$1004))</f>
        <v/>
      </c>
      <c r="Q98" s="25" t="str">
        <f>IF(B98="","",SUMIF('Linii ofertă'!$B$5:$B$1004,B98,'Linii ofertă'!$M$5:$M$1004))</f>
        <v/>
      </c>
      <c r="R98" s="26" t="str">
        <f>IF(OR(B98="",N(P98)=0),"",SUMIF('Linii ofertă'!$B$5:$B$1004,B98,'Linii ofertă'!$P$5:$P$1004)/P98)</f>
        <v/>
      </c>
      <c r="S98" s="27" t="str">
        <f t="shared" ca="1" si="3"/>
        <v/>
      </c>
      <c r="T98" s="28" t="str">
        <f>IF(B98="","",TRIM(IF(COUNTIF($B$5:$B$504,B98)&gt;1,"Număr dublat. ","")&amp;IF(N(P98)=0,"Oferta nu are linii. ","")&amp;IF(M98="","Completează ce NU include oferta. ","")&amp;IF(AND(ISNUMBER(R98),R98&lt;MarjaMin),"Marjă totală sub minim. ","")&amp;IF(COUNTIFS('Linii ofertă'!$B$5:$B$1004,B98,'Linii ofertă'!$R$5:$R$1004,"Marjă*")&gt;0,"Are linii cu marjă sub minim. ","")&amp;IF(AND(S98="Expirată"),"Valabilitatea a expirat: reconfirmă prețurile. ","")))</f>
        <v/>
      </c>
    </row>
    <row r="99" spans="2:20" x14ac:dyDescent="0.2">
      <c r="B99" s="20"/>
      <c r="C99" s="21"/>
      <c r="D99" s="22"/>
      <c r="E99" s="22"/>
      <c r="F99" s="22"/>
      <c r="G99" s="20"/>
      <c r="H99" s="23" t="str">
        <f t="shared" si="2"/>
        <v/>
      </c>
      <c r="I99" s="22"/>
      <c r="J99" s="22"/>
      <c r="K99" s="24"/>
      <c r="L99" s="22"/>
      <c r="M99" s="22"/>
      <c r="N99" s="20"/>
      <c r="O99" s="21"/>
      <c r="P99" s="25" t="str">
        <f>IF(B99="","",SUMIF('Linii ofertă'!$B$5:$B$1004,B99,'Linii ofertă'!$J$5:$J$1004))</f>
        <v/>
      </c>
      <c r="Q99" s="25" t="str">
        <f>IF(B99="","",SUMIF('Linii ofertă'!$B$5:$B$1004,B99,'Linii ofertă'!$M$5:$M$1004))</f>
        <v/>
      </c>
      <c r="R99" s="26" t="str">
        <f>IF(OR(B99="",N(P99)=0),"",SUMIF('Linii ofertă'!$B$5:$B$1004,B99,'Linii ofertă'!$P$5:$P$1004)/P99)</f>
        <v/>
      </c>
      <c r="S99" s="27" t="str">
        <f t="shared" ca="1" si="3"/>
        <v/>
      </c>
      <c r="T99" s="28" t="str">
        <f>IF(B99="","",TRIM(IF(COUNTIF($B$5:$B$504,B99)&gt;1,"Număr dublat. ","")&amp;IF(N(P99)=0,"Oferta nu are linii. ","")&amp;IF(M99="","Completează ce NU include oferta. ","")&amp;IF(AND(ISNUMBER(R99),R99&lt;MarjaMin),"Marjă totală sub minim. ","")&amp;IF(COUNTIFS('Linii ofertă'!$B$5:$B$1004,B99,'Linii ofertă'!$R$5:$R$1004,"Marjă*")&gt;0,"Are linii cu marjă sub minim. ","")&amp;IF(AND(S99="Expirată"),"Valabilitatea a expirat: reconfirmă prețurile. ","")))</f>
        <v/>
      </c>
    </row>
    <row r="100" spans="2:20" x14ac:dyDescent="0.2">
      <c r="B100" s="20"/>
      <c r="C100" s="21"/>
      <c r="D100" s="22"/>
      <c r="E100" s="22"/>
      <c r="F100" s="22"/>
      <c r="G100" s="20"/>
      <c r="H100" s="23" t="str">
        <f t="shared" si="2"/>
        <v/>
      </c>
      <c r="I100" s="22"/>
      <c r="J100" s="22"/>
      <c r="K100" s="24"/>
      <c r="L100" s="22"/>
      <c r="M100" s="22"/>
      <c r="N100" s="20"/>
      <c r="O100" s="21"/>
      <c r="P100" s="25" t="str">
        <f>IF(B100="","",SUMIF('Linii ofertă'!$B$5:$B$1004,B100,'Linii ofertă'!$J$5:$J$1004))</f>
        <v/>
      </c>
      <c r="Q100" s="25" t="str">
        <f>IF(B100="","",SUMIF('Linii ofertă'!$B$5:$B$1004,B100,'Linii ofertă'!$M$5:$M$1004))</f>
        <v/>
      </c>
      <c r="R100" s="26" t="str">
        <f>IF(OR(B100="",N(P100)=0),"",SUMIF('Linii ofertă'!$B$5:$B$1004,B100,'Linii ofertă'!$P$5:$P$1004)/P100)</f>
        <v/>
      </c>
      <c r="S100" s="27" t="str">
        <f t="shared" ca="1" si="3"/>
        <v/>
      </c>
      <c r="T100" s="28" t="str">
        <f>IF(B100="","",TRIM(IF(COUNTIF($B$5:$B$504,B100)&gt;1,"Număr dublat. ","")&amp;IF(N(P100)=0,"Oferta nu are linii. ","")&amp;IF(M100="","Completează ce NU include oferta. ","")&amp;IF(AND(ISNUMBER(R100),R100&lt;MarjaMin),"Marjă totală sub minim. ","")&amp;IF(COUNTIFS('Linii ofertă'!$B$5:$B$1004,B100,'Linii ofertă'!$R$5:$R$1004,"Marjă*")&gt;0,"Are linii cu marjă sub minim. ","")&amp;IF(AND(S100="Expirată"),"Valabilitatea a expirat: reconfirmă prețurile. ","")))</f>
        <v/>
      </c>
    </row>
    <row r="101" spans="2:20" x14ac:dyDescent="0.2">
      <c r="B101" s="20"/>
      <c r="C101" s="21"/>
      <c r="D101" s="22"/>
      <c r="E101" s="22"/>
      <c r="F101" s="22"/>
      <c r="G101" s="20"/>
      <c r="H101" s="23" t="str">
        <f t="shared" si="2"/>
        <v/>
      </c>
      <c r="I101" s="22"/>
      <c r="J101" s="22"/>
      <c r="K101" s="24"/>
      <c r="L101" s="22"/>
      <c r="M101" s="22"/>
      <c r="N101" s="20"/>
      <c r="O101" s="21"/>
      <c r="P101" s="25" t="str">
        <f>IF(B101="","",SUMIF('Linii ofertă'!$B$5:$B$1004,B101,'Linii ofertă'!$J$5:$J$1004))</f>
        <v/>
      </c>
      <c r="Q101" s="25" t="str">
        <f>IF(B101="","",SUMIF('Linii ofertă'!$B$5:$B$1004,B101,'Linii ofertă'!$M$5:$M$1004))</f>
        <v/>
      </c>
      <c r="R101" s="26" t="str">
        <f>IF(OR(B101="",N(P101)=0),"",SUMIF('Linii ofertă'!$B$5:$B$1004,B101,'Linii ofertă'!$P$5:$P$1004)/P101)</f>
        <v/>
      </c>
      <c r="S101" s="27" t="str">
        <f t="shared" ca="1" si="3"/>
        <v/>
      </c>
      <c r="T101" s="28" t="str">
        <f>IF(B101="","",TRIM(IF(COUNTIF($B$5:$B$504,B101)&gt;1,"Număr dublat. ","")&amp;IF(N(P101)=0,"Oferta nu are linii. ","")&amp;IF(M101="","Completează ce NU include oferta. ","")&amp;IF(AND(ISNUMBER(R101),R101&lt;MarjaMin),"Marjă totală sub minim. ","")&amp;IF(COUNTIFS('Linii ofertă'!$B$5:$B$1004,B101,'Linii ofertă'!$R$5:$R$1004,"Marjă*")&gt;0,"Are linii cu marjă sub minim. ","")&amp;IF(AND(S101="Expirată"),"Valabilitatea a expirat: reconfirmă prețurile. ","")))</f>
        <v/>
      </c>
    </row>
    <row r="102" spans="2:20" x14ac:dyDescent="0.2">
      <c r="B102" s="20"/>
      <c r="C102" s="21"/>
      <c r="D102" s="22"/>
      <c r="E102" s="22"/>
      <c r="F102" s="22"/>
      <c r="G102" s="20"/>
      <c r="H102" s="23" t="str">
        <f t="shared" si="2"/>
        <v/>
      </c>
      <c r="I102" s="22"/>
      <c r="J102" s="22"/>
      <c r="K102" s="24"/>
      <c r="L102" s="22"/>
      <c r="M102" s="22"/>
      <c r="N102" s="20"/>
      <c r="O102" s="21"/>
      <c r="P102" s="25" t="str">
        <f>IF(B102="","",SUMIF('Linii ofertă'!$B$5:$B$1004,B102,'Linii ofertă'!$J$5:$J$1004))</f>
        <v/>
      </c>
      <c r="Q102" s="25" t="str">
        <f>IF(B102="","",SUMIF('Linii ofertă'!$B$5:$B$1004,B102,'Linii ofertă'!$M$5:$M$1004))</f>
        <v/>
      </c>
      <c r="R102" s="26" t="str">
        <f>IF(OR(B102="",N(P102)=0),"",SUMIF('Linii ofertă'!$B$5:$B$1004,B102,'Linii ofertă'!$P$5:$P$1004)/P102)</f>
        <v/>
      </c>
      <c r="S102" s="27" t="str">
        <f t="shared" ca="1" si="3"/>
        <v/>
      </c>
      <c r="T102" s="28" t="str">
        <f>IF(B102="","",TRIM(IF(COUNTIF($B$5:$B$504,B102)&gt;1,"Număr dublat. ","")&amp;IF(N(P102)=0,"Oferta nu are linii. ","")&amp;IF(M102="","Completează ce NU include oferta. ","")&amp;IF(AND(ISNUMBER(R102),R102&lt;MarjaMin),"Marjă totală sub minim. ","")&amp;IF(COUNTIFS('Linii ofertă'!$B$5:$B$1004,B102,'Linii ofertă'!$R$5:$R$1004,"Marjă*")&gt;0,"Are linii cu marjă sub minim. ","")&amp;IF(AND(S102="Expirată"),"Valabilitatea a expirat: reconfirmă prețurile. ","")))</f>
        <v/>
      </c>
    </row>
    <row r="103" spans="2:20" x14ac:dyDescent="0.2">
      <c r="B103" s="20"/>
      <c r="C103" s="21"/>
      <c r="D103" s="22"/>
      <c r="E103" s="22"/>
      <c r="F103" s="22"/>
      <c r="G103" s="20"/>
      <c r="H103" s="23" t="str">
        <f t="shared" si="2"/>
        <v/>
      </c>
      <c r="I103" s="22"/>
      <c r="J103" s="22"/>
      <c r="K103" s="24"/>
      <c r="L103" s="22"/>
      <c r="M103" s="22"/>
      <c r="N103" s="20"/>
      <c r="O103" s="21"/>
      <c r="P103" s="25" t="str">
        <f>IF(B103="","",SUMIF('Linii ofertă'!$B$5:$B$1004,B103,'Linii ofertă'!$J$5:$J$1004))</f>
        <v/>
      </c>
      <c r="Q103" s="25" t="str">
        <f>IF(B103="","",SUMIF('Linii ofertă'!$B$5:$B$1004,B103,'Linii ofertă'!$M$5:$M$1004))</f>
        <v/>
      </c>
      <c r="R103" s="26" t="str">
        <f>IF(OR(B103="",N(P103)=0),"",SUMIF('Linii ofertă'!$B$5:$B$1004,B103,'Linii ofertă'!$P$5:$P$1004)/P103)</f>
        <v/>
      </c>
      <c r="S103" s="27" t="str">
        <f t="shared" ca="1" si="3"/>
        <v/>
      </c>
      <c r="T103" s="28" t="str">
        <f>IF(B103="","",TRIM(IF(COUNTIF($B$5:$B$504,B103)&gt;1,"Număr dublat. ","")&amp;IF(N(P103)=0,"Oferta nu are linii. ","")&amp;IF(M103="","Completează ce NU include oferta. ","")&amp;IF(AND(ISNUMBER(R103),R103&lt;MarjaMin),"Marjă totală sub minim. ","")&amp;IF(COUNTIFS('Linii ofertă'!$B$5:$B$1004,B103,'Linii ofertă'!$R$5:$R$1004,"Marjă*")&gt;0,"Are linii cu marjă sub minim. ","")&amp;IF(AND(S103="Expirată"),"Valabilitatea a expirat: reconfirmă prețurile. ","")))</f>
        <v/>
      </c>
    </row>
    <row r="104" spans="2:20" x14ac:dyDescent="0.2">
      <c r="B104" s="20"/>
      <c r="C104" s="21"/>
      <c r="D104" s="22"/>
      <c r="E104" s="22"/>
      <c r="F104" s="22"/>
      <c r="G104" s="20"/>
      <c r="H104" s="23" t="str">
        <f t="shared" si="2"/>
        <v/>
      </c>
      <c r="I104" s="22"/>
      <c r="J104" s="22"/>
      <c r="K104" s="24"/>
      <c r="L104" s="22"/>
      <c r="M104" s="22"/>
      <c r="N104" s="20"/>
      <c r="O104" s="21"/>
      <c r="P104" s="25" t="str">
        <f>IF(B104="","",SUMIF('Linii ofertă'!$B$5:$B$1004,B104,'Linii ofertă'!$J$5:$J$1004))</f>
        <v/>
      </c>
      <c r="Q104" s="25" t="str">
        <f>IF(B104="","",SUMIF('Linii ofertă'!$B$5:$B$1004,B104,'Linii ofertă'!$M$5:$M$1004))</f>
        <v/>
      </c>
      <c r="R104" s="26" t="str">
        <f>IF(OR(B104="",N(P104)=0),"",SUMIF('Linii ofertă'!$B$5:$B$1004,B104,'Linii ofertă'!$P$5:$P$1004)/P104)</f>
        <v/>
      </c>
      <c r="S104" s="27" t="str">
        <f t="shared" ca="1" si="3"/>
        <v/>
      </c>
      <c r="T104" s="28" t="str">
        <f>IF(B104="","",TRIM(IF(COUNTIF($B$5:$B$504,B104)&gt;1,"Număr dublat. ","")&amp;IF(N(P104)=0,"Oferta nu are linii. ","")&amp;IF(M104="","Completează ce NU include oferta. ","")&amp;IF(AND(ISNUMBER(R104),R104&lt;MarjaMin),"Marjă totală sub minim. ","")&amp;IF(COUNTIFS('Linii ofertă'!$B$5:$B$1004,B104,'Linii ofertă'!$R$5:$R$1004,"Marjă*")&gt;0,"Are linii cu marjă sub minim. ","")&amp;IF(AND(S104="Expirată"),"Valabilitatea a expirat: reconfirmă prețurile. ","")))</f>
        <v/>
      </c>
    </row>
    <row r="105" spans="2:20" x14ac:dyDescent="0.2">
      <c r="B105" s="20"/>
      <c r="C105" s="21"/>
      <c r="D105" s="22"/>
      <c r="E105" s="22"/>
      <c r="F105" s="22"/>
      <c r="G105" s="20"/>
      <c r="H105" s="23" t="str">
        <f t="shared" si="2"/>
        <v/>
      </c>
      <c r="I105" s="22"/>
      <c r="J105" s="22"/>
      <c r="K105" s="24"/>
      <c r="L105" s="22"/>
      <c r="M105" s="22"/>
      <c r="N105" s="20"/>
      <c r="O105" s="21"/>
      <c r="P105" s="25" t="str">
        <f>IF(B105="","",SUMIF('Linii ofertă'!$B$5:$B$1004,B105,'Linii ofertă'!$J$5:$J$1004))</f>
        <v/>
      </c>
      <c r="Q105" s="25" t="str">
        <f>IF(B105="","",SUMIF('Linii ofertă'!$B$5:$B$1004,B105,'Linii ofertă'!$M$5:$M$1004))</f>
        <v/>
      </c>
      <c r="R105" s="26" t="str">
        <f>IF(OR(B105="",N(P105)=0),"",SUMIF('Linii ofertă'!$B$5:$B$1004,B105,'Linii ofertă'!$P$5:$P$1004)/P105)</f>
        <v/>
      </c>
      <c r="S105" s="27" t="str">
        <f t="shared" ca="1" si="3"/>
        <v/>
      </c>
      <c r="T105" s="28" t="str">
        <f>IF(B105="","",TRIM(IF(COUNTIF($B$5:$B$504,B105)&gt;1,"Număr dublat. ","")&amp;IF(N(P105)=0,"Oferta nu are linii. ","")&amp;IF(M105="","Completează ce NU include oferta. ","")&amp;IF(AND(ISNUMBER(R105),R105&lt;MarjaMin),"Marjă totală sub minim. ","")&amp;IF(COUNTIFS('Linii ofertă'!$B$5:$B$1004,B105,'Linii ofertă'!$R$5:$R$1004,"Marjă*")&gt;0,"Are linii cu marjă sub minim. ","")&amp;IF(AND(S105="Expirată"),"Valabilitatea a expirat: reconfirmă prețurile. ","")))</f>
        <v/>
      </c>
    </row>
    <row r="106" spans="2:20" x14ac:dyDescent="0.2">
      <c r="B106" s="20"/>
      <c r="C106" s="21"/>
      <c r="D106" s="22"/>
      <c r="E106" s="22"/>
      <c r="F106" s="22"/>
      <c r="G106" s="20"/>
      <c r="H106" s="23" t="str">
        <f t="shared" si="2"/>
        <v/>
      </c>
      <c r="I106" s="22"/>
      <c r="J106" s="22"/>
      <c r="K106" s="24"/>
      <c r="L106" s="22"/>
      <c r="M106" s="22"/>
      <c r="N106" s="20"/>
      <c r="O106" s="21"/>
      <c r="P106" s="25" t="str">
        <f>IF(B106="","",SUMIF('Linii ofertă'!$B$5:$B$1004,B106,'Linii ofertă'!$J$5:$J$1004))</f>
        <v/>
      </c>
      <c r="Q106" s="25" t="str">
        <f>IF(B106="","",SUMIF('Linii ofertă'!$B$5:$B$1004,B106,'Linii ofertă'!$M$5:$M$1004))</f>
        <v/>
      </c>
      <c r="R106" s="26" t="str">
        <f>IF(OR(B106="",N(P106)=0),"",SUMIF('Linii ofertă'!$B$5:$B$1004,B106,'Linii ofertă'!$P$5:$P$1004)/P106)</f>
        <v/>
      </c>
      <c r="S106" s="27" t="str">
        <f t="shared" ca="1" si="3"/>
        <v/>
      </c>
      <c r="T106" s="28" t="str">
        <f>IF(B106="","",TRIM(IF(COUNTIF($B$5:$B$504,B106)&gt;1,"Număr dublat. ","")&amp;IF(N(P106)=0,"Oferta nu are linii. ","")&amp;IF(M106="","Completează ce NU include oferta. ","")&amp;IF(AND(ISNUMBER(R106),R106&lt;MarjaMin),"Marjă totală sub minim. ","")&amp;IF(COUNTIFS('Linii ofertă'!$B$5:$B$1004,B106,'Linii ofertă'!$R$5:$R$1004,"Marjă*")&gt;0,"Are linii cu marjă sub minim. ","")&amp;IF(AND(S106="Expirată"),"Valabilitatea a expirat: reconfirmă prețurile. ","")))</f>
        <v/>
      </c>
    </row>
    <row r="107" spans="2:20" x14ac:dyDescent="0.2">
      <c r="B107" s="20"/>
      <c r="C107" s="21"/>
      <c r="D107" s="22"/>
      <c r="E107" s="22"/>
      <c r="F107" s="22"/>
      <c r="G107" s="20"/>
      <c r="H107" s="23" t="str">
        <f t="shared" si="2"/>
        <v/>
      </c>
      <c r="I107" s="22"/>
      <c r="J107" s="22"/>
      <c r="K107" s="24"/>
      <c r="L107" s="22"/>
      <c r="M107" s="22"/>
      <c r="N107" s="20"/>
      <c r="O107" s="21"/>
      <c r="P107" s="25" t="str">
        <f>IF(B107="","",SUMIF('Linii ofertă'!$B$5:$B$1004,B107,'Linii ofertă'!$J$5:$J$1004))</f>
        <v/>
      </c>
      <c r="Q107" s="25" t="str">
        <f>IF(B107="","",SUMIF('Linii ofertă'!$B$5:$B$1004,B107,'Linii ofertă'!$M$5:$M$1004))</f>
        <v/>
      </c>
      <c r="R107" s="26" t="str">
        <f>IF(OR(B107="",N(P107)=0),"",SUMIF('Linii ofertă'!$B$5:$B$1004,B107,'Linii ofertă'!$P$5:$P$1004)/P107)</f>
        <v/>
      </c>
      <c r="S107" s="27" t="str">
        <f t="shared" ca="1" si="3"/>
        <v/>
      </c>
      <c r="T107" s="28" t="str">
        <f>IF(B107="","",TRIM(IF(COUNTIF($B$5:$B$504,B107)&gt;1,"Număr dublat. ","")&amp;IF(N(P107)=0,"Oferta nu are linii. ","")&amp;IF(M107="","Completează ce NU include oferta. ","")&amp;IF(AND(ISNUMBER(R107),R107&lt;MarjaMin),"Marjă totală sub minim. ","")&amp;IF(COUNTIFS('Linii ofertă'!$B$5:$B$1004,B107,'Linii ofertă'!$R$5:$R$1004,"Marjă*")&gt;0,"Are linii cu marjă sub minim. ","")&amp;IF(AND(S107="Expirată"),"Valabilitatea a expirat: reconfirmă prețurile. ","")))</f>
        <v/>
      </c>
    </row>
    <row r="108" spans="2:20" x14ac:dyDescent="0.2">
      <c r="B108" s="20"/>
      <c r="C108" s="21"/>
      <c r="D108" s="22"/>
      <c r="E108" s="22"/>
      <c r="F108" s="22"/>
      <c r="G108" s="20"/>
      <c r="H108" s="23" t="str">
        <f t="shared" si="2"/>
        <v/>
      </c>
      <c r="I108" s="22"/>
      <c r="J108" s="22"/>
      <c r="K108" s="24"/>
      <c r="L108" s="22"/>
      <c r="M108" s="22"/>
      <c r="N108" s="20"/>
      <c r="O108" s="21"/>
      <c r="P108" s="25" t="str">
        <f>IF(B108="","",SUMIF('Linii ofertă'!$B$5:$B$1004,B108,'Linii ofertă'!$J$5:$J$1004))</f>
        <v/>
      </c>
      <c r="Q108" s="25" t="str">
        <f>IF(B108="","",SUMIF('Linii ofertă'!$B$5:$B$1004,B108,'Linii ofertă'!$M$5:$M$1004))</f>
        <v/>
      </c>
      <c r="R108" s="26" t="str">
        <f>IF(OR(B108="",N(P108)=0),"",SUMIF('Linii ofertă'!$B$5:$B$1004,B108,'Linii ofertă'!$P$5:$P$1004)/P108)</f>
        <v/>
      </c>
      <c r="S108" s="27" t="str">
        <f t="shared" ca="1" si="3"/>
        <v/>
      </c>
      <c r="T108" s="28" t="str">
        <f>IF(B108="","",TRIM(IF(COUNTIF($B$5:$B$504,B108)&gt;1,"Număr dublat. ","")&amp;IF(N(P108)=0,"Oferta nu are linii. ","")&amp;IF(M108="","Completează ce NU include oferta. ","")&amp;IF(AND(ISNUMBER(R108),R108&lt;MarjaMin),"Marjă totală sub minim. ","")&amp;IF(COUNTIFS('Linii ofertă'!$B$5:$B$1004,B108,'Linii ofertă'!$R$5:$R$1004,"Marjă*")&gt;0,"Are linii cu marjă sub minim. ","")&amp;IF(AND(S108="Expirată"),"Valabilitatea a expirat: reconfirmă prețurile. ","")))</f>
        <v/>
      </c>
    </row>
    <row r="109" spans="2:20" x14ac:dyDescent="0.2">
      <c r="B109" s="20"/>
      <c r="C109" s="21"/>
      <c r="D109" s="22"/>
      <c r="E109" s="22"/>
      <c r="F109" s="22"/>
      <c r="G109" s="20"/>
      <c r="H109" s="23" t="str">
        <f t="shared" si="2"/>
        <v/>
      </c>
      <c r="I109" s="22"/>
      <c r="J109" s="22"/>
      <c r="K109" s="24"/>
      <c r="L109" s="22"/>
      <c r="M109" s="22"/>
      <c r="N109" s="20"/>
      <c r="O109" s="21"/>
      <c r="P109" s="25" t="str">
        <f>IF(B109="","",SUMIF('Linii ofertă'!$B$5:$B$1004,B109,'Linii ofertă'!$J$5:$J$1004))</f>
        <v/>
      </c>
      <c r="Q109" s="25" t="str">
        <f>IF(B109="","",SUMIF('Linii ofertă'!$B$5:$B$1004,B109,'Linii ofertă'!$M$5:$M$1004))</f>
        <v/>
      </c>
      <c r="R109" s="26" t="str">
        <f>IF(OR(B109="",N(P109)=0),"",SUMIF('Linii ofertă'!$B$5:$B$1004,B109,'Linii ofertă'!$P$5:$P$1004)/P109)</f>
        <v/>
      </c>
      <c r="S109" s="27" t="str">
        <f t="shared" ca="1" si="3"/>
        <v/>
      </c>
      <c r="T109" s="28" t="str">
        <f>IF(B109="","",TRIM(IF(COUNTIF($B$5:$B$504,B109)&gt;1,"Număr dublat. ","")&amp;IF(N(P109)=0,"Oferta nu are linii. ","")&amp;IF(M109="","Completează ce NU include oferta. ","")&amp;IF(AND(ISNUMBER(R109),R109&lt;MarjaMin),"Marjă totală sub minim. ","")&amp;IF(COUNTIFS('Linii ofertă'!$B$5:$B$1004,B109,'Linii ofertă'!$R$5:$R$1004,"Marjă*")&gt;0,"Are linii cu marjă sub minim. ","")&amp;IF(AND(S109="Expirată"),"Valabilitatea a expirat: reconfirmă prețurile. ","")))</f>
        <v/>
      </c>
    </row>
    <row r="110" spans="2:20" x14ac:dyDescent="0.2">
      <c r="B110" s="20"/>
      <c r="C110" s="21"/>
      <c r="D110" s="22"/>
      <c r="E110" s="22"/>
      <c r="F110" s="22"/>
      <c r="G110" s="20"/>
      <c r="H110" s="23" t="str">
        <f t="shared" si="2"/>
        <v/>
      </c>
      <c r="I110" s="22"/>
      <c r="J110" s="22"/>
      <c r="K110" s="24"/>
      <c r="L110" s="22"/>
      <c r="M110" s="22"/>
      <c r="N110" s="20"/>
      <c r="O110" s="21"/>
      <c r="P110" s="25" t="str">
        <f>IF(B110="","",SUMIF('Linii ofertă'!$B$5:$B$1004,B110,'Linii ofertă'!$J$5:$J$1004))</f>
        <v/>
      </c>
      <c r="Q110" s="25" t="str">
        <f>IF(B110="","",SUMIF('Linii ofertă'!$B$5:$B$1004,B110,'Linii ofertă'!$M$5:$M$1004))</f>
        <v/>
      </c>
      <c r="R110" s="26" t="str">
        <f>IF(OR(B110="",N(P110)=0),"",SUMIF('Linii ofertă'!$B$5:$B$1004,B110,'Linii ofertă'!$P$5:$P$1004)/P110)</f>
        <v/>
      </c>
      <c r="S110" s="27" t="str">
        <f t="shared" ca="1" si="3"/>
        <v/>
      </c>
      <c r="T110" s="28" t="str">
        <f>IF(B110="","",TRIM(IF(COUNTIF($B$5:$B$504,B110)&gt;1,"Număr dublat. ","")&amp;IF(N(P110)=0,"Oferta nu are linii. ","")&amp;IF(M110="","Completează ce NU include oferta. ","")&amp;IF(AND(ISNUMBER(R110),R110&lt;MarjaMin),"Marjă totală sub minim. ","")&amp;IF(COUNTIFS('Linii ofertă'!$B$5:$B$1004,B110,'Linii ofertă'!$R$5:$R$1004,"Marjă*")&gt;0,"Are linii cu marjă sub minim. ","")&amp;IF(AND(S110="Expirată"),"Valabilitatea a expirat: reconfirmă prețurile. ","")))</f>
        <v/>
      </c>
    </row>
    <row r="111" spans="2:20" x14ac:dyDescent="0.2">
      <c r="B111" s="20"/>
      <c r="C111" s="21"/>
      <c r="D111" s="22"/>
      <c r="E111" s="22"/>
      <c r="F111" s="22"/>
      <c r="G111" s="20"/>
      <c r="H111" s="23" t="str">
        <f t="shared" si="2"/>
        <v/>
      </c>
      <c r="I111" s="22"/>
      <c r="J111" s="22"/>
      <c r="K111" s="24"/>
      <c r="L111" s="22"/>
      <c r="M111" s="22"/>
      <c r="N111" s="20"/>
      <c r="O111" s="21"/>
      <c r="P111" s="25" t="str">
        <f>IF(B111="","",SUMIF('Linii ofertă'!$B$5:$B$1004,B111,'Linii ofertă'!$J$5:$J$1004))</f>
        <v/>
      </c>
      <c r="Q111" s="25" t="str">
        <f>IF(B111="","",SUMIF('Linii ofertă'!$B$5:$B$1004,B111,'Linii ofertă'!$M$5:$M$1004))</f>
        <v/>
      </c>
      <c r="R111" s="26" t="str">
        <f>IF(OR(B111="",N(P111)=0),"",SUMIF('Linii ofertă'!$B$5:$B$1004,B111,'Linii ofertă'!$P$5:$P$1004)/P111)</f>
        <v/>
      </c>
      <c r="S111" s="27" t="str">
        <f t="shared" ca="1" si="3"/>
        <v/>
      </c>
      <c r="T111" s="28" t="str">
        <f>IF(B111="","",TRIM(IF(COUNTIF($B$5:$B$504,B111)&gt;1,"Număr dublat. ","")&amp;IF(N(P111)=0,"Oferta nu are linii. ","")&amp;IF(M111="","Completează ce NU include oferta. ","")&amp;IF(AND(ISNUMBER(R111),R111&lt;MarjaMin),"Marjă totală sub minim. ","")&amp;IF(COUNTIFS('Linii ofertă'!$B$5:$B$1004,B111,'Linii ofertă'!$R$5:$R$1004,"Marjă*")&gt;0,"Are linii cu marjă sub minim. ","")&amp;IF(AND(S111="Expirată"),"Valabilitatea a expirat: reconfirmă prețurile. ","")))</f>
        <v/>
      </c>
    </row>
    <row r="112" spans="2:20" x14ac:dyDescent="0.2">
      <c r="B112" s="20"/>
      <c r="C112" s="21"/>
      <c r="D112" s="22"/>
      <c r="E112" s="22"/>
      <c r="F112" s="22"/>
      <c r="G112" s="20"/>
      <c r="H112" s="23" t="str">
        <f t="shared" si="2"/>
        <v/>
      </c>
      <c r="I112" s="22"/>
      <c r="J112" s="22"/>
      <c r="K112" s="24"/>
      <c r="L112" s="22"/>
      <c r="M112" s="22"/>
      <c r="N112" s="20"/>
      <c r="O112" s="21"/>
      <c r="P112" s="25" t="str">
        <f>IF(B112="","",SUMIF('Linii ofertă'!$B$5:$B$1004,B112,'Linii ofertă'!$J$5:$J$1004))</f>
        <v/>
      </c>
      <c r="Q112" s="25" t="str">
        <f>IF(B112="","",SUMIF('Linii ofertă'!$B$5:$B$1004,B112,'Linii ofertă'!$M$5:$M$1004))</f>
        <v/>
      </c>
      <c r="R112" s="26" t="str">
        <f>IF(OR(B112="",N(P112)=0),"",SUMIF('Linii ofertă'!$B$5:$B$1004,B112,'Linii ofertă'!$P$5:$P$1004)/P112)</f>
        <v/>
      </c>
      <c r="S112" s="27" t="str">
        <f t="shared" ca="1" si="3"/>
        <v/>
      </c>
      <c r="T112" s="28" t="str">
        <f>IF(B112="","",TRIM(IF(COUNTIF($B$5:$B$504,B112)&gt;1,"Număr dublat. ","")&amp;IF(N(P112)=0,"Oferta nu are linii. ","")&amp;IF(M112="","Completează ce NU include oferta. ","")&amp;IF(AND(ISNUMBER(R112),R112&lt;MarjaMin),"Marjă totală sub minim. ","")&amp;IF(COUNTIFS('Linii ofertă'!$B$5:$B$1004,B112,'Linii ofertă'!$R$5:$R$1004,"Marjă*")&gt;0,"Are linii cu marjă sub minim. ","")&amp;IF(AND(S112="Expirată"),"Valabilitatea a expirat: reconfirmă prețurile. ","")))</f>
        <v/>
      </c>
    </row>
    <row r="113" spans="2:20" x14ac:dyDescent="0.2">
      <c r="B113" s="20"/>
      <c r="C113" s="21"/>
      <c r="D113" s="22"/>
      <c r="E113" s="22"/>
      <c r="F113" s="22"/>
      <c r="G113" s="20"/>
      <c r="H113" s="23" t="str">
        <f t="shared" si="2"/>
        <v/>
      </c>
      <c r="I113" s="22"/>
      <c r="J113" s="22"/>
      <c r="K113" s="24"/>
      <c r="L113" s="22"/>
      <c r="M113" s="22"/>
      <c r="N113" s="20"/>
      <c r="O113" s="21"/>
      <c r="P113" s="25" t="str">
        <f>IF(B113="","",SUMIF('Linii ofertă'!$B$5:$B$1004,B113,'Linii ofertă'!$J$5:$J$1004))</f>
        <v/>
      </c>
      <c r="Q113" s="25" t="str">
        <f>IF(B113="","",SUMIF('Linii ofertă'!$B$5:$B$1004,B113,'Linii ofertă'!$M$5:$M$1004))</f>
        <v/>
      </c>
      <c r="R113" s="26" t="str">
        <f>IF(OR(B113="",N(P113)=0),"",SUMIF('Linii ofertă'!$B$5:$B$1004,B113,'Linii ofertă'!$P$5:$P$1004)/P113)</f>
        <v/>
      </c>
      <c r="S113" s="27" t="str">
        <f t="shared" ca="1" si="3"/>
        <v/>
      </c>
      <c r="T113" s="28" t="str">
        <f>IF(B113="","",TRIM(IF(COUNTIF($B$5:$B$504,B113)&gt;1,"Număr dublat. ","")&amp;IF(N(P113)=0,"Oferta nu are linii. ","")&amp;IF(M113="","Completează ce NU include oferta. ","")&amp;IF(AND(ISNUMBER(R113),R113&lt;MarjaMin),"Marjă totală sub minim. ","")&amp;IF(COUNTIFS('Linii ofertă'!$B$5:$B$1004,B113,'Linii ofertă'!$R$5:$R$1004,"Marjă*")&gt;0,"Are linii cu marjă sub minim. ","")&amp;IF(AND(S113="Expirată"),"Valabilitatea a expirat: reconfirmă prețurile. ","")))</f>
        <v/>
      </c>
    </row>
    <row r="114" spans="2:20" x14ac:dyDescent="0.2">
      <c r="B114" s="20"/>
      <c r="C114" s="21"/>
      <c r="D114" s="22"/>
      <c r="E114" s="22"/>
      <c r="F114" s="22"/>
      <c r="G114" s="20"/>
      <c r="H114" s="23" t="str">
        <f t="shared" si="2"/>
        <v/>
      </c>
      <c r="I114" s="22"/>
      <c r="J114" s="22"/>
      <c r="K114" s="24"/>
      <c r="L114" s="22"/>
      <c r="M114" s="22"/>
      <c r="N114" s="20"/>
      <c r="O114" s="21"/>
      <c r="P114" s="25" t="str">
        <f>IF(B114="","",SUMIF('Linii ofertă'!$B$5:$B$1004,B114,'Linii ofertă'!$J$5:$J$1004))</f>
        <v/>
      </c>
      <c r="Q114" s="25" t="str">
        <f>IF(B114="","",SUMIF('Linii ofertă'!$B$5:$B$1004,B114,'Linii ofertă'!$M$5:$M$1004))</f>
        <v/>
      </c>
      <c r="R114" s="26" t="str">
        <f>IF(OR(B114="",N(P114)=0),"",SUMIF('Linii ofertă'!$B$5:$B$1004,B114,'Linii ofertă'!$P$5:$P$1004)/P114)</f>
        <v/>
      </c>
      <c r="S114" s="27" t="str">
        <f t="shared" ca="1" si="3"/>
        <v/>
      </c>
      <c r="T114" s="28" t="str">
        <f>IF(B114="","",TRIM(IF(COUNTIF($B$5:$B$504,B114)&gt;1,"Număr dublat. ","")&amp;IF(N(P114)=0,"Oferta nu are linii. ","")&amp;IF(M114="","Completează ce NU include oferta. ","")&amp;IF(AND(ISNUMBER(R114),R114&lt;MarjaMin),"Marjă totală sub minim. ","")&amp;IF(COUNTIFS('Linii ofertă'!$B$5:$B$1004,B114,'Linii ofertă'!$R$5:$R$1004,"Marjă*")&gt;0,"Are linii cu marjă sub minim. ","")&amp;IF(AND(S114="Expirată"),"Valabilitatea a expirat: reconfirmă prețurile. ","")))</f>
        <v/>
      </c>
    </row>
    <row r="115" spans="2:20" x14ac:dyDescent="0.2">
      <c r="B115" s="20"/>
      <c r="C115" s="21"/>
      <c r="D115" s="22"/>
      <c r="E115" s="22"/>
      <c r="F115" s="22"/>
      <c r="G115" s="20"/>
      <c r="H115" s="23" t="str">
        <f t="shared" si="2"/>
        <v/>
      </c>
      <c r="I115" s="22"/>
      <c r="J115" s="22"/>
      <c r="K115" s="24"/>
      <c r="L115" s="22"/>
      <c r="M115" s="22"/>
      <c r="N115" s="20"/>
      <c r="O115" s="21"/>
      <c r="P115" s="25" t="str">
        <f>IF(B115="","",SUMIF('Linii ofertă'!$B$5:$B$1004,B115,'Linii ofertă'!$J$5:$J$1004))</f>
        <v/>
      </c>
      <c r="Q115" s="25" t="str">
        <f>IF(B115="","",SUMIF('Linii ofertă'!$B$5:$B$1004,B115,'Linii ofertă'!$M$5:$M$1004))</f>
        <v/>
      </c>
      <c r="R115" s="26" t="str">
        <f>IF(OR(B115="",N(P115)=0),"",SUMIF('Linii ofertă'!$B$5:$B$1004,B115,'Linii ofertă'!$P$5:$P$1004)/P115)</f>
        <v/>
      </c>
      <c r="S115" s="27" t="str">
        <f t="shared" ca="1" si="3"/>
        <v/>
      </c>
      <c r="T115" s="28" t="str">
        <f>IF(B115="","",TRIM(IF(COUNTIF($B$5:$B$504,B115)&gt;1,"Număr dublat. ","")&amp;IF(N(P115)=0,"Oferta nu are linii. ","")&amp;IF(M115="","Completează ce NU include oferta. ","")&amp;IF(AND(ISNUMBER(R115),R115&lt;MarjaMin),"Marjă totală sub minim. ","")&amp;IF(COUNTIFS('Linii ofertă'!$B$5:$B$1004,B115,'Linii ofertă'!$R$5:$R$1004,"Marjă*")&gt;0,"Are linii cu marjă sub minim. ","")&amp;IF(AND(S115="Expirată"),"Valabilitatea a expirat: reconfirmă prețurile. ","")))</f>
        <v/>
      </c>
    </row>
    <row r="116" spans="2:20" x14ac:dyDescent="0.2">
      <c r="B116" s="20"/>
      <c r="C116" s="21"/>
      <c r="D116" s="22"/>
      <c r="E116" s="22"/>
      <c r="F116" s="22"/>
      <c r="G116" s="20"/>
      <c r="H116" s="23" t="str">
        <f t="shared" si="2"/>
        <v/>
      </c>
      <c r="I116" s="22"/>
      <c r="J116" s="22"/>
      <c r="K116" s="24"/>
      <c r="L116" s="22"/>
      <c r="M116" s="22"/>
      <c r="N116" s="20"/>
      <c r="O116" s="21"/>
      <c r="P116" s="25" t="str">
        <f>IF(B116="","",SUMIF('Linii ofertă'!$B$5:$B$1004,B116,'Linii ofertă'!$J$5:$J$1004))</f>
        <v/>
      </c>
      <c r="Q116" s="25" t="str">
        <f>IF(B116="","",SUMIF('Linii ofertă'!$B$5:$B$1004,B116,'Linii ofertă'!$M$5:$M$1004))</f>
        <v/>
      </c>
      <c r="R116" s="26" t="str">
        <f>IF(OR(B116="",N(P116)=0),"",SUMIF('Linii ofertă'!$B$5:$B$1004,B116,'Linii ofertă'!$P$5:$P$1004)/P116)</f>
        <v/>
      </c>
      <c r="S116" s="27" t="str">
        <f t="shared" ca="1" si="3"/>
        <v/>
      </c>
      <c r="T116" s="28" t="str">
        <f>IF(B116="","",TRIM(IF(COUNTIF($B$5:$B$504,B116)&gt;1,"Număr dublat. ","")&amp;IF(N(P116)=0,"Oferta nu are linii. ","")&amp;IF(M116="","Completează ce NU include oferta. ","")&amp;IF(AND(ISNUMBER(R116),R116&lt;MarjaMin),"Marjă totală sub minim. ","")&amp;IF(COUNTIFS('Linii ofertă'!$B$5:$B$1004,B116,'Linii ofertă'!$R$5:$R$1004,"Marjă*")&gt;0,"Are linii cu marjă sub minim. ","")&amp;IF(AND(S116="Expirată"),"Valabilitatea a expirat: reconfirmă prețurile. ","")))</f>
        <v/>
      </c>
    </row>
    <row r="117" spans="2:20" x14ac:dyDescent="0.2">
      <c r="B117" s="20"/>
      <c r="C117" s="21"/>
      <c r="D117" s="22"/>
      <c r="E117" s="22"/>
      <c r="F117" s="22"/>
      <c r="G117" s="20"/>
      <c r="H117" s="23" t="str">
        <f t="shared" si="2"/>
        <v/>
      </c>
      <c r="I117" s="22"/>
      <c r="J117" s="22"/>
      <c r="K117" s="24"/>
      <c r="L117" s="22"/>
      <c r="M117" s="22"/>
      <c r="N117" s="20"/>
      <c r="O117" s="21"/>
      <c r="P117" s="25" t="str">
        <f>IF(B117="","",SUMIF('Linii ofertă'!$B$5:$B$1004,B117,'Linii ofertă'!$J$5:$J$1004))</f>
        <v/>
      </c>
      <c r="Q117" s="25" t="str">
        <f>IF(B117="","",SUMIF('Linii ofertă'!$B$5:$B$1004,B117,'Linii ofertă'!$M$5:$M$1004))</f>
        <v/>
      </c>
      <c r="R117" s="26" t="str">
        <f>IF(OR(B117="",N(P117)=0),"",SUMIF('Linii ofertă'!$B$5:$B$1004,B117,'Linii ofertă'!$P$5:$P$1004)/P117)</f>
        <v/>
      </c>
      <c r="S117" s="27" t="str">
        <f t="shared" ca="1" si="3"/>
        <v/>
      </c>
      <c r="T117" s="28" t="str">
        <f>IF(B117="","",TRIM(IF(COUNTIF($B$5:$B$504,B117)&gt;1,"Număr dublat. ","")&amp;IF(N(P117)=0,"Oferta nu are linii. ","")&amp;IF(M117="","Completează ce NU include oferta. ","")&amp;IF(AND(ISNUMBER(R117),R117&lt;MarjaMin),"Marjă totală sub minim. ","")&amp;IF(COUNTIFS('Linii ofertă'!$B$5:$B$1004,B117,'Linii ofertă'!$R$5:$R$1004,"Marjă*")&gt;0,"Are linii cu marjă sub minim. ","")&amp;IF(AND(S117="Expirată"),"Valabilitatea a expirat: reconfirmă prețurile. ","")))</f>
        <v/>
      </c>
    </row>
    <row r="118" spans="2:20" x14ac:dyDescent="0.2">
      <c r="B118" s="20"/>
      <c r="C118" s="21"/>
      <c r="D118" s="22"/>
      <c r="E118" s="22"/>
      <c r="F118" s="22"/>
      <c r="G118" s="20"/>
      <c r="H118" s="23" t="str">
        <f t="shared" si="2"/>
        <v/>
      </c>
      <c r="I118" s="22"/>
      <c r="J118" s="22"/>
      <c r="K118" s="24"/>
      <c r="L118" s="22"/>
      <c r="M118" s="22"/>
      <c r="N118" s="20"/>
      <c r="O118" s="21"/>
      <c r="P118" s="25" t="str">
        <f>IF(B118="","",SUMIF('Linii ofertă'!$B$5:$B$1004,B118,'Linii ofertă'!$J$5:$J$1004))</f>
        <v/>
      </c>
      <c r="Q118" s="25" t="str">
        <f>IF(B118="","",SUMIF('Linii ofertă'!$B$5:$B$1004,B118,'Linii ofertă'!$M$5:$M$1004))</f>
        <v/>
      </c>
      <c r="R118" s="26" t="str">
        <f>IF(OR(B118="",N(P118)=0),"",SUMIF('Linii ofertă'!$B$5:$B$1004,B118,'Linii ofertă'!$P$5:$P$1004)/P118)</f>
        <v/>
      </c>
      <c r="S118" s="27" t="str">
        <f t="shared" ca="1" si="3"/>
        <v/>
      </c>
      <c r="T118" s="28" t="str">
        <f>IF(B118="","",TRIM(IF(COUNTIF($B$5:$B$504,B118)&gt;1,"Număr dublat. ","")&amp;IF(N(P118)=0,"Oferta nu are linii. ","")&amp;IF(M118="","Completează ce NU include oferta. ","")&amp;IF(AND(ISNUMBER(R118),R118&lt;MarjaMin),"Marjă totală sub minim. ","")&amp;IF(COUNTIFS('Linii ofertă'!$B$5:$B$1004,B118,'Linii ofertă'!$R$5:$R$1004,"Marjă*")&gt;0,"Are linii cu marjă sub minim. ","")&amp;IF(AND(S118="Expirată"),"Valabilitatea a expirat: reconfirmă prețurile. ","")))</f>
        <v/>
      </c>
    </row>
    <row r="119" spans="2:20" x14ac:dyDescent="0.2">
      <c r="B119" s="20"/>
      <c r="C119" s="21"/>
      <c r="D119" s="22"/>
      <c r="E119" s="22"/>
      <c r="F119" s="22"/>
      <c r="G119" s="20"/>
      <c r="H119" s="23" t="str">
        <f t="shared" si="2"/>
        <v/>
      </c>
      <c r="I119" s="22"/>
      <c r="J119" s="22"/>
      <c r="K119" s="24"/>
      <c r="L119" s="22"/>
      <c r="M119" s="22"/>
      <c r="N119" s="20"/>
      <c r="O119" s="21"/>
      <c r="P119" s="25" t="str">
        <f>IF(B119="","",SUMIF('Linii ofertă'!$B$5:$B$1004,B119,'Linii ofertă'!$J$5:$J$1004))</f>
        <v/>
      </c>
      <c r="Q119" s="25" t="str">
        <f>IF(B119="","",SUMIF('Linii ofertă'!$B$5:$B$1004,B119,'Linii ofertă'!$M$5:$M$1004))</f>
        <v/>
      </c>
      <c r="R119" s="26" t="str">
        <f>IF(OR(B119="",N(P119)=0),"",SUMIF('Linii ofertă'!$B$5:$B$1004,B119,'Linii ofertă'!$P$5:$P$1004)/P119)</f>
        <v/>
      </c>
      <c r="S119" s="27" t="str">
        <f t="shared" ca="1" si="3"/>
        <v/>
      </c>
      <c r="T119" s="28" t="str">
        <f>IF(B119="","",TRIM(IF(COUNTIF($B$5:$B$504,B119)&gt;1,"Număr dublat. ","")&amp;IF(N(P119)=0,"Oferta nu are linii. ","")&amp;IF(M119="","Completează ce NU include oferta. ","")&amp;IF(AND(ISNUMBER(R119),R119&lt;MarjaMin),"Marjă totală sub minim. ","")&amp;IF(COUNTIFS('Linii ofertă'!$B$5:$B$1004,B119,'Linii ofertă'!$R$5:$R$1004,"Marjă*")&gt;0,"Are linii cu marjă sub minim. ","")&amp;IF(AND(S119="Expirată"),"Valabilitatea a expirat: reconfirmă prețurile. ","")))</f>
        <v/>
      </c>
    </row>
    <row r="120" spans="2:20" x14ac:dyDescent="0.2">
      <c r="B120" s="20"/>
      <c r="C120" s="21"/>
      <c r="D120" s="22"/>
      <c r="E120" s="22"/>
      <c r="F120" s="22"/>
      <c r="G120" s="20"/>
      <c r="H120" s="23" t="str">
        <f t="shared" si="2"/>
        <v/>
      </c>
      <c r="I120" s="22"/>
      <c r="J120" s="22"/>
      <c r="K120" s="24"/>
      <c r="L120" s="22"/>
      <c r="M120" s="22"/>
      <c r="N120" s="20"/>
      <c r="O120" s="21"/>
      <c r="P120" s="25" t="str">
        <f>IF(B120="","",SUMIF('Linii ofertă'!$B$5:$B$1004,B120,'Linii ofertă'!$J$5:$J$1004))</f>
        <v/>
      </c>
      <c r="Q120" s="25" t="str">
        <f>IF(B120="","",SUMIF('Linii ofertă'!$B$5:$B$1004,B120,'Linii ofertă'!$M$5:$M$1004))</f>
        <v/>
      </c>
      <c r="R120" s="26" t="str">
        <f>IF(OR(B120="",N(P120)=0),"",SUMIF('Linii ofertă'!$B$5:$B$1004,B120,'Linii ofertă'!$P$5:$P$1004)/P120)</f>
        <v/>
      </c>
      <c r="S120" s="27" t="str">
        <f t="shared" ca="1" si="3"/>
        <v/>
      </c>
      <c r="T120" s="28" t="str">
        <f>IF(B120="","",TRIM(IF(COUNTIF($B$5:$B$504,B120)&gt;1,"Număr dublat. ","")&amp;IF(N(P120)=0,"Oferta nu are linii. ","")&amp;IF(M120="","Completează ce NU include oferta. ","")&amp;IF(AND(ISNUMBER(R120),R120&lt;MarjaMin),"Marjă totală sub minim. ","")&amp;IF(COUNTIFS('Linii ofertă'!$B$5:$B$1004,B120,'Linii ofertă'!$R$5:$R$1004,"Marjă*")&gt;0,"Are linii cu marjă sub minim. ","")&amp;IF(AND(S120="Expirată"),"Valabilitatea a expirat: reconfirmă prețurile. ","")))</f>
        <v/>
      </c>
    </row>
    <row r="121" spans="2:20" x14ac:dyDescent="0.2">
      <c r="B121" s="20"/>
      <c r="C121" s="21"/>
      <c r="D121" s="22"/>
      <c r="E121" s="22"/>
      <c r="F121" s="22"/>
      <c r="G121" s="20"/>
      <c r="H121" s="23" t="str">
        <f t="shared" si="2"/>
        <v/>
      </c>
      <c r="I121" s="22"/>
      <c r="J121" s="22"/>
      <c r="K121" s="24"/>
      <c r="L121" s="22"/>
      <c r="M121" s="22"/>
      <c r="N121" s="20"/>
      <c r="O121" s="21"/>
      <c r="P121" s="25" t="str">
        <f>IF(B121="","",SUMIF('Linii ofertă'!$B$5:$B$1004,B121,'Linii ofertă'!$J$5:$J$1004))</f>
        <v/>
      </c>
      <c r="Q121" s="25" t="str">
        <f>IF(B121="","",SUMIF('Linii ofertă'!$B$5:$B$1004,B121,'Linii ofertă'!$M$5:$M$1004))</f>
        <v/>
      </c>
      <c r="R121" s="26" t="str">
        <f>IF(OR(B121="",N(P121)=0),"",SUMIF('Linii ofertă'!$B$5:$B$1004,B121,'Linii ofertă'!$P$5:$P$1004)/P121)</f>
        <v/>
      </c>
      <c r="S121" s="27" t="str">
        <f t="shared" ca="1" si="3"/>
        <v/>
      </c>
      <c r="T121" s="28" t="str">
        <f>IF(B121="","",TRIM(IF(COUNTIF($B$5:$B$504,B121)&gt;1,"Număr dublat. ","")&amp;IF(N(P121)=0,"Oferta nu are linii. ","")&amp;IF(M121="","Completează ce NU include oferta. ","")&amp;IF(AND(ISNUMBER(R121),R121&lt;MarjaMin),"Marjă totală sub minim. ","")&amp;IF(COUNTIFS('Linii ofertă'!$B$5:$B$1004,B121,'Linii ofertă'!$R$5:$R$1004,"Marjă*")&gt;0,"Are linii cu marjă sub minim. ","")&amp;IF(AND(S121="Expirată"),"Valabilitatea a expirat: reconfirmă prețurile. ","")))</f>
        <v/>
      </c>
    </row>
    <row r="122" spans="2:20" x14ac:dyDescent="0.2">
      <c r="B122" s="20"/>
      <c r="C122" s="21"/>
      <c r="D122" s="22"/>
      <c r="E122" s="22"/>
      <c r="F122" s="22"/>
      <c r="G122" s="20"/>
      <c r="H122" s="23" t="str">
        <f t="shared" si="2"/>
        <v/>
      </c>
      <c r="I122" s="22"/>
      <c r="J122" s="22"/>
      <c r="K122" s="24"/>
      <c r="L122" s="22"/>
      <c r="M122" s="22"/>
      <c r="N122" s="20"/>
      <c r="O122" s="21"/>
      <c r="P122" s="25" t="str">
        <f>IF(B122="","",SUMIF('Linii ofertă'!$B$5:$B$1004,B122,'Linii ofertă'!$J$5:$J$1004))</f>
        <v/>
      </c>
      <c r="Q122" s="25" t="str">
        <f>IF(B122="","",SUMIF('Linii ofertă'!$B$5:$B$1004,B122,'Linii ofertă'!$M$5:$M$1004))</f>
        <v/>
      </c>
      <c r="R122" s="26" t="str">
        <f>IF(OR(B122="",N(P122)=0),"",SUMIF('Linii ofertă'!$B$5:$B$1004,B122,'Linii ofertă'!$P$5:$P$1004)/P122)</f>
        <v/>
      </c>
      <c r="S122" s="27" t="str">
        <f t="shared" ca="1" si="3"/>
        <v/>
      </c>
      <c r="T122" s="28" t="str">
        <f>IF(B122="","",TRIM(IF(COUNTIF($B$5:$B$504,B122)&gt;1,"Număr dublat. ","")&amp;IF(N(P122)=0,"Oferta nu are linii. ","")&amp;IF(M122="","Completează ce NU include oferta. ","")&amp;IF(AND(ISNUMBER(R122),R122&lt;MarjaMin),"Marjă totală sub minim. ","")&amp;IF(COUNTIFS('Linii ofertă'!$B$5:$B$1004,B122,'Linii ofertă'!$R$5:$R$1004,"Marjă*")&gt;0,"Are linii cu marjă sub minim. ","")&amp;IF(AND(S122="Expirată"),"Valabilitatea a expirat: reconfirmă prețurile. ","")))</f>
        <v/>
      </c>
    </row>
    <row r="123" spans="2:20" x14ac:dyDescent="0.2">
      <c r="B123" s="20"/>
      <c r="C123" s="21"/>
      <c r="D123" s="22"/>
      <c r="E123" s="22"/>
      <c r="F123" s="22"/>
      <c r="G123" s="20"/>
      <c r="H123" s="23" t="str">
        <f t="shared" si="2"/>
        <v/>
      </c>
      <c r="I123" s="22"/>
      <c r="J123" s="22"/>
      <c r="K123" s="24"/>
      <c r="L123" s="22"/>
      <c r="M123" s="22"/>
      <c r="N123" s="20"/>
      <c r="O123" s="21"/>
      <c r="P123" s="25" t="str">
        <f>IF(B123="","",SUMIF('Linii ofertă'!$B$5:$B$1004,B123,'Linii ofertă'!$J$5:$J$1004))</f>
        <v/>
      </c>
      <c r="Q123" s="25" t="str">
        <f>IF(B123="","",SUMIF('Linii ofertă'!$B$5:$B$1004,B123,'Linii ofertă'!$M$5:$M$1004))</f>
        <v/>
      </c>
      <c r="R123" s="26" t="str">
        <f>IF(OR(B123="",N(P123)=0),"",SUMIF('Linii ofertă'!$B$5:$B$1004,B123,'Linii ofertă'!$P$5:$P$1004)/P123)</f>
        <v/>
      </c>
      <c r="S123" s="27" t="str">
        <f t="shared" ca="1" si="3"/>
        <v/>
      </c>
      <c r="T123" s="28" t="str">
        <f>IF(B123="","",TRIM(IF(COUNTIF($B$5:$B$504,B123)&gt;1,"Număr dublat. ","")&amp;IF(N(P123)=0,"Oferta nu are linii. ","")&amp;IF(M123="","Completează ce NU include oferta. ","")&amp;IF(AND(ISNUMBER(R123),R123&lt;MarjaMin),"Marjă totală sub minim. ","")&amp;IF(COUNTIFS('Linii ofertă'!$B$5:$B$1004,B123,'Linii ofertă'!$R$5:$R$1004,"Marjă*")&gt;0,"Are linii cu marjă sub minim. ","")&amp;IF(AND(S123="Expirată"),"Valabilitatea a expirat: reconfirmă prețurile. ","")))</f>
        <v/>
      </c>
    </row>
    <row r="124" spans="2:20" x14ac:dyDescent="0.2">
      <c r="B124" s="20"/>
      <c r="C124" s="21"/>
      <c r="D124" s="22"/>
      <c r="E124" s="22"/>
      <c r="F124" s="22"/>
      <c r="G124" s="20"/>
      <c r="H124" s="23" t="str">
        <f t="shared" si="2"/>
        <v/>
      </c>
      <c r="I124" s="22"/>
      <c r="J124" s="22"/>
      <c r="K124" s="24"/>
      <c r="L124" s="22"/>
      <c r="M124" s="22"/>
      <c r="N124" s="20"/>
      <c r="O124" s="21"/>
      <c r="P124" s="25" t="str">
        <f>IF(B124="","",SUMIF('Linii ofertă'!$B$5:$B$1004,B124,'Linii ofertă'!$J$5:$J$1004))</f>
        <v/>
      </c>
      <c r="Q124" s="25" t="str">
        <f>IF(B124="","",SUMIF('Linii ofertă'!$B$5:$B$1004,B124,'Linii ofertă'!$M$5:$M$1004))</f>
        <v/>
      </c>
      <c r="R124" s="26" t="str">
        <f>IF(OR(B124="",N(P124)=0),"",SUMIF('Linii ofertă'!$B$5:$B$1004,B124,'Linii ofertă'!$P$5:$P$1004)/P124)</f>
        <v/>
      </c>
      <c r="S124" s="27" t="str">
        <f t="shared" ca="1" si="3"/>
        <v/>
      </c>
      <c r="T124" s="28" t="str">
        <f>IF(B124="","",TRIM(IF(COUNTIF($B$5:$B$504,B124)&gt;1,"Număr dublat. ","")&amp;IF(N(P124)=0,"Oferta nu are linii. ","")&amp;IF(M124="","Completează ce NU include oferta. ","")&amp;IF(AND(ISNUMBER(R124),R124&lt;MarjaMin),"Marjă totală sub minim. ","")&amp;IF(COUNTIFS('Linii ofertă'!$B$5:$B$1004,B124,'Linii ofertă'!$R$5:$R$1004,"Marjă*")&gt;0,"Are linii cu marjă sub minim. ","")&amp;IF(AND(S124="Expirată"),"Valabilitatea a expirat: reconfirmă prețurile. ","")))</f>
        <v/>
      </c>
    </row>
    <row r="125" spans="2:20" x14ac:dyDescent="0.2">
      <c r="B125" s="20"/>
      <c r="C125" s="21"/>
      <c r="D125" s="22"/>
      <c r="E125" s="22"/>
      <c r="F125" s="22"/>
      <c r="G125" s="20"/>
      <c r="H125" s="23" t="str">
        <f t="shared" si="2"/>
        <v/>
      </c>
      <c r="I125" s="22"/>
      <c r="J125" s="22"/>
      <c r="K125" s="24"/>
      <c r="L125" s="22"/>
      <c r="M125" s="22"/>
      <c r="N125" s="20"/>
      <c r="O125" s="21"/>
      <c r="P125" s="25" t="str">
        <f>IF(B125="","",SUMIF('Linii ofertă'!$B$5:$B$1004,B125,'Linii ofertă'!$J$5:$J$1004))</f>
        <v/>
      </c>
      <c r="Q125" s="25" t="str">
        <f>IF(B125="","",SUMIF('Linii ofertă'!$B$5:$B$1004,B125,'Linii ofertă'!$M$5:$M$1004))</f>
        <v/>
      </c>
      <c r="R125" s="26" t="str">
        <f>IF(OR(B125="",N(P125)=0),"",SUMIF('Linii ofertă'!$B$5:$B$1004,B125,'Linii ofertă'!$P$5:$P$1004)/P125)</f>
        <v/>
      </c>
      <c r="S125" s="27" t="str">
        <f t="shared" ca="1" si="3"/>
        <v/>
      </c>
      <c r="T125" s="28" t="str">
        <f>IF(B125="","",TRIM(IF(COUNTIF($B$5:$B$504,B125)&gt;1,"Număr dublat. ","")&amp;IF(N(P125)=0,"Oferta nu are linii. ","")&amp;IF(M125="","Completează ce NU include oferta. ","")&amp;IF(AND(ISNUMBER(R125),R125&lt;MarjaMin),"Marjă totală sub minim. ","")&amp;IF(COUNTIFS('Linii ofertă'!$B$5:$B$1004,B125,'Linii ofertă'!$R$5:$R$1004,"Marjă*")&gt;0,"Are linii cu marjă sub minim. ","")&amp;IF(AND(S125="Expirată"),"Valabilitatea a expirat: reconfirmă prețurile. ","")))</f>
        <v/>
      </c>
    </row>
    <row r="126" spans="2:20" x14ac:dyDescent="0.2">
      <c r="B126" s="20"/>
      <c r="C126" s="21"/>
      <c r="D126" s="22"/>
      <c r="E126" s="22"/>
      <c r="F126" s="22"/>
      <c r="G126" s="20"/>
      <c r="H126" s="23" t="str">
        <f t="shared" si="2"/>
        <v/>
      </c>
      <c r="I126" s="22"/>
      <c r="J126" s="22"/>
      <c r="K126" s="24"/>
      <c r="L126" s="22"/>
      <c r="M126" s="22"/>
      <c r="N126" s="20"/>
      <c r="O126" s="21"/>
      <c r="P126" s="25" t="str">
        <f>IF(B126="","",SUMIF('Linii ofertă'!$B$5:$B$1004,B126,'Linii ofertă'!$J$5:$J$1004))</f>
        <v/>
      </c>
      <c r="Q126" s="25" t="str">
        <f>IF(B126="","",SUMIF('Linii ofertă'!$B$5:$B$1004,B126,'Linii ofertă'!$M$5:$M$1004))</f>
        <v/>
      </c>
      <c r="R126" s="26" t="str">
        <f>IF(OR(B126="",N(P126)=0),"",SUMIF('Linii ofertă'!$B$5:$B$1004,B126,'Linii ofertă'!$P$5:$P$1004)/P126)</f>
        <v/>
      </c>
      <c r="S126" s="27" t="str">
        <f t="shared" ca="1" si="3"/>
        <v/>
      </c>
      <c r="T126" s="28" t="str">
        <f>IF(B126="","",TRIM(IF(COUNTIF($B$5:$B$504,B126)&gt;1,"Număr dublat. ","")&amp;IF(N(P126)=0,"Oferta nu are linii. ","")&amp;IF(M126="","Completează ce NU include oferta. ","")&amp;IF(AND(ISNUMBER(R126),R126&lt;MarjaMin),"Marjă totală sub minim. ","")&amp;IF(COUNTIFS('Linii ofertă'!$B$5:$B$1004,B126,'Linii ofertă'!$R$5:$R$1004,"Marjă*")&gt;0,"Are linii cu marjă sub minim. ","")&amp;IF(AND(S126="Expirată"),"Valabilitatea a expirat: reconfirmă prețurile. ","")))</f>
        <v/>
      </c>
    </row>
    <row r="127" spans="2:20" x14ac:dyDescent="0.2">
      <c r="B127" s="20"/>
      <c r="C127" s="21"/>
      <c r="D127" s="22"/>
      <c r="E127" s="22"/>
      <c r="F127" s="22"/>
      <c r="G127" s="20"/>
      <c r="H127" s="23" t="str">
        <f t="shared" si="2"/>
        <v/>
      </c>
      <c r="I127" s="22"/>
      <c r="J127" s="22"/>
      <c r="K127" s="24"/>
      <c r="L127" s="22"/>
      <c r="M127" s="22"/>
      <c r="N127" s="20"/>
      <c r="O127" s="21"/>
      <c r="P127" s="25" t="str">
        <f>IF(B127="","",SUMIF('Linii ofertă'!$B$5:$B$1004,B127,'Linii ofertă'!$J$5:$J$1004))</f>
        <v/>
      </c>
      <c r="Q127" s="25" t="str">
        <f>IF(B127="","",SUMIF('Linii ofertă'!$B$5:$B$1004,B127,'Linii ofertă'!$M$5:$M$1004))</f>
        <v/>
      </c>
      <c r="R127" s="26" t="str">
        <f>IF(OR(B127="",N(P127)=0),"",SUMIF('Linii ofertă'!$B$5:$B$1004,B127,'Linii ofertă'!$P$5:$P$1004)/P127)</f>
        <v/>
      </c>
      <c r="S127" s="27" t="str">
        <f t="shared" ca="1" si="3"/>
        <v/>
      </c>
      <c r="T127" s="28" t="str">
        <f>IF(B127="","",TRIM(IF(COUNTIF($B$5:$B$504,B127)&gt;1,"Număr dublat. ","")&amp;IF(N(P127)=0,"Oferta nu are linii. ","")&amp;IF(M127="","Completează ce NU include oferta. ","")&amp;IF(AND(ISNUMBER(R127),R127&lt;MarjaMin),"Marjă totală sub minim. ","")&amp;IF(COUNTIFS('Linii ofertă'!$B$5:$B$1004,B127,'Linii ofertă'!$R$5:$R$1004,"Marjă*")&gt;0,"Are linii cu marjă sub minim. ","")&amp;IF(AND(S127="Expirată"),"Valabilitatea a expirat: reconfirmă prețurile. ","")))</f>
        <v/>
      </c>
    </row>
    <row r="128" spans="2:20" x14ac:dyDescent="0.2">
      <c r="B128" s="20"/>
      <c r="C128" s="21"/>
      <c r="D128" s="22"/>
      <c r="E128" s="22"/>
      <c r="F128" s="22"/>
      <c r="G128" s="20"/>
      <c r="H128" s="23" t="str">
        <f t="shared" si="2"/>
        <v/>
      </c>
      <c r="I128" s="22"/>
      <c r="J128" s="22"/>
      <c r="K128" s="24"/>
      <c r="L128" s="22"/>
      <c r="M128" s="22"/>
      <c r="N128" s="20"/>
      <c r="O128" s="21"/>
      <c r="P128" s="25" t="str">
        <f>IF(B128="","",SUMIF('Linii ofertă'!$B$5:$B$1004,B128,'Linii ofertă'!$J$5:$J$1004))</f>
        <v/>
      </c>
      <c r="Q128" s="25" t="str">
        <f>IF(B128="","",SUMIF('Linii ofertă'!$B$5:$B$1004,B128,'Linii ofertă'!$M$5:$M$1004))</f>
        <v/>
      </c>
      <c r="R128" s="26" t="str">
        <f>IF(OR(B128="",N(P128)=0),"",SUMIF('Linii ofertă'!$B$5:$B$1004,B128,'Linii ofertă'!$P$5:$P$1004)/P128)</f>
        <v/>
      </c>
      <c r="S128" s="27" t="str">
        <f t="shared" ca="1" si="3"/>
        <v/>
      </c>
      <c r="T128" s="28" t="str">
        <f>IF(B128="","",TRIM(IF(COUNTIF($B$5:$B$504,B128)&gt;1,"Număr dublat. ","")&amp;IF(N(P128)=0,"Oferta nu are linii. ","")&amp;IF(M128="","Completează ce NU include oferta. ","")&amp;IF(AND(ISNUMBER(R128),R128&lt;MarjaMin),"Marjă totală sub minim. ","")&amp;IF(COUNTIFS('Linii ofertă'!$B$5:$B$1004,B128,'Linii ofertă'!$R$5:$R$1004,"Marjă*")&gt;0,"Are linii cu marjă sub minim. ","")&amp;IF(AND(S128="Expirată"),"Valabilitatea a expirat: reconfirmă prețurile. ","")))</f>
        <v/>
      </c>
    </row>
    <row r="129" spans="2:20" x14ac:dyDescent="0.2">
      <c r="B129" s="20"/>
      <c r="C129" s="21"/>
      <c r="D129" s="22"/>
      <c r="E129" s="22"/>
      <c r="F129" s="22"/>
      <c r="G129" s="20"/>
      <c r="H129" s="23" t="str">
        <f t="shared" si="2"/>
        <v/>
      </c>
      <c r="I129" s="22"/>
      <c r="J129" s="22"/>
      <c r="K129" s="24"/>
      <c r="L129" s="22"/>
      <c r="M129" s="22"/>
      <c r="N129" s="20"/>
      <c r="O129" s="21"/>
      <c r="P129" s="25" t="str">
        <f>IF(B129="","",SUMIF('Linii ofertă'!$B$5:$B$1004,B129,'Linii ofertă'!$J$5:$J$1004))</f>
        <v/>
      </c>
      <c r="Q129" s="25" t="str">
        <f>IF(B129="","",SUMIF('Linii ofertă'!$B$5:$B$1004,B129,'Linii ofertă'!$M$5:$M$1004))</f>
        <v/>
      </c>
      <c r="R129" s="26" t="str">
        <f>IF(OR(B129="",N(P129)=0),"",SUMIF('Linii ofertă'!$B$5:$B$1004,B129,'Linii ofertă'!$P$5:$P$1004)/P129)</f>
        <v/>
      </c>
      <c r="S129" s="27" t="str">
        <f t="shared" ca="1" si="3"/>
        <v/>
      </c>
      <c r="T129" s="28" t="str">
        <f>IF(B129="","",TRIM(IF(COUNTIF($B$5:$B$504,B129)&gt;1,"Număr dublat. ","")&amp;IF(N(P129)=0,"Oferta nu are linii. ","")&amp;IF(M129="","Completează ce NU include oferta. ","")&amp;IF(AND(ISNUMBER(R129),R129&lt;MarjaMin),"Marjă totală sub minim. ","")&amp;IF(COUNTIFS('Linii ofertă'!$B$5:$B$1004,B129,'Linii ofertă'!$R$5:$R$1004,"Marjă*")&gt;0,"Are linii cu marjă sub minim. ","")&amp;IF(AND(S129="Expirată"),"Valabilitatea a expirat: reconfirmă prețurile. ","")))</f>
        <v/>
      </c>
    </row>
    <row r="130" spans="2:20" x14ac:dyDescent="0.2">
      <c r="B130" s="20"/>
      <c r="C130" s="21"/>
      <c r="D130" s="22"/>
      <c r="E130" s="22"/>
      <c r="F130" s="22"/>
      <c r="G130" s="20"/>
      <c r="H130" s="23" t="str">
        <f t="shared" si="2"/>
        <v/>
      </c>
      <c r="I130" s="22"/>
      <c r="J130" s="22"/>
      <c r="K130" s="24"/>
      <c r="L130" s="22"/>
      <c r="M130" s="22"/>
      <c r="N130" s="20"/>
      <c r="O130" s="21"/>
      <c r="P130" s="25" t="str">
        <f>IF(B130="","",SUMIF('Linii ofertă'!$B$5:$B$1004,B130,'Linii ofertă'!$J$5:$J$1004))</f>
        <v/>
      </c>
      <c r="Q130" s="25" t="str">
        <f>IF(B130="","",SUMIF('Linii ofertă'!$B$5:$B$1004,B130,'Linii ofertă'!$M$5:$M$1004))</f>
        <v/>
      </c>
      <c r="R130" s="26" t="str">
        <f>IF(OR(B130="",N(P130)=0),"",SUMIF('Linii ofertă'!$B$5:$B$1004,B130,'Linii ofertă'!$P$5:$P$1004)/P130)</f>
        <v/>
      </c>
      <c r="S130" s="27" t="str">
        <f t="shared" ca="1" si="3"/>
        <v/>
      </c>
      <c r="T130" s="28" t="str">
        <f>IF(B130="","",TRIM(IF(COUNTIF($B$5:$B$504,B130)&gt;1,"Număr dublat. ","")&amp;IF(N(P130)=0,"Oferta nu are linii. ","")&amp;IF(M130="","Completează ce NU include oferta. ","")&amp;IF(AND(ISNUMBER(R130),R130&lt;MarjaMin),"Marjă totală sub minim. ","")&amp;IF(COUNTIFS('Linii ofertă'!$B$5:$B$1004,B130,'Linii ofertă'!$R$5:$R$1004,"Marjă*")&gt;0,"Are linii cu marjă sub minim. ","")&amp;IF(AND(S130="Expirată"),"Valabilitatea a expirat: reconfirmă prețurile. ","")))</f>
        <v/>
      </c>
    </row>
    <row r="131" spans="2:20" x14ac:dyDescent="0.2">
      <c r="B131" s="20"/>
      <c r="C131" s="21"/>
      <c r="D131" s="22"/>
      <c r="E131" s="22"/>
      <c r="F131" s="22"/>
      <c r="G131" s="20"/>
      <c r="H131" s="23" t="str">
        <f t="shared" si="2"/>
        <v/>
      </c>
      <c r="I131" s="22"/>
      <c r="J131" s="22"/>
      <c r="K131" s="24"/>
      <c r="L131" s="22"/>
      <c r="M131" s="22"/>
      <c r="N131" s="20"/>
      <c r="O131" s="21"/>
      <c r="P131" s="25" t="str">
        <f>IF(B131="","",SUMIF('Linii ofertă'!$B$5:$B$1004,B131,'Linii ofertă'!$J$5:$J$1004))</f>
        <v/>
      </c>
      <c r="Q131" s="25" t="str">
        <f>IF(B131="","",SUMIF('Linii ofertă'!$B$5:$B$1004,B131,'Linii ofertă'!$M$5:$M$1004))</f>
        <v/>
      </c>
      <c r="R131" s="26" t="str">
        <f>IF(OR(B131="",N(P131)=0),"",SUMIF('Linii ofertă'!$B$5:$B$1004,B131,'Linii ofertă'!$P$5:$P$1004)/P131)</f>
        <v/>
      </c>
      <c r="S131" s="27" t="str">
        <f t="shared" ca="1" si="3"/>
        <v/>
      </c>
      <c r="T131" s="28" t="str">
        <f>IF(B131="","",TRIM(IF(COUNTIF($B$5:$B$504,B131)&gt;1,"Număr dublat. ","")&amp;IF(N(P131)=0,"Oferta nu are linii. ","")&amp;IF(M131="","Completează ce NU include oferta. ","")&amp;IF(AND(ISNUMBER(R131),R131&lt;MarjaMin),"Marjă totală sub minim. ","")&amp;IF(COUNTIFS('Linii ofertă'!$B$5:$B$1004,B131,'Linii ofertă'!$R$5:$R$1004,"Marjă*")&gt;0,"Are linii cu marjă sub minim. ","")&amp;IF(AND(S131="Expirată"),"Valabilitatea a expirat: reconfirmă prețurile. ","")))</f>
        <v/>
      </c>
    </row>
    <row r="132" spans="2:20" x14ac:dyDescent="0.2">
      <c r="B132" s="20"/>
      <c r="C132" s="21"/>
      <c r="D132" s="22"/>
      <c r="E132" s="22"/>
      <c r="F132" s="22"/>
      <c r="G132" s="20"/>
      <c r="H132" s="23" t="str">
        <f t="shared" si="2"/>
        <v/>
      </c>
      <c r="I132" s="22"/>
      <c r="J132" s="22"/>
      <c r="K132" s="24"/>
      <c r="L132" s="22"/>
      <c r="M132" s="22"/>
      <c r="N132" s="20"/>
      <c r="O132" s="21"/>
      <c r="P132" s="25" t="str">
        <f>IF(B132="","",SUMIF('Linii ofertă'!$B$5:$B$1004,B132,'Linii ofertă'!$J$5:$J$1004))</f>
        <v/>
      </c>
      <c r="Q132" s="25" t="str">
        <f>IF(B132="","",SUMIF('Linii ofertă'!$B$5:$B$1004,B132,'Linii ofertă'!$M$5:$M$1004))</f>
        <v/>
      </c>
      <c r="R132" s="26" t="str">
        <f>IF(OR(B132="",N(P132)=0),"",SUMIF('Linii ofertă'!$B$5:$B$1004,B132,'Linii ofertă'!$P$5:$P$1004)/P132)</f>
        <v/>
      </c>
      <c r="S132" s="27" t="str">
        <f t="shared" ca="1" si="3"/>
        <v/>
      </c>
      <c r="T132" s="28" t="str">
        <f>IF(B132="","",TRIM(IF(COUNTIF($B$5:$B$504,B132)&gt;1,"Număr dublat. ","")&amp;IF(N(P132)=0,"Oferta nu are linii. ","")&amp;IF(M132="","Completează ce NU include oferta. ","")&amp;IF(AND(ISNUMBER(R132),R132&lt;MarjaMin),"Marjă totală sub minim. ","")&amp;IF(COUNTIFS('Linii ofertă'!$B$5:$B$1004,B132,'Linii ofertă'!$R$5:$R$1004,"Marjă*")&gt;0,"Are linii cu marjă sub minim. ","")&amp;IF(AND(S132="Expirată"),"Valabilitatea a expirat: reconfirmă prețurile. ","")))</f>
        <v/>
      </c>
    </row>
    <row r="133" spans="2:20" x14ac:dyDescent="0.2">
      <c r="B133" s="20"/>
      <c r="C133" s="21"/>
      <c r="D133" s="22"/>
      <c r="E133" s="22"/>
      <c r="F133" s="22"/>
      <c r="G133" s="20"/>
      <c r="H133" s="23" t="str">
        <f t="shared" ref="H133:H196" si="4">IF(OR(B133="",C133=""),"",C133+IF(G133="",ValImpl,G133))</f>
        <v/>
      </c>
      <c r="I133" s="22"/>
      <c r="J133" s="22"/>
      <c r="K133" s="24"/>
      <c r="L133" s="22"/>
      <c r="M133" s="22"/>
      <c r="N133" s="20"/>
      <c r="O133" s="21"/>
      <c r="P133" s="25" t="str">
        <f>IF(B133="","",SUMIF('Linii ofertă'!$B$5:$B$1004,B133,'Linii ofertă'!$J$5:$J$1004))</f>
        <v/>
      </c>
      <c r="Q133" s="25" t="str">
        <f>IF(B133="","",SUMIF('Linii ofertă'!$B$5:$B$1004,B133,'Linii ofertă'!$M$5:$M$1004))</f>
        <v/>
      </c>
      <c r="R133" s="26" t="str">
        <f>IF(OR(B133="",N(P133)=0),"",SUMIF('Linii ofertă'!$B$5:$B$1004,B133,'Linii ofertă'!$P$5:$P$1004)/P133)</f>
        <v/>
      </c>
      <c r="S133" s="27" t="str">
        <f t="shared" ref="S133:S196" ca="1" si="5">IF(B133="","",IF(AND(OR(N133="Trimisă",N133="În lucru"),ISNUMBER(H133),TODAY()&gt;H133),"Expirată",IF(N133="","În lucru",N133)))</f>
        <v/>
      </c>
      <c r="T133" s="28" t="str">
        <f>IF(B133="","",TRIM(IF(COUNTIF($B$5:$B$504,B133)&gt;1,"Număr dublat. ","")&amp;IF(N(P133)=0,"Oferta nu are linii. ","")&amp;IF(M133="","Completează ce NU include oferta. ","")&amp;IF(AND(ISNUMBER(R133),R133&lt;MarjaMin),"Marjă totală sub minim. ","")&amp;IF(COUNTIFS('Linii ofertă'!$B$5:$B$1004,B133,'Linii ofertă'!$R$5:$R$1004,"Marjă*")&gt;0,"Are linii cu marjă sub minim. ","")&amp;IF(AND(S133="Expirată"),"Valabilitatea a expirat: reconfirmă prețurile. ","")))</f>
        <v/>
      </c>
    </row>
    <row r="134" spans="2:20" x14ac:dyDescent="0.2">
      <c r="B134" s="20"/>
      <c r="C134" s="21"/>
      <c r="D134" s="22"/>
      <c r="E134" s="22"/>
      <c r="F134" s="22"/>
      <c r="G134" s="20"/>
      <c r="H134" s="23" t="str">
        <f t="shared" si="4"/>
        <v/>
      </c>
      <c r="I134" s="22"/>
      <c r="J134" s="22"/>
      <c r="K134" s="24"/>
      <c r="L134" s="22"/>
      <c r="M134" s="22"/>
      <c r="N134" s="20"/>
      <c r="O134" s="21"/>
      <c r="P134" s="25" t="str">
        <f>IF(B134="","",SUMIF('Linii ofertă'!$B$5:$B$1004,B134,'Linii ofertă'!$J$5:$J$1004))</f>
        <v/>
      </c>
      <c r="Q134" s="25" t="str">
        <f>IF(B134="","",SUMIF('Linii ofertă'!$B$5:$B$1004,B134,'Linii ofertă'!$M$5:$M$1004))</f>
        <v/>
      </c>
      <c r="R134" s="26" t="str">
        <f>IF(OR(B134="",N(P134)=0),"",SUMIF('Linii ofertă'!$B$5:$B$1004,B134,'Linii ofertă'!$P$5:$P$1004)/P134)</f>
        <v/>
      </c>
      <c r="S134" s="27" t="str">
        <f t="shared" ca="1" si="5"/>
        <v/>
      </c>
      <c r="T134" s="28" t="str">
        <f>IF(B134="","",TRIM(IF(COUNTIF($B$5:$B$504,B134)&gt;1,"Număr dublat. ","")&amp;IF(N(P134)=0,"Oferta nu are linii. ","")&amp;IF(M134="","Completează ce NU include oferta. ","")&amp;IF(AND(ISNUMBER(R134),R134&lt;MarjaMin),"Marjă totală sub minim. ","")&amp;IF(COUNTIFS('Linii ofertă'!$B$5:$B$1004,B134,'Linii ofertă'!$R$5:$R$1004,"Marjă*")&gt;0,"Are linii cu marjă sub minim. ","")&amp;IF(AND(S134="Expirată"),"Valabilitatea a expirat: reconfirmă prețurile. ","")))</f>
        <v/>
      </c>
    </row>
    <row r="135" spans="2:20" x14ac:dyDescent="0.2">
      <c r="B135" s="20"/>
      <c r="C135" s="21"/>
      <c r="D135" s="22"/>
      <c r="E135" s="22"/>
      <c r="F135" s="22"/>
      <c r="G135" s="20"/>
      <c r="H135" s="23" t="str">
        <f t="shared" si="4"/>
        <v/>
      </c>
      <c r="I135" s="22"/>
      <c r="J135" s="22"/>
      <c r="K135" s="24"/>
      <c r="L135" s="22"/>
      <c r="M135" s="22"/>
      <c r="N135" s="20"/>
      <c r="O135" s="21"/>
      <c r="P135" s="25" t="str">
        <f>IF(B135="","",SUMIF('Linii ofertă'!$B$5:$B$1004,B135,'Linii ofertă'!$J$5:$J$1004))</f>
        <v/>
      </c>
      <c r="Q135" s="25" t="str">
        <f>IF(B135="","",SUMIF('Linii ofertă'!$B$5:$B$1004,B135,'Linii ofertă'!$M$5:$M$1004))</f>
        <v/>
      </c>
      <c r="R135" s="26" t="str">
        <f>IF(OR(B135="",N(P135)=0),"",SUMIF('Linii ofertă'!$B$5:$B$1004,B135,'Linii ofertă'!$P$5:$P$1004)/P135)</f>
        <v/>
      </c>
      <c r="S135" s="27" t="str">
        <f t="shared" ca="1" si="5"/>
        <v/>
      </c>
      <c r="T135" s="28" t="str">
        <f>IF(B135="","",TRIM(IF(COUNTIF($B$5:$B$504,B135)&gt;1,"Număr dublat. ","")&amp;IF(N(P135)=0,"Oferta nu are linii. ","")&amp;IF(M135="","Completează ce NU include oferta. ","")&amp;IF(AND(ISNUMBER(R135),R135&lt;MarjaMin),"Marjă totală sub minim. ","")&amp;IF(COUNTIFS('Linii ofertă'!$B$5:$B$1004,B135,'Linii ofertă'!$R$5:$R$1004,"Marjă*")&gt;0,"Are linii cu marjă sub minim. ","")&amp;IF(AND(S135="Expirată"),"Valabilitatea a expirat: reconfirmă prețurile. ","")))</f>
        <v/>
      </c>
    </row>
    <row r="136" spans="2:20" x14ac:dyDescent="0.2">
      <c r="B136" s="20"/>
      <c r="C136" s="21"/>
      <c r="D136" s="22"/>
      <c r="E136" s="22"/>
      <c r="F136" s="22"/>
      <c r="G136" s="20"/>
      <c r="H136" s="23" t="str">
        <f t="shared" si="4"/>
        <v/>
      </c>
      <c r="I136" s="22"/>
      <c r="J136" s="22"/>
      <c r="K136" s="24"/>
      <c r="L136" s="22"/>
      <c r="M136" s="22"/>
      <c r="N136" s="20"/>
      <c r="O136" s="21"/>
      <c r="P136" s="25" t="str">
        <f>IF(B136="","",SUMIF('Linii ofertă'!$B$5:$B$1004,B136,'Linii ofertă'!$J$5:$J$1004))</f>
        <v/>
      </c>
      <c r="Q136" s="25" t="str">
        <f>IF(B136="","",SUMIF('Linii ofertă'!$B$5:$B$1004,B136,'Linii ofertă'!$M$5:$M$1004))</f>
        <v/>
      </c>
      <c r="R136" s="26" t="str">
        <f>IF(OR(B136="",N(P136)=0),"",SUMIF('Linii ofertă'!$B$5:$B$1004,B136,'Linii ofertă'!$P$5:$P$1004)/P136)</f>
        <v/>
      </c>
      <c r="S136" s="27" t="str">
        <f t="shared" ca="1" si="5"/>
        <v/>
      </c>
      <c r="T136" s="28" t="str">
        <f>IF(B136="","",TRIM(IF(COUNTIF($B$5:$B$504,B136)&gt;1,"Număr dublat. ","")&amp;IF(N(P136)=0,"Oferta nu are linii. ","")&amp;IF(M136="","Completează ce NU include oferta. ","")&amp;IF(AND(ISNUMBER(R136),R136&lt;MarjaMin),"Marjă totală sub minim. ","")&amp;IF(COUNTIFS('Linii ofertă'!$B$5:$B$1004,B136,'Linii ofertă'!$R$5:$R$1004,"Marjă*")&gt;0,"Are linii cu marjă sub minim. ","")&amp;IF(AND(S136="Expirată"),"Valabilitatea a expirat: reconfirmă prețurile. ","")))</f>
        <v/>
      </c>
    </row>
    <row r="137" spans="2:20" x14ac:dyDescent="0.2">
      <c r="B137" s="20"/>
      <c r="C137" s="21"/>
      <c r="D137" s="22"/>
      <c r="E137" s="22"/>
      <c r="F137" s="22"/>
      <c r="G137" s="20"/>
      <c r="H137" s="23" t="str">
        <f t="shared" si="4"/>
        <v/>
      </c>
      <c r="I137" s="22"/>
      <c r="J137" s="22"/>
      <c r="K137" s="24"/>
      <c r="L137" s="22"/>
      <c r="M137" s="22"/>
      <c r="N137" s="20"/>
      <c r="O137" s="21"/>
      <c r="P137" s="25" t="str">
        <f>IF(B137="","",SUMIF('Linii ofertă'!$B$5:$B$1004,B137,'Linii ofertă'!$J$5:$J$1004))</f>
        <v/>
      </c>
      <c r="Q137" s="25" t="str">
        <f>IF(B137="","",SUMIF('Linii ofertă'!$B$5:$B$1004,B137,'Linii ofertă'!$M$5:$M$1004))</f>
        <v/>
      </c>
      <c r="R137" s="26" t="str">
        <f>IF(OR(B137="",N(P137)=0),"",SUMIF('Linii ofertă'!$B$5:$B$1004,B137,'Linii ofertă'!$P$5:$P$1004)/P137)</f>
        <v/>
      </c>
      <c r="S137" s="27" t="str">
        <f t="shared" ca="1" si="5"/>
        <v/>
      </c>
      <c r="T137" s="28" t="str">
        <f>IF(B137="","",TRIM(IF(COUNTIF($B$5:$B$504,B137)&gt;1,"Număr dublat. ","")&amp;IF(N(P137)=0,"Oferta nu are linii. ","")&amp;IF(M137="","Completează ce NU include oferta. ","")&amp;IF(AND(ISNUMBER(R137),R137&lt;MarjaMin),"Marjă totală sub minim. ","")&amp;IF(COUNTIFS('Linii ofertă'!$B$5:$B$1004,B137,'Linii ofertă'!$R$5:$R$1004,"Marjă*")&gt;0,"Are linii cu marjă sub minim. ","")&amp;IF(AND(S137="Expirată"),"Valabilitatea a expirat: reconfirmă prețurile. ","")))</f>
        <v/>
      </c>
    </row>
    <row r="138" spans="2:20" x14ac:dyDescent="0.2">
      <c r="B138" s="20"/>
      <c r="C138" s="21"/>
      <c r="D138" s="22"/>
      <c r="E138" s="22"/>
      <c r="F138" s="22"/>
      <c r="G138" s="20"/>
      <c r="H138" s="23" t="str">
        <f t="shared" si="4"/>
        <v/>
      </c>
      <c r="I138" s="22"/>
      <c r="J138" s="22"/>
      <c r="K138" s="24"/>
      <c r="L138" s="22"/>
      <c r="M138" s="22"/>
      <c r="N138" s="20"/>
      <c r="O138" s="21"/>
      <c r="P138" s="25" t="str">
        <f>IF(B138="","",SUMIF('Linii ofertă'!$B$5:$B$1004,B138,'Linii ofertă'!$J$5:$J$1004))</f>
        <v/>
      </c>
      <c r="Q138" s="25" t="str">
        <f>IF(B138="","",SUMIF('Linii ofertă'!$B$5:$B$1004,B138,'Linii ofertă'!$M$5:$M$1004))</f>
        <v/>
      </c>
      <c r="R138" s="26" t="str">
        <f>IF(OR(B138="",N(P138)=0),"",SUMIF('Linii ofertă'!$B$5:$B$1004,B138,'Linii ofertă'!$P$5:$P$1004)/P138)</f>
        <v/>
      </c>
      <c r="S138" s="27" t="str">
        <f t="shared" ca="1" si="5"/>
        <v/>
      </c>
      <c r="T138" s="28" t="str">
        <f>IF(B138="","",TRIM(IF(COUNTIF($B$5:$B$504,B138)&gt;1,"Număr dublat. ","")&amp;IF(N(P138)=0,"Oferta nu are linii. ","")&amp;IF(M138="","Completează ce NU include oferta. ","")&amp;IF(AND(ISNUMBER(R138),R138&lt;MarjaMin),"Marjă totală sub minim. ","")&amp;IF(COUNTIFS('Linii ofertă'!$B$5:$B$1004,B138,'Linii ofertă'!$R$5:$R$1004,"Marjă*")&gt;0,"Are linii cu marjă sub minim. ","")&amp;IF(AND(S138="Expirată"),"Valabilitatea a expirat: reconfirmă prețurile. ","")))</f>
        <v/>
      </c>
    </row>
    <row r="139" spans="2:20" x14ac:dyDescent="0.2">
      <c r="B139" s="20"/>
      <c r="C139" s="21"/>
      <c r="D139" s="22"/>
      <c r="E139" s="22"/>
      <c r="F139" s="22"/>
      <c r="G139" s="20"/>
      <c r="H139" s="23" t="str">
        <f t="shared" si="4"/>
        <v/>
      </c>
      <c r="I139" s="22"/>
      <c r="J139" s="22"/>
      <c r="K139" s="24"/>
      <c r="L139" s="22"/>
      <c r="M139" s="22"/>
      <c r="N139" s="20"/>
      <c r="O139" s="21"/>
      <c r="P139" s="25" t="str">
        <f>IF(B139="","",SUMIF('Linii ofertă'!$B$5:$B$1004,B139,'Linii ofertă'!$J$5:$J$1004))</f>
        <v/>
      </c>
      <c r="Q139" s="25" t="str">
        <f>IF(B139="","",SUMIF('Linii ofertă'!$B$5:$B$1004,B139,'Linii ofertă'!$M$5:$M$1004))</f>
        <v/>
      </c>
      <c r="R139" s="26" t="str">
        <f>IF(OR(B139="",N(P139)=0),"",SUMIF('Linii ofertă'!$B$5:$B$1004,B139,'Linii ofertă'!$P$5:$P$1004)/P139)</f>
        <v/>
      </c>
      <c r="S139" s="27" t="str">
        <f t="shared" ca="1" si="5"/>
        <v/>
      </c>
      <c r="T139" s="28" t="str">
        <f>IF(B139="","",TRIM(IF(COUNTIF($B$5:$B$504,B139)&gt;1,"Număr dublat. ","")&amp;IF(N(P139)=0,"Oferta nu are linii. ","")&amp;IF(M139="","Completează ce NU include oferta. ","")&amp;IF(AND(ISNUMBER(R139),R139&lt;MarjaMin),"Marjă totală sub minim. ","")&amp;IF(COUNTIFS('Linii ofertă'!$B$5:$B$1004,B139,'Linii ofertă'!$R$5:$R$1004,"Marjă*")&gt;0,"Are linii cu marjă sub minim. ","")&amp;IF(AND(S139="Expirată"),"Valabilitatea a expirat: reconfirmă prețurile. ","")))</f>
        <v/>
      </c>
    </row>
    <row r="140" spans="2:20" x14ac:dyDescent="0.2">
      <c r="B140" s="20"/>
      <c r="C140" s="21"/>
      <c r="D140" s="22"/>
      <c r="E140" s="22"/>
      <c r="F140" s="22"/>
      <c r="G140" s="20"/>
      <c r="H140" s="23" t="str">
        <f t="shared" si="4"/>
        <v/>
      </c>
      <c r="I140" s="22"/>
      <c r="J140" s="22"/>
      <c r="K140" s="24"/>
      <c r="L140" s="22"/>
      <c r="M140" s="22"/>
      <c r="N140" s="20"/>
      <c r="O140" s="21"/>
      <c r="P140" s="25" t="str">
        <f>IF(B140="","",SUMIF('Linii ofertă'!$B$5:$B$1004,B140,'Linii ofertă'!$J$5:$J$1004))</f>
        <v/>
      </c>
      <c r="Q140" s="25" t="str">
        <f>IF(B140="","",SUMIF('Linii ofertă'!$B$5:$B$1004,B140,'Linii ofertă'!$M$5:$M$1004))</f>
        <v/>
      </c>
      <c r="R140" s="26" t="str">
        <f>IF(OR(B140="",N(P140)=0),"",SUMIF('Linii ofertă'!$B$5:$B$1004,B140,'Linii ofertă'!$P$5:$P$1004)/P140)</f>
        <v/>
      </c>
      <c r="S140" s="27" t="str">
        <f t="shared" ca="1" si="5"/>
        <v/>
      </c>
      <c r="T140" s="28" t="str">
        <f>IF(B140="","",TRIM(IF(COUNTIF($B$5:$B$504,B140)&gt;1,"Număr dublat. ","")&amp;IF(N(P140)=0,"Oferta nu are linii. ","")&amp;IF(M140="","Completează ce NU include oferta. ","")&amp;IF(AND(ISNUMBER(R140),R140&lt;MarjaMin),"Marjă totală sub minim. ","")&amp;IF(COUNTIFS('Linii ofertă'!$B$5:$B$1004,B140,'Linii ofertă'!$R$5:$R$1004,"Marjă*")&gt;0,"Are linii cu marjă sub minim. ","")&amp;IF(AND(S140="Expirată"),"Valabilitatea a expirat: reconfirmă prețurile. ","")))</f>
        <v/>
      </c>
    </row>
    <row r="141" spans="2:20" x14ac:dyDescent="0.2">
      <c r="B141" s="20"/>
      <c r="C141" s="21"/>
      <c r="D141" s="22"/>
      <c r="E141" s="22"/>
      <c r="F141" s="22"/>
      <c r="G141" s="20"/>
      <c r="H141" s="23" t="str">
        <f t="shared" si="4"/>
        <v/>
      </c>
      <c r="I141" s="22"/>
      <c r="J141" s="22"/>
      <c r="K141" s="24"/>
      <c r="L141" s="22"/>
      <c r="M141" s="22"/>
      <c r="N141" s="20"/>
      <c r="O141" s="21"/>
      <c r="P141" s="25" t="str">
        <f>IF(B141="","",SUMIF('Linii ofertă'!$B$5:$B$1004,B141,'Linii ofertă'!$J$5:$J$1004))</f>
        <v/>
      </c>
      <c r="Q141" s="25" t="str">
        <f>IF(B141="","",SUMIF('Linii ofertă'!$B$5:$B$1004,B141,'Linii ofertă'!$M$5:$M$1004))</f>
        <v/>
      </c>
      <c r="R141" s="26" t="str">
        <f>IF(OR(B141="",N(P141)=0),"",SUMIF('Linii ofertă'!$B$5:$B$1004,B141,'Linii ofertă'!$P$5:$P$1004)/P141)</f>
        <v/>
      </c>
      <c r="S141" s="27" t="str">
        <f t="shared" ca="1" si="5"/>
        <v/>
      </c>
      <c r="T141" s="28" t="str">
        <f>IF(B141="","",TRIM(IF(COUNTIF($B$5:$B$504,B141)&gt;1,"Număr dublat. ","")&amp;IF(N(P141)=0,"Oferta nu are linii. ","")&amp;IF(M141="","Completează ce NU include oferta. ","")&amp;IF(AND(ISNUMBER(R141),R141&lt;MarjaMin),"Marjă totală sub minim. ","")&amp;IF(COUNTIFS('Linii ofertă'!$B$5:$B$1004,B141,'Linii ofertă'!$R$5:$R$1004,"Marjă*")&gt;0,"Are linii cu marjă sub minim. ","")&amp;IF(AND(S141="Expirată"),"Valabilitatea a expirat: reconfirmă prețurile. ","")))</f>
        <v/>
      </c>
    </row>
    <row r="142" spans="2:20" x14ac:dyDescent="0.2">
      <c r="B142" s="20"/>
      <c r="C142" s="21"/>
      <c r="D142" s="22"/>
      <c r="E142" s="22"/>
      <c r="F142" s="22"/>
      <c r="G142" s="20"/>
      <c r="H142" s="23" t="str">
        <f t="shared" si="4"/>
        <v/>
      </c>
      <c r="I142" s="22"/>
      <c r="J142" s="22"/>
      <c r="K142" s="24"/>
      <c r="L142" s="22"/>
      <c r="M142" s="22"/>
      <c r="N142" s="20"/>
      <c r="O142" s="21"/>
      <c r="P142" s="25" t="str">
        <f>IF(B142="","",SUMIF('Linii ofertă'!$B$5:$B$1004,B142,'Linii ofertă'!$J$5:$J$1004))</f>
        <v/>
      </c>
      <c r="Q142" s="25" t="str">
        <f>IF(B142="","",SUMIF('Linii ofertă'!$B$5:$B$1004,B142,'Linii ofertă'!$M$5:$M$1004))</f>
        <v/>
      </c>
      <c r="R142" s="26" t="str">
        <f>IF(OR(B142="",N(P142)=0),"",SUMIF('Linii ofertă'!$B$5:$B$1004,B142,'Linii ofertă'!$P$5:$P$1004)/P142)</f>
        <v/>
      </c>
      <c r="S142" s="27" t="str">
        <f t="shared" ca="1" si="5"/>
        <v/>
      </c>
      <c r="T142" s="28" t="str">
        <f>IF(B142="","",TRIM(IF(COUNTIF($B$5:$B$504,B142)&gt;1,"Număr dublat. ","")&amp;IF(N(P142)=0,"Oferta nu are linii. ","")&amp;IF(M142="","Completează ce NU include oferta. ","")&amp;IF(AND(ISNUMBER(R142),R142&lt;MarjaMin),"Marjă totală sub minim. ","")&amp;IF(COUNTIFS('Linii ofertă'!$B$5:$B$1004,B142,'Linii ofertă'!$R$5:$R$1004,"Marjă*")&gt;0,"Are linii cu marjă sub minim. ","")&amp;IF(AND(S142="Expirată"),"Valabilitatea a expirat: reconfirmă prețurile. ","")))</f>
        <v/>
      </c>
    </row>
    <row r="143" spans="2:20" x14ac:dyDescent="0.2">
      <c r="B143" s="20"/>
      <c r="C143" s="21"/>
      <c r="D143" s="22"/>
      <c r="E143" s="22"/>
      <c r="F143" s="22"/>
      <c r="G143" s="20"/>
      <c r="H143" s="23" t="str">
        <f t="shared" si="4"/>
        <v/>
      </c>
      <c r="I143" s="22"/>
      <c r="J143" s="22"/>
      <c r="K143" s="24"/>
      <c r="L143" s="22"/>
      <c r="M143" s="22"/>
      <c r="N143" s="20"/>
      <c r="O143" s="21"/>
      <c r="P143" s="25" t="str">
        <f>IF(B143="","",SUMIF('Linii ofertă'!$B$5:$B$1004,B143,'Linii ofertă'!$J$5:$J$1004))</f>
        <v/>
      </c>
      <c r="Q143" s="25" t="str">
        <f>IF(B143="","",SUMIF('Linii ofertă'!$B$5:$B$1004,B143,'Linii ofertă'!$M$5:$M$1004))</f>
        <v/>
      </c>
      <c r="R143" s="26" t="str">
        <f>IF(OR(B143="",N(P143)=0),"",SUMIF('Linii ofertă'!$B$5:$B$1004,B143,'Linii ofertă'!$P$5:$P$1004)/P143)</f>
        <v/>
      </c>
      <c r="S143" s="27" t="str">
        <f t="shared" ca="1" si="5"/>
        <v/>
      </c>
      <c r="T143" s="28" t="str">
        <f>IF(B143="","",TRIM(IF(COUNTIF($B$5:$B$504,B143)&gt;1,"Număr dublat. ","")&amp;IF(N(P143)=0,"Oferta nu are linii. ","")&amp;IF(M143="","Completează ce NU include oferta. ","")&amp;IF(AND(ISNUMBER(R143),R143&lt;MarjaMin),"Marjă totală sub minim. ","")&amp;IF(COUNTIFS('Linii ofertă'!$B$5:$B$1004,B143,'Linii ofertă'!$R$5:$R$1004,"Marjă*")&gt;0,"Are linii cu marjă sub minim. ","")&amp;IF(AND(S143="Expirată"),"Valabilitatea a expirat: reconfirmă prețurile. ","")))</f>
        <v/>
      </c>
    </row>
    <row r="144" spans="2:20" x14ac:dyDescent="0.2">
      <c r="B144" s="20"/>
      <c r="C144" s="21"/>
      <c r="D144" s="22"/>
      <c r="E144" s="22"/>
      <c r="F144" s="22"/>
      <c r="G144" s="20"/>
      <c r="H144" s="23" t="str">
        <f t="shared" si="4"/>
        <v/>
      </c>
      <c r="I144" s="22"/>
      <c r="J144" s="22"/>
      <c r="K144" s="24"/>
      <c r="L144" s="22"/>
      <c r="M144" s="22"/>
      <c r="N144" s="20"/>
      <c r="O144" s="21"/>
      <c r="P144" s="25" t="str">
        <f>IF(B144="","",SUMIF('Linii ofertă'!$B$5:$B$1004,B144,'Linii ofertă'!$J$5:$J$1004))</f>
        <v/>
      </c>
      <c r="Q144" s="25" t="str">
        <f>IF(B144="","",SUMIF('Linii ofertă'!$B$5:$B$1004,B144,'Linii ofertă'!$M$5:$M$1004))</f>
        <v/>
      </c>
      <c r="R144" s="26" t="str">
        <f>IF(OR(B144="",N(P144)=0),"",SUMIF('Linii ofertă'!$B$5:$B$1004,B144,'Linii ofertă'!$P$5:$P$1004)/P144)</f>
        <v/>
      </c>
      <c r="S144" s="27" t="str">
        <f t="shared" ca="1" si="5"/>
        <v/>
      </c>
      <c r="T144" s="28" t="str">
        <f>IF(B144="","",TRIM(IF(COUNTIF($B$5:$B$504,B144)&gt;1,"Număr dublat. ","")&amp;IF(N(P144)=0,"Oferta nu are linii. ","")&amp;IF(M144="","Completează ce NU include oferta. ","")&amp;IF(AND(ISNUMBER(R144),R144&lt;MarjaMin),"Marjă totală sub minim. ","")&amp;IF(COUNTIFS('Linii ofertă'!$B$5:$B$1004,B144,'Linii ofertă'!$R$5:$R$1004,"Marjă*")&gt;0,"Are linii cu marjă sub minim. ","")&amp;IF(AND(S144="Expirată"),"Valabilitatea a expirat: reconfirmă prețurile. ","")))</f>
        <v/>
      </c>
    </row>
    <row r="145" spans="2:20" x14ac:dyDescent="0.2">
      <c r="B145" s="20"/>
      <c r="C145" s="21"/>
      <c r="D145" s="22"/>
      <c r="E145" s="22"/>
      <c r="F145" s="22"/>
      <c r="G145" s="20"/>
      <c r="H145" s="23" t="str">
        <f t="shared" si="4"/>
        <v/>
      </c>
      <c r="I145" s="22"/>
      <c r="J145" s="22"/>
      <c r="K145" s="24"/>
      <c r="L145" s="22"/>
      <c r="M145" s="22"/>
      <c r="N145" s="20"/>
      <c r="O145" s="21"/>
      <c r="P145" s="25" t="str">
        <f>IF(B145="","",SUMIF('Linii ofertă'!$B$5:$B$1004,B145,'Linii ofertă'!$J$5:$J$1004))</f>
        <v/>
      </c>
      <c r="Q145" s="25" t="str">
        <f>IF(B145="","",SUMIF('Linii ofertă'!$B$5:$B$1004,B145,'Linii ofertă'!$M$5:$M$1004))</f>
        <v/>
      </c>
      <c r="R145" s="26" t="str">
        <f>IF(OR(B145="",N(P145)=0),"",SUMIF('Linii ofertă'!$B$5:$B$1004,B145,'Linii ofertă'!$P$5:$P$1004)/P145)</f>
        <v/>
      </c>
      <c r="S145" s="27" t="str">
        <f t="shared" ca="1" si="5"/>
        <v/>
      </c>
      <c r="T145" s="28" t="str">
        <f>IF(B145="","",TRIM(IF(COUNTIF($B$5:$B$504,B145)&gt;1,"Număr dublat. ","")&amp;IF(N(P145)=0,"Oferta nu are linii. ","")&amp;IF(M145="","Completează ce NU include oferta. ","")&amp;IF(AND(ISNUMBER(R145),R145&lt;MarjaMin),"Marjă totală sub minim. ","")&amp;IF(COUNTIFS('Linii ofertă'!$B$5:$B$1004,B145,'Linii ofertă'!$R$5:$R$1004,"Marjă*")&gt;0,"Are linii cu marjă sub minim. ","")&amp;IF(AND(S145="Expirată"),"Valabilitatea a expirat: reconfirmă prețurile. ","")))</f>
        <v/>
      </c>
    </row>
    <row r="146" spans="2:20" x14ac:dyDescent="0.2">
      <c r="B146" s="20"/>
      <c r="C146" s="21"/>
      <c r="D146" s="22"/>
      <c r="E146" s="22"/>
      <c r="F146" s="22"/>
      <c r="G146" s="20"/>
      <c r="H146" s="23" t="str">
        <f t="shared" si="4"/>
        <v/>
      </c>
      <c r="I146" s="22"/>
      <c r="J146" s="22"/>
      <c r="K146" s="24"/>
      <c r="L146" s="22"/>
      <c r="M146" s="22"/>
      <c r="N146" s="20"/>
      <c r="O146" s="21"/>
      <c r="P146" s="25" t="str">
        <f>IF(B146="","",SUMIF('Linii ofertă'!$B$5:$B$1004,B146,'Linii ofertă'!$J$5:$J$1004))</f>
        <v/>
      </c>
      <c r="Q146" s="25" t="str">
        <f>IF(B146="","",SUMIF('Linii ofertă'!$B$5:$B$1004,B146,'Linii ofertă'!$M$5:$M$1004))</f>
        <v/>
      </c>
      <c r="R146" s="26" t="str">
        <f>IF(OR(B146="",N(P146)=0),"",SUMIF('Linii ofertă'!$B$5:$B$1004,B146,'Linii ofertă'!$P$5:$P$1004)/P146)</f>
        <v/>
      </c>
      <c r="S146" s="27" t="str">
        <f t="shared" ca="1" si="5"/>
        <v/>
      </c>
      <c r="T146" s="28" t="str">
        <f>IF(B146="","",TRIM(IF(COUNTIF($B$5:$B$504,B146)&gt;1,"Număr dublat. ","")&amp;IF(N(P146)=0,"Oferta nu are linii. ","")&amp;IF(M146="","Completează ce NU include oferta. ","")&amp;IF(AND(ISNUMBER(R146),R146&lt;MarjaMin),"Marjă totală sub minim. ","")&amp;IF(COUNTIFS('Linii ofertă'!$B$5:$B$1004,B146,'Linii ofertă'!$R$5:$R$1004,"Marjă*")&gt;0,"Are linii cu marjă sub minim. ","")&amp;IF(AND(S146="Expirată"),"Valabilitatea a expirat: reconfirmă prețurile. ","")))</f>
        <v/>
      </c>
    </row>
    <row r="147" spans="2:20" x14ac:dyDescent="0.2">
      <c r="B147" s="20"/>
      <c r="C147" s="21"/>
      <c r="D147" s="22"/>
      <c r="E147" s="22"/>
      <c r="F147" s="22"/>
      <c r="G147" s="20"/>
      <c r="H147" s="23" t="str">
        <f t="shared" si="4"/>
        <v/>
      </c>
      <c r="I147" s="22"/>
      <c r="J147" s="22"/>
      <c r="K147" s="24"/>
      <c r="L147" s="22"/>
      <c r="M147" s="22"/>
      <c r="N147" s="20"/>
      <c r="O147" s="21"/>
      <c r="P147" s="25" t="str">
        <f>IF(B147="","",SUMIF('Linii ofertă'!$B$5:$B$1004,B147,'Linii ofertă'!$J$5:$J$1004))</f>
        <v/>
      </c>
      <c r="Q147" s="25" t="str">
        <f>IF(B147="","",SUMIF('Linii ofertă'!$B$5:$B$1004,B147,'Linii ofertă'!$M$5:$M$1004))</f>
        <v/>
      </c>
      <c r="R147" s="26" t="str">
        <f>IF(OR(B147="",N(P147)=0),"",SUMIF('Linii ofertă'!$B$5:$B$1004,B147,'Linii ofertă'!$P$5:$P$1004)/P147)</f>
        <v/>
      </c>
      <c r="S147" s="27" t="str">
        <f t="shared" ca="1" si="5"/>
        <v/>
      </c>
      <c r="T147" s="28" t="str">
        <f>IF(B147="","",TRIM(IF(COUNTIF($B$5:$B$504,B147)&gt;1,"Număr dublat. ","")&amp;IF(N(P147)=0,"Oferta nu are linii. ","")&amp;IF(M147="","Completează ce NU include oferta. ","")&amp;IF(AND(ISNUMBER(R147),R147&lt;MarjaMin),"Marjă totală sub minim. ","")&amp;IF(COUNTIFS('Linii ofertă'!$B$5:$B$1004,B147,'Linii ofertă'!$R$5:$R$1004,"Marjă*")&gt;0,"Are linii cu marjă sub minim. ","")&amp;IF(AND(S147="Expirată"),"Valabilitatea a expirat: reconfirmă prețurile. ","")))</f>
        <v/>
      </c>
    </row>
    <row r="148" spans="2:20" x14ac:dyDescent="0.2">
      <c r="B148" s="20"/>
      <c r="C148" s="21"/>
      <c r="D148" s="22"/>
      <c r="E148" s="22"/>
      <c r="F148" s="22"/>
      <c r="G148" s="20"/>
      <c r="H148" s="23" t="str">
        <f t="shared" si="4"/>
        <v/>
      </c>
      <c r="I148" s="22"/>
      <c r="J148" s="22"/>
      <c r="K148" s="24"/>
      <c r="L148" s="22"/>
      <c r="M148" s="22"/>
      <c r="N148" s="20"/>
      <c r="O148" s="21"/>
      <c r="P148" s="25" t="str">
        <f>IF(B148="","",SUMIF('Linii ofertă'!$B$5:$B$1004,B148,'Linii ofertă'!$J$5:$J$1004))</f>
        <v/>
      </c>
      <c r="Q148" s="25" t="str">
        <f>IF(B148="","",SUMIF('Linii ofertă'!$B$5:$B$1004,B148,'Linii ofertă'!$M$5:$M$1004))</f>
        <v/>
      </c>
      <c r="R148" s="26" t="str">
        <f>IF(OR(B148="",N(P148)=0),"",SUMIF('Linii ofertă'!$B$5:$B$1004,B148,'Linii ofertă'!$P$5:$P$1004)/P148)</f>
        <v/>
      </c>
      <c r="S148" s="27" t="str">
        <f t="shared" ca="1" si="5"/>
        <v/>
      </c>
      <c r="T148" s="28" t="str">
        <f>IF(B148="","",TRIM(IF(COUNTIF($B$5:$B$504,B148)&gt;1,"Număr dublat. ","")&amp;IF(N(P148)=0,"Oferta nu are linii. ","")&amp;IF(M148="","Completează ce NU include oferta. ","")&amp;IF(AND(ISNUMBER(R148),R148&lt;MarjaMin),"Marjă totală sub minim. ","")&amp;IF(COUNTIFS('Linii ofertă'!$B$5:$B$1004,B148,'Linii ofertă'!$R$5:$R$1004,"Marjă*")&gt;0,"Are linii cu marjă sub minim. ","")&amp;IF(AND(S148="Expirată"),"Valabilitatea a expirat: reconfirmă prețurile. ","")))</f>
        <v/>
      </c>
    </row>
    <row r="149" spans="2:20" x14ac:dyDescent="0.2">
      <c r="B149" s="20"/>
      <c r="C149" s="21"/>
      <c r="D149" s="22"/>
      <c r="E149" s="22"/>
      <c r="F149" s="22"/>
      <c r="G149" s="20"/>
      <c r="H149" s="23" t="str">
        <f t="shared" si="4"/>
        <v/>
      </c>
      <c r="I149" s="22"/>
      <c r="J149" s="22"/>
      <c r="K149" s="24"/>
      <c r="L149" s="22"/>
      <c r="M149" s="22"/>
      <c r="N149" s="20"/>
      <c r="O149" s="21"/>
      <c r="P149" s="25" t="str">
        <f>IF(B149="","",SUMIF('Linii ofertă'!$B$5:$B$1004,B149,'Linii ofertă'!$J$5:$J$1004))</f>
        <v/>
      </c>
      <c r="Q149" s="25" t="str">
        <f>IF(B149="","",SUMIF('Linii ofertă'!$B$5:$B$1004,B149,'Linii ofertă'!$M$5:$M$1004))</f>
        <v/>
      </c>
      <c r="R149" s="26" t="str">
        <f>IF(OR(B149="",N(P149)=0),"",SUMIF('Linii ofertă'!$B$5:$B$1004,B149,'Linii ofertă'!$P$5:$P$1004)/P149)</f>
        <v/>
      </c>
      <c r="S149" s="27" t="str">
        <f t="shared" ca="1" si="5"/>
        <v/>
      </c>
      <c r="T149" s="28" t="str">
        <f>IF(B149="","",TRIM(IF(COUNTIF($B$5:$B$504,B149)&gt;1,"Număr dublat. ","")&amp;IF(N(P149)=0,"Oferta nu are linii. ","")&amp;IF(M149="","Completează ce NU include oferta. ","")&amp;IF(AND(ISNUMBER(R149),R149&lt;MarjaMin),"Marjă totală sub minim. ","")&amp;IF(COUNTIFS('Linii ofertă'!$B$5:$B$1004,B149,'Linii ofertă'!$R$5:$R$1004,"Marjă*")&gt;0,"Are linii cu marjă sub minim. ","")&amp;IF(AND(S149="Expirată"),"Valabilitatea a expirat: reconfirmă prețurile. ","")))</f>
        <v/>
      </c>
    </row>
    <row r="150" spans="2:20" x14ac:dyDescent="0.2">
      <c r="B150" s="20"/>
      <c r="C150" s="21"/>
      <c r="D150" s="22"/>
      <c r="E150" s="22"/>
      <c r="F150" s="22"/>
      <c r="G150" s="20"/>
      <c r="H150" s="23" t="str">
        <f t="shared" si="4"/>
        <v/>
      </c>
      <c r="I150" s="22"/>
      <c r="J150" s="22"/>
      <c r="K150" s="24"/>
      <c r="L150" s="22"/>
      <c r="M150" s="22"/>
      <c r="N150" s="20"/>
      <c r="O150" s="21"/>
      <c r="P150" s="25" t="str">
        <f>IF(B150="","",SUMIF('Linii ofertă'!$B$5:$B$1004,B150,'Linii ofertă'!$J$5:$J$1004))</f>
        <v/>
      </c>
      <c r="Q150" s="25" t="str">
        <f>IF(B150="","",SUMIF('Linii ofertă'!$B$5:$B$1004,B150,'Linii ofertă'!$M$5:$M$1004))</f>
        <v/>
      </c>
      <c r="R150" s="26" t="str">
        <f>IF(OR(B150="",N(P150)=0),"",SUMIF('Linii ofertă'!$B$5:$B$1004,B150,'Linii ofertă'!$P$5:$P$1004)/P150)</f>
        <v/>
      </c>
      <c r="S150" s="27" t="str">
        <f t="shared" ca="1" si="5"/>
        <v/>
      </c>
      <c r="T150" s="28" t="str">
        <f>IF(B150="","",TRIM(IF(COUNTIF($B$5:$B$504,B150)&gt;1,"Număr dublat. ","")&amp;IF(N(P150)=0,"Oferta nu are linii. ","")&amp;IF(M150="","Completează ce NU include oferta. ","")&amp;IF(AND(ISNUMBER(R150),R150&lt;MarjaMin),"Marjă totală sub minim. ","")&amp;IF(COUNTIFS('Linii ofertă'!$B$5:$B$1004,B150,'Linii ofertă'!$R$5:$R$1004,"Marjă*")&gt;0,"Are linii cu marjă sub minim. ","")&amp;IF(AND(S150="Expirată"),"Valabilitatea a expirat: reconfirmă prețurile. ","")))</f>
        <v/>
      </c>
    </row>
    <row r="151" spans="2:20" x14ac:dyDescent="0.2">
      <c r="B151" s="20"/>
      <c r="C151" s="21"/>
      <c r="D151" s="22"/>
      <c r="E151" s="22"/>
      <c r="F151" s="22"/>
      <c r="G151" s="20"/>
      <c r="H151" s="23" t="str">
        <f t="shared" si="4"/>
        <v/>
      </c>
      <c r="I151" s="22"/>
      <c r="J151" s="22"/>
      <c r="K151" s="24"/>
      <c r="L151" s="22"/>
      <c r="M151" s="22"/>
      <c r="N151" s="20"/>
      <c r="O151" s="21"/>
      <c r="P151" s="25" t="str">
        <f>IF(B151="","",SUMIF('Linii ofertă'!$B$5:$B$1004,B151,'Linii ofertă'!$J$5:$J$1004))</f>
        <v/>
      </c>
      <c r="Q151" s="25" t="str">
        <f>IF(B151="","",SUMIF('Linii ofertă'!$B$5:$B$1004,B151,'Linii ofertă'!$M$5:$M$1004))</f>
        <v/>
      </c>
      <c r="R151" s="26" t="str">
        <f>IF(OR(B151="",N(P151)=0),"",SUMIF('Linii ofertă'!$B$5:$B$1004,B151,'Linii ofertă'!$P$5:$P$1004)/P151)</f>
        <v/>
      </c>
      <c r="S151" s="27" t="str">
        <f t="shared" ca="1" si="5"/>
        <v/>
      </c>
      <c r="T151" s="28" t="str">
        <f>IF(B151="","",TRIM(IF(COUNTIF($B$5:$B$504,B151)&gt;1,"Număr dublat. ","")&amp;IF(N(P151)=0,"Oferta nu are linii. ","")&amp;IF(M151="","Completează ce NU include oferta. ","")&amp;IF(AND(ISNUMBER(R151),R151&lt;MarjaMin),"Marjă totală sub minim. ","")&amp;IF(COUNTIFS('Linii ofertă'!$B$5:$B$1004,B151,'Linii ofertă'!$R$5:$R$1004,"Marjă*")&gt;0,"Are linii cu marjă sub minim. ","")&amp;IF(AND(S151="Expirată"),"Valabilitatea a expirat: reconfirmă prețurile. ","")))</f>
        <v/>
      </c>
    </row>
    <row r="152" spans="2:20" x14ac:dyDescent="0.2">
      <c r="B152" s="20"/>
      <c r="C152" s="21"/>
      <c r="D152" s="22"/>
      <c r="E152" s="22"/>
      <c r="F152" s="22"/>
      <c r="G152" s="20"/>
      <c r="H152" s="23" t="str">
        <f t="shared" si="4"/>
        <v/>
      </c>
      <c r="I152" s="22"/>
      <c r="J152" s="22"/>
      <c r="K152" s="24"/>
      <c r="L152" s="22"/>
      <c r="M152" s="22"/>
      <c r="N152" s="20"/>
      <c r="O152" s="21"/>
      <c r="P152" s="25" t="str">
        <f>IF(B152="","",SUMIF('Linii ofertă'!$B$5:$B$1004,B152,'Linii ofertă'!$J$5:$J$1004))</f>
        <v/>
      </c>
      <c r="Q152" s="25" t="str">
        <f>IF(B152="","",SUMIF('Linii ofertă'!$B$5:$B$1004,B152,'Linii ofertă'!$M$5:$M$1004))</f>
        <v/>
      </c>
      <c r="R152" s="26" t="str">
        <f>IF(OR(B152="",N(P152)=0),"",SUMIF('Linii ofertă'!$B$5:$B$1004,B152,'Linii ofertă'!$P$5:$P$1004)/P152)</f>
        <v/>
      </c>
      <c r="S152" s="27" t="str">
        <f t="shared" ca="1" si="5"/>
        <v/>
      </c>
      <c r="T152" s="28" t="str">
        <f>IF(B152="","",TRIM(IF(COUNTIF($B$5:$B$504,B152)&gt;1,"Număr dublat. ","")&amp;IF(N(P152)=0,"Oferta nu are linii. ","")&amp;IF(M152="","Completează ce NU include oferta. ","")&amp;IF(AND(ISNUMBER(R152),R152&lt;MarjaMin),"Marjă totală sub minim. ","")&amp;IF(COUNTIFS('Linii ofertă'!$B$5:$B$1004,B152,'Linii ofertă'!$R$5:$R$1004,"Marjă*")&gt;0,"Are linii cu marjă sub minim. ","")&amp;IF(AND(S152="Expirată"),"Valabilitatea a expirat: reconfirmă prețurile. ","")))</f>
        <v/>
      </c>
    </row>
    <row r="153" spans="2:20" x14ac:dyDescent="0.2">
      <c r="B153" s="20"/>
      <c r="C153" s="21"/>
      <c r="D153" s="22"/>
      <c r="E153" s="22"/>
      <c r="F153" s="22"/>
      <c r="G153" s="20"/>
      <c r="H153" s="23" t="str">
        <f t="shared" si="4"/>
        <v/>
      </c>
      <c r="I153" s="22"/>
      <c r="J153" s="22"/>
      <c r="K153" s="24"/>
      <c r="L153" s="22"/>
      <c r="M153" s="22"/>
      <c r="N153" s="20"/>
      <c r="O153" s="21"/>
      <c r="P153" s="25" t="str">
        <f>IF(B153="","",SUMIF('Linii ofertă'!$B$5:$B$1004,B153,'Linii ofertă'!$J$5:$J$1004))</f>
        <v/>
      </c>
      <c r="Q153" s="25" t="str">
        <f>IF(B153="","",SUMIF('Linii ofertă'!$B$5:$B$1004,B153,'Linii ofertă'!$M$5:$M$1004))</f>
        <v/>
      </c>
      <c r="R153" s="26" t="str">
        <f>IF(OR(B153="",N(P153)=0),"",SUMIF('Linii ofertă'!$B$5:$B$1004,B153,'Linii ofertă'!$P$5:$P$1004)/P153)</f>
        <v/>
      </c>
      <c r="S153" s="27" t="str">
        <f t="shared" ca="1" si="5"/>
        <v/>
      </c>
      <c r="T153" s="28" t="str">
        <f>IF(B153="","",TRIM(IF(COUNTIF($B$5:$B$504,B153)&gt;1,"Număr dublat. ","")&amp;IF(N(P153)=0,"Oferta nu are linii. ","")&amp;IF(M153="","Completează ce NU include oferta. ","")&amp;IF(AND(ISNUMBER(R153),R153&lt;MarjaMin),"Marjă totală sub minim. ","")&amp;IF(COUNTIFS('Linii ofertă'!$B$5:$B$1004,B153,'Linii ofertă'!$R$5:$R$1004,"Marjă*")&gt;0,"Are linii cu marjă sub minim. ","")&amp;IF(AND(S153="Expirată"),"Valabilitatea a expirat: reconfirmă prețurile. ","")))</f>
        <v/>
      </c>
    </row>
    <row r="154" spans="2:20" x14ac:dyDescent="0.2">
      <c r="B154" s="20"/>
      <c r="C154" s="21"/>
      <c r="D154" s="22"/>
      <c r="E154" s="22"/>
      <c r="F154" s="22"/>
      <c r="G154" s="20"/>
      <c r="H154" s="23" t="str">
        <f t="shared" si="4"/>
        <v/>
      </c>
      <c r="I154" s="22"/>
      <c r="J154" s="22"/>
      <c r="K154" s="24"/>
      <c r="L154" s="22"/>
      <c r="M154" s="22"/>
      <c r="N154" s="20"/>
      <c r="O154" s="21"/>
      <c r="P154" s="25" t="str">
        <f>IF(B154="","",SUMIF('Linii ofertă'!$B$5:$B$1004,B154,'Linii ofertă'!$J$5:$J$1004))</f>
        <v/>
      </c>
      <c r="Q154" s="25" t="str">
        <f>IF(B154="","",SUMIF('Linii ofertă'!$B$5:$B$1004,B154,'Linii ofertă'!$M$5:$M$1004))</f>
        <v/>
      </c>
      <c r="R154" s="26" t="str">
        <f>IF(OR(B154="",N(P154)=0),"",SUMIF('Linii ofertă'!$B$5:$B$1004,B154,'Linii ofertă'!$P$5:$P$1004)/P154)</f>
        <v/>
      </c>
      <c r="S154" s="27" t="str">
        <f t="shared" ca="1" si="5"/>
        <v/>
      </c>
      <c r="T154" s="28" t="str">
        <f>IF(B154="","",TRIM(IF(COUNTIF($B$5:$B$504,B154)&gt;1,"Număr dublat. ","")&amp;IF(N(P154)=0,"Oferta nu are linii. ","")&amp;IF(M154="","Completează ce NU include oferta. ","")&amp;IF(AND(ISNUMBER(R154),R154&lt;MarjaMin),"Marjă totală sub minim. ","")&amp;IF(COUNTIFS('Linii ofertă'!$B$5:$B$1004,B154,'Linii ofertă'!$R$5:$R$1004,"Marjă*")&gt;0,"Are linii cu marjă sub minim. ","")&amp;IF(AND(S154="Expirată"),"Valabilitatea a expirat: reconfirmă prețurile. ","")))</f>
        <v/>
      </c>
    </row>
    <row r="155" spans="2:20" x14ac:dyDescent="0.2">
      <c r="B155" s="20"/>
      <c r="C155" s="21"/>
      <c r="D155" s="22"/>
      <c r="E155" s="22"/>
      <c r="F155" s="22"/>
      <c r="G155" s="20"/>
      <c r="H155" s="23" t="str">
        <f t="shared" si="4"/>
        <v/>
      </c>
      <c r="I155" s="22"/>
      <c r="J155" s="22"/>
      <c r="K155" s="24"/>
      <c r="L155" s="22"/>
      <c r="M155" s="22"/>
      <c r="N155" s="20"/>
      <c r="O155" s="21"/>
      <c r="P155" s="25" t="str">
        <f>IF(B155="","",SUMIF('Linii ofertă'!$B$5:$B$1004,B155,'Linii ofertă'!$J$5:$J$1004))</f>
        <v/>
      </c>
      <c r="Q155" s="25" t="str">
        <f>IF(B155="","",SUMIF('Linii ofertă'!$B$5:$B$1004,B155,'Linii ofertă'!$M$5:$M$1004))</f>
        <v/>
      </c>
      <c r="R155" s="26" t="str">
        <f>IF(OR(B155="",N(P155)=0),"",SUMIF('Linii ofertă'!$B$5:$B$1004,B155,'Linii ofertă'!$P$5:$P$1004)/P155)</f>
        <v/>
      </c>
      <c r="S155" s="27" t="str">
        <f t="shared" ca="1" si="5"/>
        <v/>
      </c>
      <c r="T155" s="28" t="str">
        <f>IF(B155="","",TRIM(IF(COUNTIF($B$5:$B$504,B155)&gt;1,"Număr dublat. ","")&amp;IF(N(P155)=0,"Oferta nu are linii. ","")&amp;IF(M155="","Completează ce NU include oferta. ","")&amp;IF(AND(ISNUMBER(R155),R155&lt;MarjaMin),"Marjă totală sub minim. ","")&amp;IF(COUNTIFS('Linii ofertă'!$B$5:$B$1004,B155,'Linii ofertă'!$R$5:$R$1004,"Marjă*")&gt;0,"Are linii cu marjă sub minim. ","")&amp;IF(AND(S155="Expirată"),"Valabilitatea a expirat: reconfirmă prețurile. ","")))</f>
        <v/>
      </c>
    </row>
    <row r="156" spans="2:20" x14ac:dyDescent="0.2">
      <c r="B156" s="20"/>
      <c r="C156" s="21"/>
      <c r="D156" s="22"/>
      <c r="E156" s="22"/>
      <c r="F156" s="22"/>
      <c r="G156" s="20"/>
      <c r="H156" s="23" t="str">
        <f t="shared" si="4"/>
        <v/>
      </c>
      <c r="I156" s="22"/>
      <c r="J156" s="22"/>
      <c r="K156" s="24"/>
      <c r="L156" s="22"/>
      <c r="M156" s="22"/>
      <c r="N156" s="20"/>
      <c r="O156" s="21"/>
      <c r="P156" s="25" t="str">
        <f>IF(B156="","",SUMIF('Linii ofertă'!$B$5:$B$1004,B156,'Linii ofertă'!$J$5:$J$1004))</f>
        <v/>
      </c>
      <c r="Q156" s="25" t="str">
        <f>IF(B156="","",SUMIF('Linii ofertă'!$B$5:$B$1004,B156,'Linii ofertă'!$M$5:$M$1004))</f>
        <v/>
      </c>
      <c r="R156" s="26" t="str">
        <f>IF(OR(B156="",N(P156)=0),"",SUMIF('Linii ofertă'!$B$5:$B$1004,B156,'Linii ofertă'!$P$5:$P$1004)/P156)</f>
        <v/>
      </c>
      <c r="S156" s="27" t="str">
        <f t="shared" ca="1" si="5"/>
        <v/>
      </c>
      <c r="T156" s="28" t="str">
        <f>IF(B156="","",TRIM(IF(COUNTIF($B$5:$B$504,B156)&gt;1,"Număr dublat. ","")&amp;IF(N(P156)=0,"Oferta nu are linii. ","")&amp;IF(M156="","Completează ce NU include oferta. ","")&amp;IF(AND(ISNUMBER(R156),R156&lt;MarjaMin),"Marjă totală sub minim. ","")&amp;IF(COUNTIFS('Linii ofertă'!$B$5:$B$1004,B156,'Linii ofertă'!$R$5:$R$1004,"Marjă*")&gt;0,"Are linii cu marjă sub minim. ","")&amp;IF(AND(S156="Expirată"),"Valabilitatea a expirat: reconfirmă prețurile. ","")))</f>
        <v/>
      </c>
    </row>
    <row r="157" spans="2:20" x14ac:dyDescent="0.2">
      <c r="B157" s="20"/>
      <c r="C157" s="21"/>
      <c r="D157" s="22"/>
      <c r="E157" s="22"/>
      <c r="F157" s="22"/>
      <c r="G157" s="20"/>
      <c r="H157" s="23" t="str">
        <f t="shared" si="4"/>
        <v/>
      </c>
      <c r="I157" s="22"/>
      <c r="J157" s="22"/>
      <c r="K157" s="24"/>
      <c r="L157" s="22"/>
      <c r="M157" s="22"/>
      <c r="N157" s="20"/>
      <c r="O157" s="21"/>
      <c r="P157" s="25" t="str">
        <f>IF(B157="","",SUMIF('Linii ofertă'!$B$5:$B$1004,B157,'Linii ofertă'!$J$5:$J$1004))</f>
        <v/>
      </c>
      <c r="Q157" s="25" t="str">
        <f>IF(B157="","",SUMIF('Linii ofertă'!$B$5:$B$1004,B157,'Linii ofertă'!$M$5:$M$1004))</f>
        <v/>
      </c>
      <c r="R157" s="26" t="str">
        <f>IF(OR(B157="",N(P157)=0),"",SUMIF('Linii ofertă'!$B$5:$B$1004,B157,'Linii ofertă'!$P$5:$P$1004)/P157)</f>
        <v/>
      </c>
      <c r="S157" s="27" t="str">
        <f t="shared" ca="1" si="5"/>
        <v/>
      </c>
      <c r="T157" s="28" t="str">
        <f>IF(B157="","",TRIM(IF(COUNTIF($B$5:$B$504,B157)&gt;1,"Număr dublat. ","")&amp;IF(N(P157)=0,"Oferta nu are linii. ","")&amp;IF(M157="","Completează ce NU include oferta. ","")&amp;IF(AND(ISNUMBER(R157),R157&lt;MarjaMin),"Marjă totală sub minim. ","")&amp;IF(COUNTIFS('Linii ofertă'!$B$5:$B$1004,B157,'Linii ofertă'!$R$5:$R$1004,"Marjă*")&gt;0,"Are linii cu marjă sub minim. ","")&amp;IF(AND(S157="Expirată"),"Valabilitatea a expirat: reconfirmă prețurile. ","")))</f>
        <v/>
      </c>
    </row>
    <row r="158" spans="2:20" x14ac:dyDescent="0.2">
      <c r="B158" s="20"/>
      <c r="C158" s="21"/>
      <c r="D158" s="22"/>
      <c r="E158" s="22"/>
      <c r="F158" s="22"/>
      <c r="G158" s="20"/>
      <c r="H158" s="23" t="str">
        <f t="shared" si="4"/>
        <v/>
      </c>
      <c r="I158" s="22"/>
      <c r="J158" s="22"/>
      <c r="K158" s="24"/>
      <c r="L158" s="22"/>
      <c r="M158" s="22"/>
      <c r="N158" s="20"/>
      <c r="O158" s="21"/>
      <c r="P158" s="25" t="str">
        <f>IF(B158="","",SUMIF('Linii ofertă'!$B$5:$B$1004,B158,'Linii ofertă'!$J$5:$J$1004))</f>
        <v/>
      </c>
      <c r="Q158" s="25" t="str">
        <f>IF(B158="","",SUMIF('Linii ofertă'!$B$5:$B$1004,B158,'Linii ofertă'!$M$5:$M$1004))</f>
        <v/>
      </c>
      <c r="R158" s="26" t="str">
        <f>IF(OR(B158="",N(P158)=0),"",SUMIF('Linii ofertă'!$B$5:$B$1004,B158,'Linii ofertă'!$P$5:$P$1004)/P158)</f>
        <v/>
      </c>
      <c r="S158" s="27" t="str">
        <f t="shared" ca="1" si="5"/>
        <v/>
      </c>
      <c r="T158" s="28" t="str">
        <f>IF(B158="","",TRIM(IF(COUNTIF($B$5:$B$504,B158)&gt;1,"Număr dublat. ","")&amp;IF(N(P158)=0,"Oferta nu are linii. ","")&amp;IF(M158="","Completează ce NU include oferta. ","")&amp;IF(AND(ISNUMBER(R158),R158&lt;MarjaMin),"Marjă totală sub minim. ","")&amp;IF(COUNTIFS('Linii ofertă'!$B$5:$B$1004,B158,'Linii ofertă'!$R$5:$R$1004,"Marjă*")&gt;0,"Are linii cu marjă sub minim. ","")&amp;IF(AND(S158="Expirată"),"Valabilitatea a expirat: reconfirmă prețurile. ","")))</f>
        <v/>
      </c>
    </row>
    <row r="159" spans="2:20" x14ac:dyDescent="0.2">
      <c r="B159" s="20"/>
      <c r="C159" s="21"/>
      <c r="D159" s="22"/>
      <c r="E159" s="22"/>
      <c r="F159" s="22"/>
      <c r="G159" s="20"/>
      <c r="H159" s="23" t="str">
        <f t="shared" si="4"/>
        <v/>
      </c>
      <c r="I159" s="22"/>
      <c r="J159" s="22"/>
      <c r="K159" s="24"/>
      <c r="L159" s="22"/>
      <c r="M159" s="22"/>
      <c r="N159" s="20"/>
      <c r="O159" s="21"/>
      <c r="P159" s="25" t="str">
        <f>IF(B159="","",SUMIF('Linii ofertă'!$B$5:$B$1004,B159,'Linii ofertă'!$J$5:$J$1004))</f>
        <v/>
      </c>
      <c r="Q159" s="25" t="str">
        <f>IF(B159="","",SUMIF('Linii ofertă'!$B$5:$B$1004,B159,'Linii ofertă'!$M$5:$M$1004))</f>
        <v/>
      </c>
      <c r="R159" s="26" t="str">
        <f>IF(OR(B159="",N(P159)=0),"",SUMIF('Linii ofertă'!$B$5:$B$1004,B159,'Linii ofertă'!$P$5:$P$1004)/P159)</f>
        <v/>
      </c>
      <c r="S159" s="27" t="str">
        <f t="shared" ca="1" si="5"/>
        <v/>
      </c>
      <c r="T159" s="28" t="str">
        <f>IF(B159="","",TRIM(IF(COUNTIF($B$5:$B$504,B159)&gt;1,"Număr dublat. ","")&amp;IF(N(P159)=0,"Oferta nu are linii. ","")&amp;IF(M159="","Completează ce NU include oferta. ","")&amp;IF(AND(ISNUMBER(R159),R159&lt;MarjaMin),"Marjă totală sub minim. ","")&amp;IF(COUNTIFS('Linii ofertă'!$B$5:$B$1004,B159,'Linii ofertă'!$R$5:$R$1004,"Marjă*")&gt;0,"Are linii cu marjă sub minim. ","")&amp;IF(AND(S159="Expirată"),"Valabilitatea a expirat: reconfirmă prețurile. ","")))</f>
        <v/>
      </c>
    </row>
    <row r="160" spans="2:20" x14ac:dyDescent="0.2">
      <c r="B160" s="20"/>
      <c r="C160" s="21"/>
      <c r="D160" s="22"/>
      <c r="E160" s="22"/>
      <c r="F160" s="22"/>
      <c r="G160" s="20"/>
      <c r="H160" s="23" t="str">
        <f t="shared" si="4"/>
        <v/>
      </c>
      <c r="I160" s="22"/>
      <c r="J160" s="22"/>
      <c r="K160" s="24"/>
      <c r="L160" s="22"/>
      <c r="M160" s="22"/>
      <c r="N160" s="20"/>
      <c r="O160" s="21"/>
      <c r="P160" s="25" t="str">
        <f>IF(B160="","",SUMIF('Linii ofertă'!$B$5:$B$1004,B160,'Linii ofertă'!$J$5:$J$1004))</f>
        <v/>
      </c>
      <c r="Q160" s="25" t="str">
        <f>IF(B160="","",SUMIF('Linii ofertă'!$B$5:$B$1004,B160,'Linii ofertă'!$M$5:$M$1004))</f>
        <v/>
      </c>
      <c r="R160" s="26" t="str">
        <f>IF(OR(B160="",N(P160)=0),"",SUMIF('Linii ofertă'!$B$5:$B$1004,B160,'Linii ofertă'!$P$5:$P$1004)/P160)</f>
        <v/>
      </c>
      <c r="S160" s="27" t="str">
        <f t="shared" ca="1" si="5"/>
        <v/>
      </c>
      <c r="T160" s="28" t="str">
        <f>IF(B160="","",TRIM(IF(COUNTIF($B$5:$B$504,B160)&gt;1,"Număr dublat. ","")&amp;IF(N(P160)=0,"Oferta nu are linii. ","")&amp;IF(M160="","Completează ce NU include oferta. ","")&amp;IF(AND(ISNUMBER(R160),R160&lt;MarjaMin),"Marjă totală sub minim. ","")&amp;IF(COUNTIFS('Linii ofertă'!$B$5:$B$1004,B160,'Linii ofertă'!$R$5:$R$1004,"Marjă*")&gt;0,"Are linii cu marjă sub minim. ","")&amp;IF(AND(S160="Expirată"),"Valabilitatea a expirat: reconfirmă prețurile. ","")))</f>
        <v/>
      </c>
    </row>
    <row r="161" spans="2:20" x14ac:dyDescent="0.2">
      <c r="B161" s="20"/>
      <c r="C161" s="21"/>
      <c r="D161" s="22"/>
      <c r="E161" s="22"/>
      <c r="F161" s="22"/>
      <c r="G161" s="20"/>
      <c r="H161" s="23" t="str">
        <f t="shared" si="4"/>
        <v/>
      </c>
      <c r="I161" s="22"/>
      <c r="J161" s="22"/>
      <c r="K161" s="24"/>
      <c r="L161" s="22"/>
      <c r="M161" s="22"/>
      <c r="N161" s="20"/>
      <c r="O161" s="21"/>
      <c r="P161" s="25" t="str">
        <f>IF(B161="","",SUMIF('Linii ofertă'!$B$5:$B$1004,B161,'Linii ofertă'!$J$5:$J$1004))</f>
        <v/>
      </c>
      <c r="Q161" s="25" t="str">
        <f>IF(B161="","",SUMIF('Linii ofertă'!$B$5:$B$1004,B161,'Linii ofertă'!$M$5:$M$1004))</f>
        <v/>
      </c>
      <c r="R161" s="26" t="str">
        <f>IF(OR(B161="",N(P161)=0),"",SUMIF('Linii ofertă'!$B$5:$B$1004,B161,'Linii ofertă'!$P$5:$P$1004)/P161)</f>
        <v/>
      </c>
      <c r="S161" s="27" t="str">
        <f t="shared" ca="1" si="5"/>
        <v/>
      </c>
      <c r="T161" s="28" t="str">
        <f>IF(B161="","",TRIM(IF(COUNTIF($B$5:$B$504,B161)&gt;1,"Număr dublat. ","")&amp;IF(N(P161)=0,"Oferta nu are linii. ","")&amp;IF(M161="","Completează ce NU include oferta. ","")&amp;IF(AND(ISNUMBER(R161),R161&lt;MarjaMin),"Marjă totală sub minim. ","")&amp;IF(COUNTIFS('Linii ofertă'!$B$5:$B$1004,B161,'Linii ofertă'!$R$5:$R$1004,"Marjă*")&gt;0,"Are linii cu marjă sub minim. ","")&amp;IF(AND(S161="Expirată"),"Valabilitatea a expirat: reconfirmă prețurile. ","")))</f>
        <v/>
      </c>
    </row>
    <row r="162" spans="2:20" x14ac:dyDescent="0.2">
      <c r="B162" s="20"/>
      <c r="C162" s="21"/>
      <c r="D162" s="22"/>
      <c r="E162" s="22"/>
      <c r="F162" s="22"/>
      <c r="G162" s="20"/>
      <c r="H162" s="23" t="str">
        <f t="shared" si="4"/>
        <v/>
      </c>
      <c r="I162" s="22"/>
      <c r="J162" s="22"/>
      <c r="K162" s="24"/>
      <c r="L162" s="22"/>
      <c r="M162" s="22"/>
      <c r="N162" s="20"/>
      <c r="O162" s="21"/>
      <c r="P162" s="25" t="str">
        <f>IF(B162="","",SUMIF('Linii ofertă'!$B$5:$B$1004,B162,'Linii ofertă'!$J$5:$J$1004))</f>
        <v/>
      </c>
      <c r="Q162" s="25" t="str">
        <f>IF(B162="","",SUMIF('Linii ofertă'!$B$5:$B$1004,B162,'Linii ofertă'!$M$5:$M$1004))</f>
        <v/>
      </c>
      <c r="R162" s="26" t="str">
        <f>IF(OR(B162="",N(P162)=0),"",SUMIF('Linii ofertă'!$B$5:$B$1004,B162,'Linii ofertă'!$P$5:$P$1004)/P162)</f>
        <v/>
      </c>
      <c r="S162" s="27" t="str">
        <f t="shared" ca="1" si="5"/>
        <v/>
      </c>
      <c r="T162" s="28" t="str">
        <f>IF(B162="","",TRIM(IF(COUNTIF($B$5:$B$504,B162)&gt;1,"Număr dublat. ","")&amp;IF(N(P162)=0,"Oferta nu are linii. ","")&amp;IF(M162="","Completează ce NU include oferta. ","")&amp;IF(AND(ISNUMBER(R162),R162&lt;MarjaMin),"Marjă totală sub minim. ","")&amp;IF(COUNTIFS('Linii ofertă'!$B$5:$B$1004,B162,'Linii ofertă'!$R$5:$R$1004,"Marjă*")&gt;0,"Are linii cu marjă sub minim. ","")&amp;IF(AND(S162="Expirată"),"Valabilitatea a expirat: reconfirmă prețurile. ","")))</f>
        <v/>
      </c>
    </row>
    <row r="163" spans="2:20" x14ac:dyDescent="0.2">
      <c r="B163" s="20"/>
      <c r="C163" s="21"/>
      <c r="D163" s="22"/>
      <c r="E163" s="22"/>
      <c r="F163" s="22"/>
      <c r="G163" s="20"/>
      <c r="H163" s="23" t="str">
        <f t="shared" si="4"/>
        <v/>
      </c>
      <c r="I163" s="22"/>
      <c r="J163" s="22"/>
      <c r="K163" s="24"/>
      <c r="L163" s="22"/>
      <c r="M163" s="22"/>
      <c r="N163" s="20"/>
      <c r="O163" s="21"/>
      <c r="P163" s="25" t="str">
        <f>IF(B163="","",SUMIF('Linii ofertă'!$B$5:$B$1004,B163,'Linii ofertă'!$J$5:$J$1004))</f>
        <v/>
      </c>
      <c r="Q163" s="25" t="str">
        <f>IF(B163="","",SUMIF('Linii ofertă'!$B$5:$B$1004,B163,'Linii ofertă'!$M$5:$M$1004))</f>
        <v/>
      </c>
      <c r="R163" s="26" t="str">
        <f>IF(OR(B163="",N(P163)=0),"",SUMIF('Linii ofertă'!$B$5:$B$1004,B163,'Linii ofertă'!$P$5:$P$1004)/P163)</f>
        <v/>
      </c>
      <c r="S163" s="27" t="str">
        <f t="shared" ca="1" si="5"/>
        <v/>
      </c>
      <c r="T163" s="28" t="str">
        <f>IF(B163="","",TRIM(IF(COUNTIF($B$5:$B$504,B163)&gt;1,"Număr dublat. ","")&amp;IF(N(P163)=0,"Oferta nu are linii. ","")&amp;IF(M163="","Completează ce NU include oferta. ","")&amp;IF(AND(ISNUMBER(R163),R163&lt;MarjaMin),"Marjă totală sub minim. ","")&amp;IF(COUNTIFS('Linii ofertă'!$B$5:$B$1004,B163,'Linii ofertă'!$R$5:$R$1004,"Marjă*")&gt;0,"Are linii cu marjă sub minim. ","")&amp;IF(AND(S163="Expirată"),"Valabilitatea a expirat: reconfirmă prețurile. ","")))</f>
        <v/>
      </c>
    </row>
    <row r="164" spans="2:20" x14ac:dyDescent="0.2">
      <c r="B164" s="20"/>
      <c r="C164" s="21"/>
      <c r="D164" s="22"/>
      <c r="E164" s="22"/>
      <c r="F164" s="22"/>
      <c r="G164" s="20"/>
      <c r="H164" s="23" t="str">
        <f t="shared" si="4"/>
        <v/>
      </c>
      <c r="I164" s="22"/>
      <c r="J164" s="22"/>
      <c r="K164" s="24"/>
      <c r="L164" s="22"/>
      <c r="M164" s="22"/>
      <c r="N164" s="20"/>
      <c r="O164" s="21"/>
      <c r="P164" s="25" t="str">
        <f>IF(B164="","",SUMIF('Linii ofertă'!$B$5:$B$1004,B164,'Linii ofertă'!$J$5:$J$1004))</f>
        <v/>
      </c>
      <c r="Q164" s="25" t="str">
        <f>IF(B164="","",SUMIF('Linii ofertă'!$B$5:$B$1004,B164,'Linii ofertă'!$M$5:$M$1004))</f>
        <v/>
      </c>
      <c r="R164" s="26" t="str">
        <f>IF(OR(B164="",N(P164)=0),"",SUMIF('Linii ofertă'!$B$5:$B$1004,B164,'Linii ofertă'!$P$5:$P$1004)/P164)</f>
        <v/>
      </c>
      <c r="S164" s="27" t="str">
        <f t="shared" ca="1" si="5"/>
        <v/>
      </c>
      <c r="T164" s="28" t="str">
        <f>IF(B164="","",TRIM(IF(COUNTIF($B$5:$B$504,B164)&gt;1,"Număr dublat. ","")&amp;IF(N(P164)=0,"Oferta nu are linii. ","")&amp;IF(M164="","Completează ce NU include oferta. ","")&amp;IF(AND(ISNUMBER(R164),R164&lt;MarjaMin),"Marjă totală sub minim. ","")&amp;IF(COUNTIFS('Linii ofertă'!$B$5:$B$1004,B164,'Linii ofertă'!$R$5:$R$1004,"Marjă*")&gt;0,"Are linii cu marjă sub minim. ","")&amp;IF(AND(S164="Expirată"),"Valabilitatea a expirat: reconfirmă prețurile. ","")))</f>
        <v/>
      </c>
    </row>
    <row r="165" spans="2:20" x14ac:dyDescent="0.2">
      <c r="B165" s="20"/>
      <c r="C165" s="21"/>
      <c r="D165" s="22"/>
      <c r="E165" s="22"/>
      <c r="F165" s="22"/>
      <c r="G165" s="20"/>
      <c r="H165" s="23" t="str">
        <f t="shared" si="4"/>
        <v/>
      </c>
      <c r="I165" s="22"/>
      <c r="J165" s="22"/>
      <c r="K165" s="24"/>
      <c r="L165" s="22"/>
      <c r="M165" s="22"/>
      <c r="N165" s="20"/>
      <c r="O165" s="21"/>
      <c r="P165" s="25" t="str">
        <f>IF(B165="","",SUMIF('Linii ofertă'!$B$5:$B$1004,B165,'Linii ofertă'!$J$5:$J$1004))</f>
        <v/>
      </c>
      <c r="Q165" s="25" t="str">
        <f>IF(B165="","",SUMIF('Linii ofertă'!$B$5:$B$1004,B165,'Linii ofertă'!$M$5:$M$1004))</f>
        <v/>
      </c>
      <c r="R165" s="26" t="str">
        <f>IF(OR(B165="",N(P165)=0),"",SUMIF('Linii ofertă'!$B$5:$B$1004,B165,'Linii ofertă'!$P$5:$P$1004)/P165)</f>
        <v/>
      </c>
      <c r="S165" s="27" t="str">
        <f t="shared" ca="1" si="5"/>
        <v/>
      </c>
      <c r="T165" s="28" t="str">
        <f>IF(B165="","",TRIM(IF(COUNTIF($B$5:$B$504,B165)&gt;1,"Număr dublat. ","")&amp;IF(N(P165)=0,"Oferta nu are linii. ","")&amp;IF(M165="","Completează ce NU include oferta. ","")&amp;IF(AND(ISNUMBER(R165),R165&lt;MarjaMin),"Marjă totală sub minim. ","")&amp;IF(COUNTIFS('Linii ofertă'!$B$5:$B$1004,B165,'Linii ofertă'!$R$5:$R$1004,"Marjă*")&gt;0,"Are linii cu marjă sub minim. ","")&amp;IF(AND(S165="Expirată"),"Valabilitatea a expirat: reconfirmă prețurile. ","")))</f>
        <v/>
      </c>
    </row>
    <row r="166" spans="2:20" x14ac:dyDescent="0.2">
      <c r="B166" s="20"/>
      <c r="C166" s="21"/>
      <c r="D166" s="22"/>
      <c r="E166" s="22"/>
      <c r="F166" s="22"/>
      <c r="G166" s="20"/>
      <c r="H166" s="23" t="str">
        <f t="shared" si="4"/>
        <v/>
      </c>
      <c r="I166" s="22"/>
      <c r="J166" s="22"/>
      <c r="K166" s="24"/>
      <c r="L166" s="22"/>
      <c r="M166" s="22"/>
      <c r="N166" s="20"/>
      <c r="O166" s="21"/>
      <c r="P166" s="25" t="str">
        <f>IF(B166="","",SUMIF('Linii ofertă'!$B$5:$B$1004,B166,'Linii ofertă'!$J$5:$J$1004))</f>
        <v/>
      </c>
      <c r="Q166" s="25" t="str">
        <f>IF(B166="","",SUMIF('Linii ofertă'!$B$5:$B$1004,B166,'Linii ofertă'!$M$5:$M$1004))</f>
        <v/>
      </c>
      <c r="R166" s="26" t="str">
        <f>IF(OR(B166="",N(P166)=0),"",SUMIF('Linii ofertă'!$B$5:$B$1004,B166,'Linii ofertă'!$P$5:$P$1004)/P166)</f>
        <v/>
      </c>
      <c r="S166" s="27" t="str">
        <f t="shared" ca="1" si="5"/>
        <v/>
      </c>
      <c r="T166" s="28" t="str">
        <f>IF(B166="","",TRIM(IF(COUNTIF($B$5:$B$504,B166)&gt;1,"Număr dublat. ","")&amp;IF(N(P166)=0,"Oferta nu are linii. ","")&amp;IF(M166="","Completează ce NU include oferta. ","")&amp;IF(AND(ISNUMBER(R166),R166&lt;MarjaMin),"Marjă totală sub minim. ","")&amp;IF(COUNTIFS('Linii ofertă'!$B$5:$B$1004,B166,'Linii ofertă'!$R$5:$R$1004,"Marjă*")&gt;0,"Are linii cu marjă sub minim. ","")&amp;IF(AND(S166="Expirată"),"Valabilitatea a expirat: reconfirmă prețurile. ","")))</f>
        <v/>
      </c>
    </row>
    <row r="167" spans="2:20" x14ac:dyDescent="0.2">
      <c r="B167" s="20"/>
      <c r="C167" s="21"/>
      <c r="D167" s="22"/>
      <c r="E167" s="22"/>
      <c r="F167" s="22"/>
      <c r="G167" s="20"/>
      <c r="H167" s="23" t="str">
        <f t="shared" si="4"/>
        <v/>
      </c>
      <c r="I167" s="22"/>
      <c r="J167" s="22"/>
      <c r="K167" s="24"/>
      <c r="L167" s="22"/>
      <c r="M167" s="22"/>
      <c r="N167" s="20"/>
      <c r="O167" s="21"/>
      <c r="P167" s="25" t="str">
        <f>IF(B167="","",SUMIF('Linii ofertă'!$B$5:$B$1004,B167,'Linii ofertă'!$J$5:$J$1004))</f>
        <v/>
      </c>
      <c r="Q167" s="25" t="str">
        <f>IF(B167="","",SUMIF('Linii ofertă'!$B$5:$B$1004,B167,'Linii ofertă'!$M$5:$M$1004))</f>
        <v/>
      </c>
      <c r="R167" s="26" t="str">
        <f>IF(OR(B167="",N(P167)=0),"",SUMIF('Linii ofertă'!$B$5:$B$1004,B167,'Linii ofertă'!$P$5:$P$1004)/P167)</f>
        <v/>
      </c>
      <c r="S167" s="27" t="str">
        <f t="shared" ca="1" si="5"/>
        <v/>
      </c>
      <c r="T167" s="28" t="str">
        <f>IF(B167="","",TRIM(IF(COUNTIF($B$5:$B$504,B167)&gt;1,"Număr dublat. ","")&amp;IF(N(P167)=0,"Oferta nu are linii. ","")&amp;IF(M167="","Completează ce NU include oferta. ","")&amp;IF(AND(ISNUMBER(R167),R167&lt;MarjaMin),"Marjă totală sub minim. ","")&amp;IF(COUNTIFS('Linii ofertă'!$B$5:$B$1004,B167,'Linii ofertă'!$R$5:$R$1004,"Marjă*")&gt;0,"Are linii cu marjă sub minim. ","")&amp;IF(AND(S167="Expirată"),"Valabilitatea a expirat: reconfirmă prețurile. ","")))</f>
        <v/>
      </c>
    </row>
    <row r="168" spans="2:20" x14ac:dyDescent="0.2">
      <c r="B168" s="20"/>
      <c r="C168" s="21"/>
      <c r="D168" s="22"/>
      <c r="E168" s="22"/>
      <c r="F168" s="22"/>
      <c r="G168" s="20"/>
      <c r="H168" s="23" t="str">
        <f t="shared" si="4"/>
        <v/>
      </c>
      <c r="I168" s="22"/>
      <c r="J168" s="22"/>
      <c r="K168" s="24"/>
      <c r="L168" s="22"/>
      <c r="M168" s="22"/>
      <c r="N168" s="20"/>
      <c r="O168" s="21"/>
      <c r="P168" s="25" t="str">
        <f>IF(B168="","",SUMIF('Linii ofertă'!$B$5:$B$1004,B168,'Linii ofertă'!$J$5:$J$1004))</f>
        <v/>
      </c>
      <c r="Q168" s="25" t="str">
        <f>IF(B168="","",SUMIF('Linii ofertă'!$B$5:$B$1004,B168,'Linii ofertă'!$M$5:$M$1004))</f>
        <v/>
      </c>
      <c r="R168" s="26" t="str">
        <f>IF(OR(B168="",N(P168)=0),"",SUMIF('Linii ofertă'!$B$5:$B$1004,B168,'Linii ofertă'!$P$5:$P$1004)/P168)</f>
        <v/>
      </c>
      <c r="S168" s="27" t="str">
        <f t="shared" ca="1" si="5"/>
        <v/>
      </c>
      <c r="T168" s="28" t="str">
        <f>IF(B168="","",TRIM(IF(COUNTIF($B$5:$B$504,B168)&gt;1,"Număr dublat. ","")&amp;IF(N(P168)=0,"Oferta nu are linii. ","")&amp;IF(M168="","Completează ce NU include oferta. ","")&amp;IF(AND(ISNUMBER(R168),R168&lt;MarjaMin),"Marjă totală sub minim. ","")&amp;IF(COUNTIFS('Linii ofertă'!$B$5:$B$1004,B168,'Linii ofertă'!$R$5:$R$1004,"Marjă*")&gt;0,"Are linii cu marjă sub minim. ","")&amp;IF(AND(S168="Expirată"),"Valabilitatea a expirat: reconfirmă prețurile. ","")))</f>
        <v/>
      </c>
    </row>
    <row r="169" spans="2:20" x14ac:dyDescent="0.2">
      <c r="B169" s="20"/>
      <c r="C169" s="21"/>
      <c r="D169" s="22"/>
      <c r="E169" s="22"/>
      <c r="F169" s="22"/>
      <c r="G169" s="20"/>
      <c r="H169" s="23" t="str">
        <f t="shared" si="4"/>
        <v/>
      </c>
      <c r="I169" s="22"/>
      <c r="J169" s="22"/>
      <c r="K169" s="24"/>
      <c r="L169" s="22"/>
      <c r="M169" s="22"/>
      <c r="N169" s="20"/>
      <c r="O169" s="21"/>
      <c r="P169" s="25" t="str">
        <f>IF(B169="","",SUMIF('Linii ofertă'!$B$5:$B$1004,B169,'Linii ofertă'!$J$5:$J$1004))</f>
        <v/>
      </c>
      <c r="Q169" s="25" t="str">
        <f>IF(B169="","",SUMIF('Linii ofertă'!$B$5:$B$1004,B169,'Linii ofertă'!$M$5:$M$1004))</f>
        <v/>
      </c>
      <c r="R169" s="26" t="str">
        <f>IF(OR(B169="",N(P169)=0),"",SUMIF('Linii ofertă'!$B$5:$B$1004,B169,'Linii ofertă'!$P$5:$P$1004)/P169)</f>
        <v/>
      </c>
      <c r="S169" s="27" t="str">
        <f t="shared" ca="1" si="5"/>
        <v/>
      </c>
      <c r="T169" s="28" t="str">
        <f>IF(B169="","",TRIM(IF(COUNTIF($B$5:$B$504,B169)&gt;1,"Număr dublat. ","")&amp;IF(N(P169)=0,"Oferta nu are linii. ","")&amp;IF(M169="","Completează ce NU include oferta. ","")&amp;IF(AND(ISNUMBER(R169),R169&lt;MarjaMin),"Marjă totală sub minim. ","")&amp;IF(COUNTIFS('Linii ofertă'!$B$5:$B$1004,B169,'Linii ofertă'!$R$5:$R$1004,"Marjă*")&gt;0,"Are linii cu marjă sub minim. ","")&amp;IF(AND(S169="Expirată"),"Valabilitatea a expirat: reconfirmă prețurile. ","")))</f>
        <v/>
      </c>
    </row>
    <row r="170" spans="2:20" x14ac:dyDescent="0.2">
      <c r="B170" s="20"/>
      <c r="C170" s="21"/>
      <c r="D170" s="22"/>
      <c r="E170" s="22"/>
      <c r="F170" s="22"/>
      <c r="G170" s="20"/>
      <c r="H170" s="23" t="str">
        <f t="shared" si="4"/>
        <v/>
      </c>
      <c r="I170" s="22"/>
      <c r="J170" s="22"/>
      <c r="K170" s="24"/>
      <c r="L170" s="22"/>
      <c r="M170" s="22"/>
      <c r="N170" s="20"/>
      <c r="O170" s="21"/>
      <c r="P170" s="25" t="str">
        <f>IF(B170="","",SUMIF('Linii ofertă'!$B$5:$B$1004,B170,'Linii ofertă'!$J$5:$J$1004))</f>
        <v/>
      </c>
      <c r="Q170" s="25" t="str">
        <f>IF(B170="","",SUMIF('Linii ofertă'!$B$5:$B$1004,B170,'Linii ofertă'!$M$5:$M$1004))</f>
        <v/>
      </c>
      <c r="R170" s="26" t="str">
        <f>IF(OR(B170="",N(P170)=0),"",SUMIF('Linii ofertă'!$B$5:$B$1004,B170,'Linii ofertă'!$P$5:$P$1004)/P170)</f>
        <v/>
      </c>
      <c r="S170" s="27" t="str">
        <f t="shared" ca="1" si="5"/>
        <v/>
      </c>
      <c r="T170" s="28" t="str">
        <f>IF(B170="","",TRIM(IF(COUNTIF($B$5:$B$504,B170)&gt;1,"Număr dublat. ","")&amp;IF(N(P170)=0,"Oferta nu are linii. ","")&amp;IF(M170="","Completează ce NU include oferta. ","")&amp;IF(AND(ISNUMBER(R170),R170&lt;MarjaMin),"Marjă totală sub minim. ","")&amp;IF(COUNTIFS('Linii ofertă'!$B$5:$B$1004,B170,'Linii ofertă'!$R$5:$R$1004,"Marjă*")&gt;0,"Are linii cu marjă sub minim. ","")&amp;IF(AND(S170="Expirată"),"Valabilitatea a expirat: reconfirmă prețurile. ","")))</f>
        <v/>
      </c>
    </row>
    <row r="171" spans="2:20" x14ac:dyDescent="0.2">
      <c r="B171" s="20"/>
      <c r="C171" s="21"/>
      <c r="D171" s="22"/>
      <c r="E171" s="22"/>
      <c r="F171" s="22"/>
      <c r="G171" s="20"/>
      <c r="H171" s="23" t="str">
        <f t="shared" si="4"/>
        <v/>
      </c>
      <c r="I171" s="22"/>
      <c r="J171" s="22"/>
      <c r="K171" s="24"/>
      <c r="L171" s="22"/>
      <c r="M171" s="22"/>
      <c r="N171" s="20"/>
      <c r="O171" s="21"/>
      <c r="P171" s="25" t="str">
        <f>IF(B171="","",SUMIF('Linii ofertă'!$B$5:$B$1004,B171,'Linii ofertă'!$J$5:$J$1004))</f>
        <v/>
      </c>
      <c r="Q171" s="25" t="str">
        <f>IF(B171="","",SUMIF('Linii ofertă'!$B$5:$B$1004,B171,'Linii ofertă'!$M$5:$M$1004))</f>
        <v/>
      </c>
      <c r="R171" s="26" t="str">
        <f>IF(OR(B171="",N(P171)=0),"",SUMIF('Linii ofertă'!$B$5:$B$1004,B171,'Linii ofertă'!$P$5:$P$1004)/P171)</f>
        <v/>
      </c>
      <c r="S171" s="27" t="str">
        <f t="shared" ca="1" si="5"/>
        <v/>
      </c>
      <c r="T171" s="28" t="str">
        <f>IF(B171="","",TRIM(IF(COUNTIF($B$5:$B$504,B171)&gt;1,"Număr dublat. ","")&amp;IF(N(P171)=0,"Oferta nu are linii. ","")&amp;IF(M171="","Completează ce NU include oferta. ","")&amp;IF(AND(ISNUMBER(R171),R171&lt;MarjaMin),"Marjă totală sub minim. ","")&amp;IF(COUNTIFS('Linii ofertă'!$B$5:$B$1004,B171,'Linii ofertă'!$R$5:$R$1004,"Marjă*")&gt;0,"Are linii cu marjă sub minim. ","")&amp;IF(AND(S171="Expirată"),"Valabilitatea a expirat: reconfirmă prețurile. ","")))</f>
        <v/>
      </c>
    </row>
    <row r="172" spans="2:20" x14ac:dyDescent="0.2">
      <c r="B172" s="20"/>
      <c r="C172" s="21"/>
      <c r="D172" s="22"/>
      <c r="E172" s="22"/>
      <c r="F172" s="22"/>
      <c r="G172" s="20"/>
      <c r="H172" s="23" t="str">
        <f t="shared" si="4"/>
        <v/>
      </c>
      <c r="I172" s="22"/>
      <c r="J172" s="22"/>
      <c r="K172" s="24"/>
      <c r="L172" s="22"/>
      <c r="M172" s="22"/>
      <c r="N172" s="20"/>
      <c r="O172" s="21"/>
      <c r="P172" s="25" t="str">
        <f>IF(B172="","",SUMIF('Linii ofertă'!$B$5:$B$1004,B172,'Linii ofertă'!$J$5:$J$1004))</f>
        <v/>
      </c>
      <c r="Q172" s="25" t="str">
        <f>IF(B172="","",SUMIF('Linii ofertă'!$B$5:$B$1004,B172,'Linii ofertă'!$M$5:$M$1004))</f>
        <v/>
      </c>
      <c r="R172" s="26" t="str">
        <f>IF(OR(B172="",N(P172)=0),"",SUMIF('Linii ofertă'!$B$5:$B$1004,B172,'Linii ofertă'!$P$5:$P$1004)/P172)</f>
        <v/>
      </c>
      <c r="S172" s="27" t="str">
        <f t="shared" ca="1" si="5"/>
        <v/>
      </c>
      <c r="T172" s="28" t="str">
        <f>IF(B172="","",TRIM(IF(COUNTIF($B$5:$B$504,B172)&gt;1,"Număr dublat. ","")&amp;IF(N(P172)=0,"Oferta nu are linii. ","")&amp;IF(M172="","Completează ce NU include oferta. ","")&amp;IF(AND(ISNUMBER(R172),R172&lt;MarjaMin),"Marjă totală sub minim. ","")&amp;IF(COUNTIFS('Linii ofertă'!$B$5:$B$1004,B172,'Linii ofertă'!$R$5:$R$1004,"Marjă*")&gt;0,"Are linii cu marjă sub minim. ","")&amp;IF(AND(S172="Expirată"),"Valabilitatea a expirat: reconfirmă prețurile. ","")))</f>
        <v/>
      </c>
    </row>
    <row r="173" spans="2:20" x14ac:dyDescent="0.2">
      <c r="B173" s="20"/>
      <c r="C173" s="21"/>
      <c r="D173" s="22"/>
      <c r="E173" s="22"/>
      <c r="F173" s="22"/>
      <c r="G173" s="20"/>
      <c r="H173" s="23" t="str">
        <f t="shared" si="4"/>
        <v/>
      </c>
      <c r="I173" s="22"/>
      <c r="J173" s="22"/>
      <c r="K173" s="24"/>
      <c r="L173" s="22"/>
      <c r="M173" s="22"/>
      <c r="N173" s="20"/>
      <c r="O173" s="21"/>
      <c r="P173" s="25" t="str">
        <f>IF(B173="","",SUMIF('Linii ofertă'!$B$5:$B$1004,B173,'Linii ofertă'!$J$5:$J$1004))</f>
        <v/>
      </c>
      <c r="Q173" s="25" t="str">
        <f>IF(B173="","",SUMIF('Linii ofertă'!$B$5:$B$1004,B173,'Linii ofertă'!$M$5:$M$1004))</f>
        <v/>
      </c>
      <c r="R173" s="26" t="str">
        <f>IF(OR(B173="",N(P173)=0),"",SUMIF('Linii ofertă'!$B$5:$B$1004,B173,'Linii ofertă'!$P$5:$P$1004)/P173)</f>
        <v/>
      </c>
      <c r="S173" s="27" t="str">
        <f t="shared" ca="1" si="5"/>
        <v/>
      </c>
      <c r="T173" s="28" t="str">
        <f>IF(B173="","",TRIM(IF(COUNTIF($B$5:$B$504,B173)&gt;1,"Număr dublat. ","")&amp;IF(N(P173)=0,"Oferta nu are linii. ","")&amp;IF(M173="","Completează ce NU include oferta. ","")&amp;IF(AND(ISNUMBER(R173),R173&lt;MarjaMin),"Marjă totală sub minim. ","")&amp;IF(COUNTIFS('Linii ofertă'!$B$5:$B$1004,B173,'Linii ofertă'!$R$5:$R$1004,"Marjă*")&gt;0,"Are linii cu marjă sub minim. ","")&amp;IF(AND(S173="Expirată"),"Valabilitatea a expirat: reconfirmă prețurile. ","")))</f>
        <v/>
      </c>
    </row>
    <row r="174" spans="2:20" x14ac:dyDescent="0.2">
      <c r="B174" s="20"/>
      <c r="C174" s="21"/>
      <c r="D174" s="22"/>
      <c r="E174" s="22"/>
      <c r="F174" s="22"/>
      <c r="G174" s="20"/>
      <c r="H174" s="23" t="str">
        <f t="shared" si="4"/>
        <v/>
      </c>
      <c r="I174" s="22"/>
      <c r="J174" s="22"/>
      <c r="K174" s="24"/>
      <c r="L174" s="22"/>
      <c r="M174" s="22"/>
      <c r="N174" s="20"/>
      <c r="O174" s="21"/>
      <c r="P174" s="25" t="str">
        <f>IF(B174="","",SUMIF('Linii ofertă'!$B$5:$B$1004,B174,'Linii ofertă'!$J$5:$J$1004))</f>
        <v/>
      </c>
      <c r="Q174" s="25" t="str">
        <f>IF(B174="","",SUMIF('Linii ofertă'!$B$5:$B$1004,B174,'Linii ofertă'!$M$5:$M$1004))</f>
        <v/>
      </c>
      <c r="R174" s="26" t="str">
        <f>IF(OR(B174="",N(P174)=0),"",SUMIF('Linii ofertă'!$B$5:$B$1004,B174,'Linii ofertă'!$P$5:$P$1004)/P174)</f>
        <v/>
      </c>
      <c r="S174" s="27" t="str">
        <f t="shared" ca="1" si="5"/>
        <v/>
      </c>
      <c r="T174" s="28" t="str">
        <f>IF(B174="","",TRIM(IF(COUNTIF($B$5:$B$504,B174)&gt;1,"Număr dublat. ","")&amp;IF(N(P174)=0,"Oferta nu are linii. ","")&amp;IF(M174="","Completează ce NU include oferta. ","")&amp;IF(AND(ISNUMBER(R174),R174&lt;MarjaMin),"Marjă totală sub minim. ","")&amp;IF(COUNTIFS('Linii ofertă'!$B$5:$B$1004,B174,'Linii ofertă'!$R$5:$R$1004,"Marjă*")&gt;0,"Are linii cu marjă sub minim. ","")&amp;IF(AND(S174="Expirată"),"Valabilitatea a expirat: reconfirmă prețurile. ","")))</f>
        <v/>
      </c>
    </row>
    <row r="175" spans="2:20" x14ac:dyDescent="0.2">
      <c r="B175" s="20"/>
      <c r="C175" s="21"/>
      <c r="D175" s="22"/>
      <c r="E175" s="22"/>
      <c r="F175" s="22"/>
      <c r="G175" s="20"/>
      <c r="H175" s="23" t="str">
        <f t="shared" si="4"/>
        <v/>
      </c>
      <c r="I175" s="22"/>
      <c r="J175" s="22"/>
      <c r="K175" s="24"/>
      <c r="L175" s="22"/>
      <c r="M175" s="22"/>
      <c r="N175" s="20"/>
      <c r="O175" s="21"/>
      <c r="P175" s="25" t="str">
        <f>IF(B175="","",SUMIF('Linii ofertă'!$B$5:$B$1004,B175,'Linii ofertă'!$J$5:$J$1004))</f>
        <v/>
      </c>
      <c r="Q175" s="25" t="str">
        <f>IF(B175="","",SUMIF('Linii ofertă'!$B$5:$B$1004,B175,'Linii ofertă'!$M$5:$M$1004))</f>
        <v/>
      </c>
      <c r="R175" s="26" t="str">
        <f>IF(OR(B175="",N(P175)=0),"",SUMIF('Linii ofertă'!$B$5:$B$1004,B175,'Linii ofertă'!$P$5:$P$1004)/P175)</f>
        <v/>
      </c>
      <c r="S175" s="27" t="str">
        <f t="shared" ca="1" si="5"/>
        <v/>
      </c>
      <c r="T175" s="28" t="str">
        <f>IF(B175="","",TRIM(IF(COUNTIF($B$5:$B$504,B175)&gt;1,"Număr dublat. ","")&amp;IF(N(P175)=0,"Oferta nu are linii. ","")&amp;IF(M175="","Completează ce NU include oferta. ","")&amp;IF(AND(ISNUMBER(R175),R175&lt;MarjaMin),"Marjă totală sub minim. ","")&amp;IF(COUNTIFS('Linii ofertă'!$B$5:$B$1004,B175,'Linii ofertă'!$R$5:$R$1004,"Marjă*")&gt;0,"Are linii cu marjă sub minim. ","")&amp;IF(AND(S175="Expirată"),"Valabilitatea a expirat: reconfirmă prețurile. ","")))</f>
        <v/>
      </c>
    </row>
    <row r="176" spans="2:20" x14ac:dyDescent="0.2">
      <c r="B176" s="20"/>
      <c r="C176" s="21"/>
      <c r="D176" s="22"/>
      <c r="E176" s="22"/>
      <c r="F176" s="22"/>
      <c r="G176" s="20"/>
      <c r="H176" s="23" t="str">
        <f t="shared" si="4"/>
        <v/>
      </c>
      <c r="I176" s="22"/>
      <c r="J176" s="22"/>
      <c r="K176" s="24"/>
      <c r="L176" s="22"/>
      <c r="M176" s="22"/>
      <c r="N176" s="20"/>
      <c r="O176" s="21"/>
      <c r="P176" s="25" t="str">
        <f>IF(B176="","",SUMIF('Linii ofertă'!$B$5:$B$1004,B176,'Linii ofertă'!$J$5:$J$1004))</f>
        <v/>
      </c>
      <c r="Q176" s="25" t="str">
        <f>IF(B176="","",SUMIF('Linii ofertă'!$B$5:$B$1004,B176,'Linii ofertă'!$M$5:$M$1004))</f>
        <v/>
      </c>
      <c r="R176" s="26" t="str">
        <f>IF(OR(B176="",N(P176)=0),"",SUMIF('Linii ofertă'!$B$5:$B$1004,B176,'Linii ofertă'!$P$5:$P$1004)/P176)</f>
        <v/>
      </c>
      <c r="S176" s="27" t="str">
        <f t="shared" ca="1" si="5"/>
        <v/>
      </c>
      <c r="T176" s="28" t="str">
        <f>IF(B176="","",TRIM(IF(COUNTIF($B$5:$B$504,B176)&gt;1,"Număr dublat. ","")&amp;IF(N(P176)=0,"Oferta nu are linii. ","")&amp;IF(M176="","Completează ce NU include oferta. ","")&amp;IF(AND(ISNUMBER(R176),R176&lt;MarjaMin),"Marjă totală sub minim. ","")&amp;IF(COUNTIFS('Linii ofertă'!$B$5:$B$1004,B176,'Linii ofertă'!$R$5:$R$1004,"Marjă*")&gt;0,"Are linii cu marjă sub minim. ","")&amp;IF(AND(S176="Expirată"),"Valabilitatea a expirat: reconfirmă prețurile. ","")))</f>
        <v/>
      </c>
    </row>
    <row r="177" spans="2:20" x14ac:dyDescent="0.2">
      <c r="B177" s="20"/>
      <c r="C177" s="21"/>
      <c r="D177" s="22"/>
      <c r="E177" s="22"/>
      <c r="F177" s="22"/>
      <c r="G177" s="20"/>
      <c r="H177" s="23" t="str">
        <f t="shared" si="4"/>
        <v/>
      </c>
      <c r="I177" s="22"/>
      <c r="J177" s="22"/>
      <c r="K177" s="24"/>
      <c r="L177" s="22"/>
      <c r="M177" s="22"/>
      <c r="N177" s="20"/>
      <c r="O177" s="21"/>
      <c r="P177" s="25" t="str">
        <f>IF(B177="","",SUMIF('Linii ofertă'!$B$5:$B$1004,B177,'Linii ofertă'!$J$5:$J$1004))</f>
        <v/>
      </c>
      <c r="Q177" s="25" t="str">
        <f>IF(B177="","",SUMIF('Linii ofertă'!$B$5:$B$1004,B177,'Linii ofertă'!$M$5:$M$1004))</f>
        <v/>
      </c>
      <c r="R177" s="26" t="str">
        <f>IF(OR(B177="",N(P177)=0),"",SUMIF('Linii ofertă'!$B$5:$B$1004,B177,'Linii ofertă'!$P$5:$P$1004)/P177)</f>
        <v/>
      </c>
      <c r="S177" s="27" t="str">
        <f t="shared" ca="1" si="5"/>
        <v/>
      </c>
      <c r="T177" s="28" t="str">
        <f>IF(B177="","",TRIM(IF(COUNTIF($B$5:$B$504,B177)&gt;1,"Număr dublat. ","")&amp;IF(N(P177)=0,"Oferta nu are linii. ","")&amp;IF(M177="","Completează ce NU include oferta. ","")&amp;IF(AND(ISNUMBER(R177),R177&lt;MarjaMin),"Marjă totală sub minim. ","")&amp;IF(COUNTIFS('Linii ofertă'!$B$5:$B$1004,B177,'Linii ofertă'!$R$5:$R$1004,"Marjă*")&gt;0,"Are linii cu marjă sub minim. ","")&amp;IF(AND(S177="Expirată"),"Valabilitatea a expirat: reconfirmă prețurile. ","")))</f>
        <v/>
      </c>
    </row>
    <row r="178" spans="2:20" x14ac:dyDescent="0.2">
      <c r="B178" s="20"/>
      <c r="C178" s="21"/>
      <c r="D178" s="22"/>
      <c r="E178" s="22"/>
      <c r="F178" s="22"/>
      <c r="G178" s="20"/>
      <c r="H178" s="23" t="str">
        <f t="shared" si="4"/>
        <v/>
      </c>
      <c r="I178" s="22"/>
      <c r="J178" s="22"/>
      <c r="K178" s="24"/>
      <c r="L178" s="22"/>
      <c r="M178" s="22"/>
      <c r="N178" s="20"/>
      <c r="O178" s="21"/>
      <c r="P178" s="25" t="str">
        <f>IF(B178="","",SUMIF('Linii ofertă'!$B$5:$B$1004,B178,'Linii ofertă'!$J$5:$J$1004))</f>
        <v/>
      </c>
      <c r="Q178" s="25" t="str">
        <f>IF(B178="","",SUMIF('Linii ofertă'!$B$5:$B$1004,B178,'Linii ofertă'!$M$5:$M$1004))</f>
        <v/>
      </c>
      <c r="R178" s="26" t="str">
        <f>IF(OR(B178="",N(P178)=0),"",SUMIF('Linii ofertă'!$B$5:$B$1004,B178,'Linii ofertă'!$P$5:$P$1004)/P178)</f>
        <v/>
      </c>
      <c r="S178" s="27" t="str">
        <f t="shared" ca="1" si="5"/>
        <v/>
      </c>
      <c r="T178" s="28" t="str">
        <f>IF(B178="","",TRIM(IF(COUNTIF($B$5:$B$504,B178)&gt;1,"Număr dublat. ","")&amp;IF(N(P178)=0,"Oferta nu are linii. ","")&amp;IF(M178="","Completează ce NU include oferta. ","")&amp;IF(AND(ISNUMBER(R178),R178&lt;MarjaMin),"Marjă totală sub minim. ","")&amp;IF(COUNTIFS('Linii ofertă'!$B$5:$B$1004,B178,'Linii ofertă'!$R$5:$R$1004,"Marjă*")&gt;0,"Are linii cu marjă sub minim. ","")&amp;IF(AND(S178="Expirată"),"Valabilitatea a expirat: reconfirmă prețurile. ","")))</f>
        <v/>
      </c>
    </row>
    <row r="179" spans="2:20" x14ac:dyDescent="0.2">
      <c r="B179" s="20"/>
      <c r="C179" s="21"/>
      <c r="D179" s="22"/>
      <c r="E179" s="22"/>
      <c r="F179" s="22"/>
      <c r="G179" s="20"/>
      <c r="H179" s="23" t="str">
        <f t="shared" si="4"/>
        <v/>
      </c>
      <c r="I179" s="22"/>
      <c r="J179" s="22"/>
      <c r="K179" s="24"/>
      <c r="L179" s="22"/>
      <c r="M179" s="22"/>
      <c r="N179" s="20"/>
      <c r="O179" s="21"/>
      <c r="P179" s="25" t="str">
        <f>IF(B179="","",SUMIF('Linii ofertă'!$B$5:$B$1004,B179,'Linii ofertă'!$J$5:$J$1004))</f>
        <v/>
      </c>
      <c r="Q179" s="25" t="str">
        <f>IF(B179="","",SUMIF('Linii ofertă'!$B$5:$B$1004,B179,'Linii ofertă'!$M$5:$M$1004))</f>
        <v/>
      </c>
      <c r="R179" s="26" t="str">
        <f>IF(OR(B179="",N(P179)=0),"",SUMIF('Linii ofertă'!$B$5:$B$1004,B179,'Linii ofertă'!$P$5:$P$1004)/P179)</f>
        <v/>
      </c>
      <c r="S179" s="27" t="str">
        <f t="shared" ca="1" si="5"/>
        <v/>
      </c>
      <c r="T179" s="28" t="str">
        <f>IF(B179="","",TRIM(IF(COUNTIF($B$5:$B$504,B179)&gt;1,"Număr dublat. ","")&amp;IF(N(P179)=0,"Oferta nu are linii. ","")&amp;IF(M179="","Completează ce NU include oferta. ","")&amp;IF(AND(ISNUMBER(R179),R179&lt;MarjaMin),"Marjă totală sub minim. ","")&amp;IF(COUNTIFS('Linii ofertă'!$B$5:$B$1004,B179,'Linii ofertă'!$R$5:$R$1004,"Marjă*")&gt;0,"Are linii cu marjă sub minim. ","")&amp;IF(AND(S179="Expirată"),"Valabilitatea a expirat: reconfirmă prețurile. ","")))</f>
        <v/>
      </c>
    </row>
    <row r="180" spans="2:20" x14ac:dyDescent="0.2">
      <c r="B180" s="20"/>
      <c r="C180" s="21"/>
      <c r="D180" s="22"/>
      <c r="E180" s="22"/>
      <c r="F180" s="22"/>
      <c r="G180" s="20"/>
      <c r="H180" s="23" t="str">
        <f t="shared" si="4"/>
        <v/>
      </c>
      <c r="I180" s="22"/>
      <c r="J180" s="22"/>
      <c r="K180" s="24"/>
      <c r="L180" s="22"/>
      <c r="M180" s="22"/>
      <c r="N180" s="20"/>
      <c r="O180" s="21"/>
      <c r="P180" s="25" t="str">
        <f>IF(B180="","",SUMIF('Linii ofertă'!$B$5:$B$1004,B180,'Linii ofertă'!$J$5:$J$1004))</f>
        <v/>
      </c>
      <c r="Q180" s="25" t="str">
        <f>IF(B180="","",SUMIF('Linii ofertă'!$B$5:$B$1004,B180,'Linii ofertă'!$M$5:$M$1004))</f>
        <v/>
      </c>
      <c r="R180" s="26" t="str">
        <f>IF(OR(B180="",N(P180)=0),"",SUMIF('Linii ofertă'!$B$5:$B$1004,B180,'Linii ofertă'!$P$5:$P$1004)/P180)</f>
        <v/>
      </c>
      <c r="S180" s="27" t="str">
        <f t="shared" ca="1" si="5"/>
        <v/>
      </c>
      <c r="T180" s="28" t="str">
        <f>IF(B180="","",TRIM(IF(COUNTIF($B$5:$B$504,B180)&gt;1,"Număr dublat. ","")&amp;IF(N(P180)=0,"Oferta nu are linii. ","")&amp;IF(M180="","Completează ce NU include oferta. ","")&amp;IF(AND(ISNUMBER(R180),R180&lt;MarjaMin),"Marjă totală sub minim. ","")&amp;IF(COUNTIFS('Linii ofertă'!$B$5:$B$1004,B180,'Linii ofertă'!$R$5:$R$1004,"Marjă*")&gt;0,"Are linii cu marjă sub minim. ","")&amp;IF(AND(S180="Expirată"),"Valabilitatea a expirat: reconfirmă prețurile. ","")))</f>
        <v/>
      </c>
    </row>
    <row r="181" spans="2:20" x14ac:dyDescent="0.2">
      <c r="B181" s="20"/>
      <c r="C181" s="21"/>
      <c r="D181" s="22"/>
      <c r="E181" s="22"/>
      <c r="F181" s="22"/>
      <c r="G181" s="20"/>
      <c r="H181" s="23" t="str">
        <f t="shared" si="4"/>
        <v/>
      </c>
      <c r="I181" s="22"/>
      <c r="J181" s="22"/>
      <c r="K181" s="24"/>
      <c r="L181" s="22"/>
      <c r="M181" s="22"/>
      <c r="N181" s="20"/>
      <c r="O181" s="21"/>
      <c r="P181" s="25" t="str">
        <f>IF(B181="","",SUMIF('Linii ofertă'!$B$5:$B$1004,B181,'Linii ofertă'!$J$5:$J$1004))</f>
        <v/>
      </c>
      <c r="Q181" s="25" t="str">
        <f>IF(B181="","",SUMIF('Linii ofertă'!$B$5:$B$1004,B181,'Linii ofertă'!$M$5:$M$1004))</f>
        <v/>
      </c>
      <c r="R181" s="26" t="str">
        <f>IF(OR(B181="",N(P181)=0),"",SUMIF('Linii ofertă'!$B$5:$B$1004,B181,'Linii ofertă'!$P$5:$P$1004)/P181)</f>
        <v/>
      </c>
      <c r="S181" s="27" t="str">
        <f t="shared" ca="1" si="5"/>
        <v/>
      </c>
      <c r="T181" s="28" t="str">
        <f>IF(B181="","",TRIM(IF(COUNTIF($B$5:$B$504,B181)&gt;1,"Număr dublat. ","")&amp;IF(N(P181)=0,"Oferta nu are linii. ","")&amp;IF(M181="","Completează ce NU include oferta. ","")&amp;IF(AND(ISNUMBER(R181),R181&lt;MarjaMin),"Marjă totală sub minim. ","")&amp;IF(COUNTIFS('Linii ofertă'!$B$5:$B$1004,B181,'Linii ofertă'!$R$5:$R$1004,"Marjă*")&gt;0,"Are linii cu marjă sub minim. ","")&amp;IF(AND(S181="Expirată"),"Valabilitatea a expirat: reconfirmă prețurile. ","")))</f>
        <v/>
      </c>
    </row>
    <row r="182" spans="2:20" x14ac:dyDescent="0.2">
      <c r="B182" s="20"/>
      <c r="C182" s="21"/>
      <c r="D182" s="22"/>
      <c r="E182" s="22"/>
      <c r="F182" s="22"/>
      <c r="G182" s="20"/>
      <c r="H182" s="23" t="str">
        <f t="shared" si="4"/>
        <v/>
      </c>
      <c r="I182" s="22"/>
      <c r="J182" s="22"/>
      <c r="K182" s="24"/>
      <c r="L182" s="22"/>
      <c r="M182" s="22"/>
      <c r="N182" s="20"/>
      <c r="O182" s="21"/>
      <c r="P182" s="25" t="str">
        <f>IF(B182="","",SUMIF('Linii ofertă'!$B$5:$B$1004,B182,'Linii ofertă'!$J$5:$J$1004))</f>
        <v/>
      </c>
      <c r="Q182" s="25" t="str">
        <f>IF(B182="","",SUMIF('Linii ofertă'!$B$5:$B$1004,B182,'Linii ofertă'!$M$5:$M$1004))</f>
        <v/>
      </c>
      <c r="R182" s="26" t="str">
        <f>IF(OR(B182="",N(P182)=0),"",SUMIF('Linii ofertă'!$B$5:$B$1004,B182,'Linii ofertă'!$P$5:$P$1004)/P182)</f>
        <v/>
      </c>
      <c r="S182" s="27" t="str">
        <f t="shared" ca="1" si="5"/>
        <v/>
      </c>
      <c r="T182" s="28" t="str">
        <f>IF(B182="","",TRIM(IF(COUNTIF($B$5:$B$504,B182)&gt;1,"Număr dublat. ","")&amp;IF(N(P182)=0,"Oferta nu are linii. ","")&amp;IF(M182="","Completează ce NU include oferta. ","")&amp;IF(AND(ISNUMBER(R182),R182&lt;MarjaMin),"Marjă totală sub minim. ","")&amp;IF(COUNTIFS('Linii ofertă'!$B$5:$B$1004,B182,'Linii ofertă'!$R$5:$R$1004,"Marjă*")&gt;0,"Are linii cu marjă sub minim. ","")&amp;IF(AND(S182="Expirată"),"Valabilitatea a expirat: reconfirmă prețurile. ","")))</f>
        <v/>
      </c>
    </row>
    <row r="183" spans="2:20" x14ac:dyDescent="0.2">
      <c r="B183" s="20"/>
      <c r="C183" s="21"/>
      <c r="D183" s="22"/>
      <c r="E183" s="22"/>
      <c r="F183" s="22"/>
      <c r="G183" s="20"/>
      <c r="H183" s="23" t="str">
        <f t="shared" si="4"/>
        <v/>
      </c>
      <c r="I183" s="22"/>
      <c r="J183" s="22"/>
      <c r="K183" s="24"/>
      <c r="L183" s="22"/>
      <c r="M183" s="22"/>
      <c r="N183" s="20"/>
      <c r="O183" s="21"/>
      <c r="P183" s="25" t="str">
        <f>IF(B183="","",SUMIF('Linii ofertă'!$B$5:$B$1004,B183,'Linii ofertă'!$J$5:$J$1004))</f>
        <v/>
      </c>
      <c r="Q183" s="25" t="str">
        <f>IF(B183="","",SUMIF('Linii ofertă'!$B$5:$B$1004,B183,'Linii ofertă'!$M$5:$M$1004))</f>
        <v/>
      </c>
      <c r="R183" s="26" t="str">
        <f>IF(OR(B183="",N(P183)=0),"",SUMIF('Linii ofertă'!$B$5:$B$1004,B183,'Linii ofertă'!$P$5:$P$1004)/P183)</f>
        <v/>
      </c>
      <c r="S183" s="27" t="str">
        <f t="shared" ca="1" si="5"/>
        <v/>
      </c>
      <c r="T183" s="28" t="str">
        <f>IF(B183="","",TRIM(IF(COUNTIF($B$5:$B$504,B183)&gt;1,"Număr dublat. ","")&amp;IF(N(P183)=0,"Oferta nu are linii. ","")&amp;IF(M183="","Completează ce NU include oferta. ","")&amp;IF(AND(ISNUMBER(R183),R183&lt;MarjaMin),"Marjă totală sub minim. ","")&amp;IF(COUNTIFS('Linii ofertă'!$B$5:$B$1004,B183,'Linii ofertă'!$R$5:$R$1004,"Marjă*")&gt;0,"Are linii cu marjă sub minim. ","")&amp;IF(AND(S183="Expirată"),"Valabilitatea a expirat: reconfirmă prețurile. ","")))</f>
        <v/>
      </c>
    </row>
    <row r="184" spans="2:20" x14ac:dyDescent="0.2">
      <c r="B184" s="20"/>
      <c r="C184" s="21"/>
      <c r="D184" s="22"/>
      <c r="E184" s="22"/>
      <c r="F184" s="22"/>
      <c r="G184" s="20"/>
      <c r="H184" s="23" t="str">
        <f t="shared" si="4"/>
        <v/>
      </c>
      <c r="I184" s="22"/>
      <c r="J184" s="22"/>
      <c r="K184" s="24"/>
      <c r="L184" s="22"/>
      <c r="M184" s="22"/>
      <c r="N184" s="20"/>
      <c r="O184" s="21"/>
      <c r="P184" s="25" t="str">
        <f>IF(B184="","",SUMIF('Linii ofertă'!$B$5:$B$1004,B184,'Linii ofertă'!$J$5:$J$1004))</f>
        <v/>
      </c>
      <c r="Q184" s="25" t="str">
        <f>IF(B184="","",SUMIF('Linii ofertă'!$B$5:$B$1004,B184,'Linii ofertă'!$M$5:$M$1004))</f>
        <v/>
      </c>
      <c r="R184" s="26" t="str">
        <f>IF(OR(B184="",N(P184)=0),"",SUMIF('Linii ofertă'!$B$5:$B$1004,B184,'Linii ofertă'!$P$5:$P$1004)/P184)</f>
        <v/>
      </c>
      <c r="S184" s="27" t="str">
        <f t="shared" ca="1" si="5"/>
        <v/>
      </c>
      <c r="T184" s="28" t="str">
        <f>IF(B184="","",TRIM(IF(COUNTIF($B$5:$B$504,B184)&gt;1,"Număr dublat. ","")&amp;IF(N(P184)=0,"Oferta nu are linii. ","")&amp;IF(M184="","Completează ce NU include oferta. ","")&amp;IF(AND(ISNUMBER(R184),R184&lt;MarjaMin),"Marjă totală sub minim. ","")&amp;IF(COUNTIFS('Linii ofertă'!$B$5:$B$1004,B184,'Linii ofertă'!$R$5:$R$1004,"Marjă*")&gt;0,"Are linii cu marjă sub minim. ","")&amp;IF(AND(S184="Expirată"),"Valabilitatea a expirat: reconfirmă prețurile. ","")))</f>
        <v/>
      </c>
    </row>
    <row r="185" spans="2:20" x14ac:dyDescent="0.2">
      <c r="B185" s="20"/>
      <c r="C185" s="21"/>
      <c r="D185" s="22"/>
      <c r="E185" s="22"/>
      <c r="F185" s="22"/>
      <c r="G185" s="20"/>
      <c r="H185" s="23" t="str">
        <f t="shared" si="4"/>
        <v/>
      </c>
      <c r="I185" s="22"/>
      <c r="J185" s="22"/>
      <c r="K185" s="24"/>
      <c r="L185" s="22"/>
      <c r="M185" s="22"/>
      <c r="N185" s="20"/>
      <c r="O185" s="21"/>
      <c r="P185" s="25" t="str">
        <f>IF(B185="","",SUMIF('Linii ofertă'!$B$5:$B$1004,B185,'Linii ofertă'!$J$5:$J$1004))</f>
        <v/>
      </c>
      <c r="Q185" s="25" t="str">
        <f>IF(B185="","",SUMIF('Linii ofertă'!$B$5:$B$1004,B185,'Linii ofertă'!$M$5:$M$1004))</f>
        <v/>
      </c>
      <c r="R185" s="26" t="str">
        <f>IF(OR(B185="",N(P185)=0),"",SUMIF('Linii ofertă'!$B$5:$B$1004,B185,'Linii ofertă'!$P$5:$P$1004)/P185)</f>
        <v/>
      </c>
      <c r="S185" s="27" t="str">
        <f t="shared" ca="1" si="5"/>
        <v/>
      </c>
      <c r="T185" s="28" t="str">
        <f>IF(B185="","",TRIM(IF(COUNTIF($B$5:$B$504,B185)&gt;1,"Număr dublat. ","")&amp;IF(N(P185)=0,"Oferta nu are linii. ","")&amp;IF(M185="","Completează ce NU include oferta. ","")&amp;IF(AND(ISNUMBER(R185),R185&lt;MarjaMin),"Marjă totală sub minim. ","")&amp;IF(COUNTIFS('Linii ofertă'!$B$5:$B$1004,B185,'Linii ofertă'!$R$5:$R$1004,"Marjă*")&gt;0,"Are linii cu marjă sub minim. ","")&amp;IF(AND(S185="Expirată"),"Valabilitatea a expirat: reconfirmă prețurile. ","")))</f>
        <v/>
      </c>
    </row>
    <row r="186" spans="2:20" x14ac:dyDescent="0.2">
      <c r="B186" s="20"/>
      <c r="C186" s="21"/>
      <c r="D186" s="22"/>
      <c r="E186" s="22"/>
      <c r="F186" s="22"/>
      <c r="G186" s="20"/>
      <c r="H186" s="23" t="str">
        <f t="shared" si="4"/>
        <v/>
      </c>
      <c r="I186" s="22"/>
      <c r="J186" s="22"/>
      <c r="K186" s="24"/>
      <c r="L186" s="22"/>
      <c r="M186" s="22"/>
      <c r="N186" s="20"/>
      <c r="O186" s="21"/>
      <c r="P186" s="25" t="str">
        <f>IF(B186="","",SUMIF('Linii ofertă'!$B$5:$B$1004,B186,'Linii ofertă'!$J$5:$J$1004))</f>
        <v/>
      </c>
      <c r="Q186" s="25" t="str">
        <f>IF(B186="","",SUMIF('Linii ofertă'!$B$5:$B$1004,B186,'Linii ofertă'!$M$5:$M$1004))</f>
        <v/>
      </c>
      <c r="R186" s="26" t="str">
        <f>IF(OR(B186="",N(P186)=0),"",SUMIF('Linii ofertă'!$B$5:$B$1004,B186,'Linii ofertă'!$P$5:$P$1004)/P186)</f>
        <v/>
      </c>
      <c r="S186" s="27" t="str">
        <f t="shared" ca="1" si="5"/>
        <v/>
      </c>
      <c r="T186" s="28" t="str">
        <f>IF(B186="","",TRIM(IF(COUNTIF($B$5:$B$504,B186)&gt;1,"Număr dublat. ","")&amp;IF(N(P186)=0,"Oferta nu are linii. ","")&amp;IF(M186="","Completează ce NU include oferta. ","")&amp;IF(AND(ISNUMBER(R186),R186&lt;MarjaMin),"Marjă totală sub minim. ","")&amp;IF(COUNTIFS('Linii ofertă'!$B$5:$B$1004,B186,'Linii ofertă'!$R$5:$R$1004,"Marjă*")&gt;0,"Are linii cu marjă sub minim. ","")&amp;IF(AND(S186="Expirată"),"Valabilitatea a expirat: reconfirmă prețurile. ","")))</f>
        <v/>
      </c>
    </row>
    <row r="187" spans="2:20" x14ac:dyDescent="0.2">
      <c r="B187" s="20"/>
      <c r="C187" s="21"/>
      <c r="D187" s="22"/>
      <c r="E187" s="22"/>
      <c r="F187" s="22"/>
      <c r="G187" s="20"/>
      <c r="H187" s="23" t="str">
        <f t="shared" si="4"/>
        <v/>
      </c>
      <c r="I187" s="22"/>
      <c r="J187" s="22"/>
      <c r="K187" s="24"/>
      <c r="L187" s="22"/>
      <c r="M187" s="22"/>
      <c r="N187" s="20"/>
      <c r="O187" s="21"/>
      <c r="P187" s="25" t="str">
        <f>IF(B187="","",SUMIF('Linii ofertă'!$B$5:$B$1004,B187,'Linii ofertă'!$J$5:$J$1004))</f>
        <v/>
      </c>
      <c r="Q187" s="25" t="str">
        <f>IF(B187="","",SUMIF('Linii ofertă'!$B$5:$B$1004,B187,'Linii ofertă'!$M$5:$M$1004))</f>
        <v/>
      </c>
      <c r="R187" s="26" t="str">
        <f>IF(OR(B187="",N(P187)=0),"",SUMIF('Linii ofertă'!$B$5:$B$1004,B187,'Linii ofertă'!$P$5:$P$1004)/P187)</f>
        <v/>
      </c>
      <c r="S187" s="27" t="str">
        <f t="shared" ca="1" si="5"/>
        <v/>
      </c>
      <c r="T187" s="28" t="str">
        <f>IF(B187="","",TRIM(IF(COUNTIF($B$5:$B$504,B187)&gt;1,"Număr dublat. ","")&amp;IF(N(P187)=0,"Oferta nu are linii. ","")&amp;IF(M187="","Completează ce NU include oferta. ","")&amp;IF(AND(ISNUMBER(R187),R187&lt;MarjaMin),"Marjă totală sub minim. ","")&amp;IF(COUNTIFS('Linii ofertă'!$B$5:$B$1004,B187,'Linii ofertă'!$R$5:$R$1004,"Marjă*")&gt;0,"Are linii cu marjă sub minim. ","")&amp;IF(AND(S187="Expirată"),"Valabilitatea a expirat: reconfirmă prețurile. ","")))</f>
        <v/>
      </c>
    </row>
    <row r="188" spans="2:20" x14ac:dyDescent="0.2">
      <c r="B188" s="20"/>
      <c r="C188" s="21"/>
      <c r="D188" s="22"/>
      <c r="E188" s="22"/>
      <c r="F188" s="22"/>
      <c r="G188" s="20"/>
      <c r="H188" s="23" t="str">
        <f t="shared" si="4"/>
        <v/>
      </c>
      <c r="I188" s="22"/>
      <c r="J188" s="22"/>
      <c r="K188" s="24"/>
      <c r="L188" s="22"/>
      <c r="M188" s="22"/>
      <c r="N188" s="20"/>
      <c r="O188" s="21"/>
      <c r="P188" s="25" t="str">
        <f>IF(B188="","",SUMIF('Linii ofertă'!$B$5:$B$1004,B188,'Linii ofertă'!$J$5:$J$1004))</f>
        <v/>
      </c>
      <c r="Q188" s="25" t="str">
        <f>IF(B188="","",SUMIF('Linii ofertă'!$B$5:$B$1004,B188,'Linii ofertă'!$M$5:$M$1004))</f>
        <v/>
      </c>
      <c r="R188" s="26" t="str">
        <f>IF(OR(B188="",N(P188)=0),"",SUMIF('Linii ofertă'!$B$5:$B$1004,B188,'Linii ofertă'!$P$5:$P$1004)/P188)</f>
        <v/>
      </c>
      <c r="S188" s="27" t="str">
        <f t="shared" ca="1" si="5"/>
        <v/>
      </c>
      <c r="T188" s="28" t="str">
        <f>IF(B188="","",TRIM(IF(COUNTIF($B$5:$B$504,B188)&gt;1,"Număr dublat. ","")&amp;IF(N(P188)=0,"Oferta nu are linii. ","")&amp;IF(M188="","Completează ce NU include oferta. ","")&amp;IF(AND(ISNUMBER(R188),R188&lt;MarjaMin),"Marjă totală sub minim. ","")&amp;IF(COUNTIFS('Linii ofertă'!$B$5:$B$1004,B188,'Linii ofertă'!$R$5:$R$1004,"Marjă*")&gt;0,"Are linii cu marjă sub minim. ","")&amp;IF(AND(S188="Expirată"),"Valabilitatea a expirat: reconfirmă prețurile. ","")))</f>
        <v/>
      </c>
    </row>
    <row r="189" spans="2:20" x14ac:dyDescent="0.2">
      <c r="B189" s="20"/>
      <c r="C189" s="21"/>
      <c r="D189" s="22"/>
      <c r="E189" s="22"/>
      <c r="F189" s="22"/>
      <c r="G189" s="20"/>
      <c r="H189" s="23" t="str">
        <f t="shared" si="4"/>
        <v/>
      </c>
      <c r="I189" s="22"/>
      <c r="J189" s="22"/>
      <c r="K189" s="24"/>
      <c r="L189" s="22"/>
      <c r="M189" s="22"/>
      <c r="N189" s="20"/>
      <c r="O189" s="21"/>
      <c r="P189" s="25" t="str">
        <f>IF(B189="","",SUMIF('Linii ofertă'!$B$5:$B$1004,B189,'Linii ofertă'!$J$5:$J$1004))</f>
        <v/>
      </c>
      <c r="Q189" s="25" t="str">
        <f>IF(B189="","",SUMIF('Linii ofertă'!$B$5:$B$1004,B189,'Linii ofertă'!$M$5:$M$1004))</f>
        <v/>
      </c>
      <c r="R189" s="26" t="str">
        <f>IF(OR(B189="",N(P189)=0),"",SUMIF('Linii ofertă'!$B$5:$B$1004,B189,'Linii ofertă'!$P$5:$P$1004)/P189)</f>
        <v/>
      </c>
      <c r="S189" s="27" t="str">
        <f t="shared" ca="1" si="5"/>
        <v/>
      </c>
      <c r="T189" s="28" t="str">
        <f>IF(B189="","",TRIM(IF(COUNTIF($B$5:$B$504,B189)&gt;1,"Număr dublat. ","")&amp;IF(N(P189)=0,"Oferta nu are linii. ","")&amp;IF(M189="","Completează ce NU include oferta. ","")&amp;IF(AND(ISNUMBER(R189),R189&lt;MarjaMin),"Marjă totală sub minim. ","")&amp;IF(COUNTIFS('Linii ofertă'!$B$5:$B$1004,B189,'Linii ofertă'!$R$5:$R$1004,"Marjă*")&gt;0,"Are linii cu marjă sub minim. ","")&amp;IF(AND(S189="Expirată"),"Valabilitatea a expirat: reconfirmă prețurile. ","")))</f>
        <v/>
      </c>
    </row>
    <row r="190" spans="2:20" x14ac:dyDescent="0.2">
      <c r="B190" s="20"/>
      <c r="C190" s="21"/>
      <c r="D190" s="22"/>
      <c r="E190" s="22"/>
      <c r="F190" s="22"/>
      <c r="G190" s="20"/>
      <c r="H190" s="23" t="str">
        <f t="shared" si="4"/>
        <v/>
      </c>
      <c r="I190" s="22"/>
      <c r="J190" s="22"/>
      <c r="K190" s="24"/>
      <c r="L190" s="22"/>
      <c r="M190" s="22"/>
      <c r="N190" s="20"/>
      <c r="O190" s="21"/>
      <c r="P190" s="25" t="str">
        <f>IF(B190="","",SUMIF('Linii ofertă'!$B$5:$B$1004,B190,'Linii ofertă'!$J$5:$J$1004))</f>
        <v/>
      </c>
      <c r="Q190" s="25" t="str">
        <f>IF(B190="","",SUMIF('Linii ofertă'!$B$5:$B$1004,B190,'Linii ofertă'!$M$5:$M$1004))</f>
        <v/>
      </c>
      <c r="R190" s="26" t="str">
        <f>IF(OR(B190="",N(P190)=0),"",SUMIF('Linii ofertă'!$B$5:$B$1004,B190,'Linii ofertă'!$P$5:$P$1004)/P190)</f>
        <v/>
      </c>
      <c r="S190" s="27" t="str">
        <f t="shared" ca="1" si="5"/>
        <v/>
      </c>
      <c r="T190" s="28" t="str">
        <f>IF(B190="","",TRIM(IF(COUNTIF($B$5:$B$504,B190)&gt;1,"Număr dublat. ","")&amp;IF(N(P190)=0,"Oferta nu are linii. ","")&amp;IF(M190="","Completează ce NU include oferta. ","")&amp;IF(AND(ISNUMBER(R190),R190&lt;MarjaMin),"Marjă totală sub minim. ","")&amp;IF(COUNTIFS('Linii ofertă'!$B$5:$B$1004,B190,'Linii ofertă'!$R$5:$R$1004,"Marjă*")&gt;0,"Are linii cu marjă sub minim. ","")&amp;IF(AND(S190="Expirată"),"Valabilitatea a expirat: reconfirmă prețurile. ","")))</f>
        <v/>
      </c>
    </row>
    <row r="191" spans="2:20" x14ac:dyDescent="0.2">
      <c r="B191" s="20"/>
      <c r="C191" s="21"/>
      <c r="D191" s="22"/>
      <c r="E191" s="22"/>
      <c r="F191" s="22"/>
      <c r="G191" s="20"/>
      <c r="H191" s="23" t="str">
        <f t="shared" si="4"/>
        <v/>
      </c>
      <c r="I191" s="22"/>
      <c r="J191" s="22"/>
      <c r="K191" s="24"/>
      <c r="L191" s="22"/>
      <c r="M191" s="22"/>
      <c r="N191" s="20"/>
      <c r="O191" s="21"/>
      <c r="P191" s="25" t="str">
        <f>IF(B191="","",SUMIF('Linii ofertă'!$B$5:$B$1004,B191,'Linii ofertă'!$J$5:$J$1004))</f>
        <v/>
      </c>
      <c r="Q191" s="25" t="str">
        <f>IF(B191="","",SUMIF('Linii ofertă'!$B$5:$B$1004,B191,'Linii ofertă'!$M$5:$M$1004))</f>
        <v/>
      </c>
      <c r="R191" s="26" t="str">
        <f>IF(OR(B191="",N(P191)=0),"",SUMIF('Linii ofertă'!$B$5:$B$1004,B191,'Linii ofertă'!$P$5:$P$1004)/P191)</f>
        <v/>
      </c>
      <c r="S191" s="27" t="str">
        <f t="shared" ca="1" si="5"/>
        <v/>
      </c>
      <c r="T191" s="28" t="str">
        <f>IF(B191="","",TRIM(IF(COUNTIF($B$5:$B$504,B191)&gt;1,"Număr dublat. ","")&amp;IF(N(P191)=0,"Oferta nu are linii. ","")&amp;IF(M191="","Completează ce NU include oferta. ","")&amp;IF(AND(ISNUMBER(R191),R191&lt;MarjaMin),"Marjă totală sub minim. ","")&amp;IF(COUNTIFS('Linii ofertă'!$B$5:$B$1004,B191,'Linii ofertă'!$R$5:$R$1004,"Marjă*")&gt;0,"Are linii cu marjă sub minim. ","")&amp;IF(AND(S191="Expirată"),"Valabilitatea a expirat: reconfirmă prețurile. ","")))</f>
        <v/>
      </c>
    </row>
    <row r="192" spans="2:20" x14ac:dyDescent="0.2">
      <c r="B192" s="20"/>
      <c r="C192" s="21"/>
      <c r="D192" s="22"/>
      <c r="E192" s="22"/>
      <c r="F192" s="22"/>
      <c r="G192" s="20"/>
      <c r="H192" s="23" t="str">
        <f t="shared" si="4"/>
        <v/>
      </c>
      <c r="I192" s="22"/>
      <c r="J192" s="22"/>
      <c r="K192" s="24"/>
      <c r="L192" s="22"/>
      <c r="M192" s="22"/>
      <c r="N192" s="20"/>
      <c r="O192" s="21"/>
      <c r="P192" s="25" t="str">
        <f>IF(B192="","",SUMIF('Linii ofertă'!$B$5:$B$1004,B192,'Linii ofertă'!$J$5:$J$1004))</f>
        <v/>
      </c>
      <c r="Q192" s="25" t="str">
        <f>IF(B192="","",SUMIF('Linii ofertă'!$B$5:$B$1004,B192,'Linii ofertă'!$M$5:$M$1004))</f>
        <v/>
      </c>
      <c r="R192" s="26" t="str">
        <f>IF(OR(B192="",N(P192)=0),"",SUMIF('Linii ofertă'!$B$5:$B$1004,B192,'Linii ofertă'!$P$5:$P$1004)/P192)</f>
        <v/>
      </c>
      <c r="S192" s="27" t="str">
        <f t="shared" ca="1" si="5"/>
        <v/>
      </c>
      <c r="T192" s="28" t="str">
        <f>IF(B192="","",TRIM(IF(COUNTIF($B$5:$B$504,B192)&gt;1,"Număr dublat. ","")&amp;IF(N(P192)=0,"Oferta nu are linii. ","")&amp;IF(M192="","Completează ce NU include oferta. ","")&amp;IF(AND(ISNUMBER(R192),R192&lt;MarjaMin),"Marjă totală sub minim. ","")&amp;IF(COUNTIFS('Linii ofertă'!$B$5:$B$1004,B192,'Linii ofertă'!$R$5:$R$1004,"Marjă*")&gt;0,"Are linii cu marjă sub minim. ","")&amp;IF(AND(S192="Expirată"),"Valabilitatea a expirat: reconfirmă prețurile. ","")))</f>
        <v/>
      </c>
    </row>
    <row r="193" spans="2:20" x14ac:dyDescent="0.2">
      <c r="B193" s="20"/>
      <c r="C193" s="21"/>
      <c r="D193" s="22"/>
      <c r="E193" s="22"/>
      <c r="F193" s="22"/>
      <c r="G193" s="20"/>
      <c r="H193" s="23" t="str">
        <f t="shared" si="4"/>
        <v/>
      </c>
      <c r="I193" s="22"/>
      <c r="J193" s="22"/>
      <c r="K193" s="24"/>
      <c r="L193" s="22"/>
      <c r="M193" s="22"/>
      <c r="N193" s="20"/>
      <c r="O193" s="21"/>
      <c r="P193" s="25" t="str">
        <f>IF(B193="","",SUMIF('Linii ofertă'!$B$5:$B$1004,B193,'Linii ofertă'!$J$5:$J$1004))</f>
        <v/>
      </c>
      <c r="Q193" s="25" t="str">
        <f>IF(B193="","",SUMIF('Linii ofertă'!$B$5:$B$1004,B193,'Linii ofertă'!$M$5:$M$1004))</f>
        <v/>
      </c>
      <c r="R193" s="26" t="str">
        <f>IF(OR(B193="",N(P193)=0),"",SUMIF('Linii ofertă'!$B$5:$B$1004,B193,'Linii ofertă'!$P$5:$P$1004)/P193)</f>
        <v/>
      </c>
      <c r="S193" s="27" t="str">
        <f t="shared" ca="1" si="5"/>
        <v/>
      </c>
      <c r="T193" s="28" t="str">
        <f>IF(B193="","",TRIM(IF(COUNTIF($B$5:$B$504,B193)&gt;1,"Număr dublat. ","")&amp;IF(N(P193)=0,"Oferta nu are linii. ","")&amp;IF(M193="","Completează ce NU include oferta. ","")&amp;IF(AND(ISNUMBER(R193),R193&lt;MarjaMin),"Marjă totală sub minim. ","")&amp;IF(COUNTIFS('Linii ofertă'!$B$5:$B$1004,B193,'Linii ofertă'!$R$5:$R$1004,"Marjă*")&gt;0,"Are linii cu marjă sub minim. ","")&amp;IF(AND(S193="Expirată"),"Valabilitatea a expirat: reconfirmă prețurile. ","")))</f>
        <v/>
      </c>
    </row>
    <row r="194" spans="2:20" x14ac:dyDescent="0.2">
      <c r="B194" s="20"/>
      <c r="C194" s="21"/>
      <c r="D194" s="22"/>
      <c r="E194" s="22"/>
      <c r="F194" s="22"/>
      <c r="G194" s="20"/>
      <c r="H194" s="23" t="str">
        <f t="shared" si="4"/>
        <v/>
      </c>
      <c r="I194" s="22"/>
      <c r="J194" s="22"/>
      <c r="K194" s="24"/>
      <c r="L194" s="22"/>
      <c r="M194" s="22"/>
      <c r="N194" s="20"/>
      <c r="O194" s="21"/>
      <c r="P194" s="25" t="str">
        <f>IF(B194="","",SUMIF('Linii ofertă'!$B$5:$B$1004,B194,'Linii ofertă'!$J$5:$J$1004))</f>
        <v/>
      </c>
      <c r="Q194" s="25" t="str">
        <f>IF(B194="","",SUMIF('Linii ofertă'!$B$5:$B$1004,B194,'Linii ofertă'!$M$5:$M$1004))</f>
        <v/>
      </c>
      <c r="R194" s="26" t="str">
        <f>IF(OR(B194="",N(P194)=0),"",SUMIF('Linii ofertă'!$B$5:$B$1004,B194,'Linii ofertă'!$P$5:$P$1004)/P194)</f>
        <v/>
      </c>
      <c r="S194" s="27" t="str">
        <f t="shared" ca="1" si="5"/>
        <v/>
      </c>
      <c r="T194" s="28" t="str">
        <f>IF(B194="","",TRIM(IF(COUNTIF($B$5:$B$504,B194)&gt;1,"Număr dublat. ","")&amp;IF(N(P194)=0,"Oferta nu are linii. ","")&amp;IF(M194="","Completează ce NU include oferta. ","")&amp;IF(AND(ISNUMBER(R194),R194&lt;MarjaMin),"Marjă totală sub minim. ","")&amp;IF(COUNTIFS('Linii ofertă'!$B$5:$B$1004,B194,'Linii ofertă'!$R$5:$R$1004,"Marjă*")&gt;0,"Are linii cu marjă sub minim. ","")&amp;IF(AND(S194="Expirată"),"Valabilitatea a expirat: reconfirmă prețurile. ","")))</f>
        <v/>
      </c>
    </row>
    <row r="195" spans="2:20" x14ac:dyDescent="0.2">
      <c r="B195" s="20"/>
      <c r="C195" s="21"/>
      <c r="D195" s="22"/>
      <c r="E195" s="22"/>
      <c r="F195" s="22"/>
      <c r="G195" s="20"/>
      <c r="H195" s="23" t="str">
        <f t="shared" si="4"/>
        <v/>
      </c>
      <c r="I195" s="22"/>
      <c r="J195" s="22"/>
      <c r="K195" s="24"/>
      <c r="L195" s="22"/>
      <c r="M195" s="22"/>
      <c r="N195" s="20"/>
      <c r="O195" s="21"/>
      <c r="P195" s="25" t="str">
        <f>IF(B195="","",SUMIF('Linii ofertă'!$B$5:$B$1004,B195,'Linii ofertă'!$J$5:$J$1004))</f>
        <v/>
      </c>
      <c r="Q195" s="25" t="str">
        <f>IF(B195="","",SUMIF('Linii ofertă'!$B$5:$B$1004,B195,'Linii ofertă'!$M$5:$M$1004))</f>
        <v/>
      </c>
      <c r="R195" s="26" t="str">
        <f>IF(OR(B195="",N(P195)=0),"",SUMIF('Linii ofertă'!$B$5:$B$1004,B195,'Linii ofertă'!$P$5:$P$1004)/P195)</f>
        <v/>
      </c>
      <c r="S195" s="27" t="str">
        <f t="shared" ca="1" si="5"/>
        <v/>
      </c>
      <c r="T195" s="28" t="str">
        <f>IF(B195="","",TRIM(IF(COUNTIF($B$5:$B$504,B195)&gt;1,"Număr dublat. ","")&amp;IF(N(P195)=0,"Oferta nu are linii. ","")&amp;IF(M195="","Completează ce NU include oferta. ","")&amp;IF(AND(ISNUMBER(R195),R195&lt;MarjaMin),"Marjă totală sub minim. ","")&amp;IF(COUNTIFS('Linii ofertă'!$B$5:$B$1004,B195,'Linii ofertă'!$R$5:$R$1004,"Marjă*")&gt;0,"Are linii cu marjă sub minim. ","")&amp;IF(AND(S195="Expirată"),"Valabilitatea a expirat: reconfirmă prețurile. ","")))</f>
        <v/>
      </c>
    </row>
    <row r="196" spans="2:20" x14ac:dyDescent="0.2">
      <c r="B196" s="20"/>
      <c r="C196" s="21"/>
      <c r="D196" s="22"/>
      <c r="E196" s="22"/>
      <c r="F196" s="22"/>
      <c r="G196" s="20"/>
      <c r="H196" s="23" t="str">
        <f t="shared" si="4"/>
        <v/>
      </c>
      <c r="I196" s="22"/>
      <c r="J196" s="22"/>
      <c r="K196" s="24"/>
      <c r="L196" s="22"/>
      <c r="M196" s="22"/>
      <c r="N196" s="20"/>
      <c r="O196" s="21"/>
      <c r="P196" s="25" t="str">
        <f>IF(B196="","",SUMIF('Linii ofertă'!$B$5:$B$1004,B196,'Linii ofertă'!$J$5:$J$1004))</f>
        <v/>
      </c>
      <c r="Q196" s="25" t="str">
        <f>IF(B196="","",SUMIF('Linii ofertă'!$B$5:$B$1004,B196,'Linii ofertă'!$M$5:$M$1004))</f>
        <v/>
      </c>
      <c r="R196" s="26" t="str">
        <f>IF(OR(B196="",N(P196)=0),"",SUMIF('Linii ofertă'!$B$5:$B$1004,B196,'Linii ofertă'!$P$5:$P$1004)/P196)</f>
        <v/>
      </c>
      <c r="S196" s="27" t="str">
        <f t="shared" ca="1" si="5"/>
        <v/>
      </c>
      <c r="T196" s="28" t="str">
        <f>IF(B196="","",TRIM(IF(COUNTIF($B$5:$B$504,B196)&gt;1,"Număr dublat. ","")&amp;IF(N(P196)=0,"Oferta nu are linii. ","")&amp;IF(M196="","Completează ce NU include oferta. ","")&amp;IF(AND(ISNUMBER(R196),R196&lt;MarjaMin),"Marjă totală sub minim. ","")&amp;IF(COUNTIFS('Linii ofertă'!$B$5:$B$1004,B196,'Linii ofertă'!$R$5:$R$1004,"Marjă*")&gt;0,"Are linii cu marjă sub minim. ","")&amp;IF(AND(S196="Expirată"),"Valabilitatea a expirat: reconfirmă prețurile. ","")))</f>
        <v/>
      </c>
    </row>
    <row r="197" spans="2:20" x14ac:dyDescent="0.2">
      <c r="B197" s="20"/>
      <c r="C197" s="21"/>
      <c r="D197" s="22"/>
      <c r="E197" s="22"/>
      <c r="F197" s="22"/>
      <c r="G197" s="20"/>
      <c r="H197" s="23" t="str">
        <f t="shared" ref="H197:H260" si="6">IF(OR(B197="",C197=""),"",C197+IF(G197="",ValImpl,G197))</f>
        <v/>
      </c>
      <c r="I197" s="22"/>
      <c r="J197" s="22"/>
      <c r="K197" s="24"/>
      <c r="L197" s="22"/>
      <c r="M197" s="22"/>
      <c r="N197" s="20"/>
      <c r="O197" s="21"/>
      <c r="P197" s="25" t="str">
        <f>IF(B197="","",SUMIF('Linii ofertă'!$B$5:$B$1004,B197,'Linii ofertă'!$J$5:$J$1004))</f>
        <v/>
      </c>
      <c r="Q197" s="25" t="str">
        <f>IF(B197="","",SUMIF('Linii ofertă'!$B$5:$B$1004,B197,'Linii ofertă'!$M$5:$M$1004))</f>
        <v/>
      </c>
      <c r="R197" s="26" t="str">
        <f>IF(OR(B197="",N(P197)=0),"",SUMIF('Linii ofertă'!$B$5:$B$1004,B197,'Linii ofertă'!$P$5:$P$1004)/P197)</f>
        <v/>
      </c>
      <c r="S197" s="27" t="str">
        <f t="shared" ref="S197:S260" ca="1" si="7">IF(B197="","",IF(AND(OR(N197="Trimisă",N197="În lucru"),ISNUMBER(H197),TODAY()&gt;H197),"Expirată",IF(N197="","În lucru",N197)))</f>
        <v/>
      </c>
      <c r="T197" s="28" t="str">
        <f>IF(B197="","",TRIM(IF(COUNTIF($B$5:$B$504,B197)&gt;1,"Număr dublat. ","")&amp;IF(N(P197)=0,"Oferta nu are linii. ","")&amp;IF(M197="","Completează ce NU include oferta. ","")&amp;IF(AND(ISNUMBER(R197),R197&lt;MarjaMin),"Marjă totală sub minim. ","")&amp;IF(COUNTIFS('Linii ofertă'!$B$5:$B$1004,B197,'Linii ofertă'!$R$5:$R$1004,"Marjă*")&gt;0,"Are linii cu marjă sub minim. ","")&amp;IF(AND(S197="Expirată"),"Valabilitatea a expirat: reconfirmă prețurile. ","")))</f>
        <v/>
      </c>
    </row>
    <row r="198" spans="2:20" x14ac:dyDescent="0.2">
      <c r="B198" s="20"/>
      <c r="C198" s="21"/>
      <c r="D198" s="22"/>
      <c r="E198" s="22"/>
      <c r="F198" s="22"/>
      <c r="G198" s="20"/>
      <c r="H198" s="23" t="str">
        <f t="shared" si="6"/>
        <v/>
      </c>
      <c r="I198" s="22"/>
      <c r="J198" s="22"/>
      <c r="K198" s="24"/>
      <c r="L198" s="22"/>
      <c r="M198" s="22"/>
      <c r="N198" s="20"/>
      <c r="O198" s="21"/>
      <c r="P198" s="25" t="str">
        <f>IF(B198="","",SUMIF('Linii ofertă'!$B$5:$B$1004,B198,'Linii ofertă'!$J$5:$J$1004))</f>
        <v/>
      </c>
      <c r="Q198" s="25" t="str">
        <f>IF(B198="","",SUMIF('Linii ofertă'!$B$5:$B$1004,B198,'Linii ofertă'!$M$5:$M$1004))</f>
        <v/>
      </c>
      <c r="R198" s="26" t="str">
        <f>IF(OR(B198="",N(P198)=0),"",SUMIF('Linii ofertă'!$B$5:$B$1004,B198,'Linii ofertă'!$P$5:$P$1004)/P198)</f>
        <v/>
      </c>
      <c r="S198" s="27" t="str">
        <f t="shared" ca="1" si="7"/>
        <v/>
      </c>
      <c r="T198" s="28" t="str">
        <f>IF(B198="","",TRIM(IF(COUNTIF($B$5:$B$504,B198)&gt;1,"Număr dublat. ","")&amp;IF(N(P198)=0,"Oferta nu are linii. ","")&amp;IF(M198="","Completează ce NU include oferta. ","")&amp;IF(AND(ISNUMBER(R198),R198&lt;MarjaMin),"Marjă totală sub minim. ","")&amp;IF(COUNTIFS('Linii ofertă'!$B$5:$B$1004,B198,'Linii ofertă'!$R$5:$R$1004,"Marjă*")&gt;0,"Are linii cu marjă sub minim. ","")&amp;IF(AND(S198="Expirată"),"Valabilitatea a expirat: reconfirmă prețurile. ","")))</f>
        <v/>
      </c>
    </row>
    <row r="199" spans="2:20" x14ac:dyDescent="0.2">
      <c r="B199" s="20"/>
      <c r="C199" s="21"/>
      <c r="D199" s="22"/>
      <c r="E199" s="22"/>
      <c r="F199" s="22"/>
      <c r="G199" s="20"/>
      <c r="H199" s="23" t="str">
        <f t="shared" si="6"/>
        <v/>
      </c>
      <c r="I199" s="22"/>
      <c r="J199" s="22"/>
      <c r="K199" s="24"/>
      <c r="L199" s="22"/>
      <c r="M199" s="22"/>
      <c r="N199" s="20"/>
      <c r="O199" s="21"/>
      <c r="P199" s="25" t="str">
        <f>IF(B199="","",SUMIF('Linii ofertă'!$B$5:$B$1004,B199,'Linii ofertă'!$J$5:$J$1004))</f>
        <v/>
      </c>
      <c r="Q199" s="25" t="str">
        <f>IF(B199="","",SUMIF('Linii ofertă'!$B$5:$B$1004,B199,'Linii ofertă'!$M$5:$M$1004))</f>
        <v/>
      </c>
      <c r="R199" s="26" t="str">
        <f>IF(OR(B199="",N(P199)=0),"",SUMIF('Linii ofertă'!$B$5:$B$1004,B199,'Linii ofertă'!$P$5:$P$1004)/P199)</f>
        <v/>
      </c>
      <c r="S199" s="27" t="str">
        <f t="shared" ca="1" si="7"/>
        <v/>
      </c>
      <c r="T199" s="28" t="str">
        <f>IF(B199="","",TRIM(IF(COUNTIF($B$5:$B$504,B199)&gt;1,"Număr dublat. ","")&amp;IF(N(P199)=0,"Oferta nu are linii. ","")&amp;IF(M199="","Completează ce NU include oferta. ","")&amp;IF(AND(ISNUMBER(R199),R199&lt;MarjaMin),"Marjă totală sub minim. ","")&amp;IF(COUNTIFS('Linii ofertă'!$B$5:$B$1004,B199,'Linii ofertă'!$R$5:$R$1004,"Marjă*")&gt;0,"Are linii cu marjă sub minim. ","")&amp;IF(AND(S199="Expirată"),"Valabilitatea a expirat: reconfirmă prețurile. ","")))</f>
        <v/>
      </c>
    </row>
    <row r="200" spans="2:20" x14ac:dyDescent="0.2">
      <c r="B200" s="20"/>
      <c r="C200" s="21"/>
      <c r="D200" s="22"/>
      <c r="E200" s="22"/>
      <c r="F200" s="22"/>
      <c r="G200" s="20"/>
      <c r="H200" s="23" t="str">
        <f t="shared" si="6"/>
        <v/>
      </c>
      <c r="I200" s="22"/>
      <c r="J200" s="22"/>
      <c r="K200" s="24"/>
      <c r="L200" s="22"/>
      <c r="M200" s="22"/>
      <c r="N200" s="20"/>
      <c r="O200" s="21"/>
      <c r="P200" s="25" t="str">
        <f>IF(B200="","",SUMIF('Linii ofertă'!$B$5:$B$1004,B200,'Linii ofertă'!$J$5:$J$1004))</f>
        <v/>
      </c>
      <c r="Q200" s="25" t="str">
        <f>IF(B200="","",SUMIF('Linii ofertă'!$B$5:$B$1004,B200,'Linii ofertă'!$M$5:$M$1004))</f>
        <v/>
      </c>
      <c r="R200" s="26" t="str">
        <f>IF(OR(B200="",N(P200)=0),"",SUMIF('Linii ofertă'!$B$5:$B$1004,B200,'Linii ofertă'!$P$5:$P$1004)/P200)</f>
        <v/>
      </c>
      <c r="S200" s="27" t="str">
        <f t="shared" ca="1" si="7"/>
        <v/>
      </c>
      <c r="T200" s="28" t="str">
        <f>IF(B200="","",TRIM(IF(COUNTIF($B$5:$B$504,B200)&gt;1,"Număr dublat. ","")&amp;IF(N(P200)=0,"Oferta nu are linii. ","")&amp;IF(M200="","Completează ce NU include oferta. ","")&amp;IF(AND(ISNUMBER(R200),R200&lt;MarjaMin),"Marjă totală sub minim. ","")&amp;IF(COUNTIFS('Linii ofertă'!$B$5:$B$1004,B200,'Linii ofertă'!$R$5:$R$1004,"Marjă*")&gt;0,"Are linii cu marjă sub minim. ","")&amp;IF(AND(S200="Expirată"),"Valabilitatea a expirat: reconfirmă prețurile. ","")))</f>
        <v/>
      </c>
    </row>
    <row r="201" spans="2:20" x14ac:dyDescent="0.2">
      <c r="B201" s="20"/>
      <c r="C201" s="21"/>
      <c r="D201" s="22"/>
      <c r="E201" s="22"/>
      <c r="F201" s="22"/>
      <c r="G201" s="20"/>
      <c r="H201" s="23" t="str">
        <f t="shared" si="6"/>
        <v/>
      </c>
      <c r="I201" s="22"/>
      <c r="J201" s="22"/>
      <c r="K201" s="24"/>
      <c r="L201" s="22"/>
      <c r="M201" s="22"/>
      <c r="N201" s="20"/>
      <c r="O201" s="21"/>
      <c r="P201" s="25" t="str">
        <f>IF(B201="","",SUMIF('Linii ofertă'!$B$5:$B$1004,B201,'Linii ofertă'!$J$5:$J$1004))</f>
        <v/>
      </c>
      <c r="Q201" s="25" t="str">
        <f>IF(B201="","",SUMIF('Linii ofertă'!$B$5:$B$1004,B201,'Linii ofertă'!$M$5:$M$1004))</f>
        <v/>
      </c>
      <c r="R201" s="26" t="str">
        <f>IF(OR(B201="",N(P201)=0),"",SUMIF('Linii ofertă'!$B$5:$B$1004,B201,'Linii ofertă'!$P$5:$P$1004)/P201)</f>
        <v/>
      </c>
      <c r="S201" s="27" t="str">
        <f t="shared" ca="1" si="7"/>
        <v/>
      </c>
      <c r="T201" s="28" t="str">
        <f>IF(B201="","",TRIM(IF(COUNTIF($B$5:$B$504,B201)&gt;1,"Număr dublat. ","")&amp;IF(N(P201)=0,"Oferta nu are linii. ","")&amp;IF(M201="","Completează ce NU include oferta. ","")&amp;IF(AND(ISNUMBER(R201),R201&lt;MarjaMin),"Marjă totală sub minim. ","")&amp;IF(COUNTIFS('Linii ofertă'!$B$5:$B$1004,B201,'Linii ofertă'!$R$5:$R$1004,"Marjă*")&gt;0,"Are linii cu marjă sub minim. ","")&amp;IF(AND(S201="Expirată"),"Valabilitatea a expirat: reconfirmă prețurile. ","")))</f>
        <v/>
      </c>
    </row>
    <row r="202" spans="2:20" x14ac:dyDescent="0.2">
      <c r="B202" s="20"/>
      <c r="C202" s="21"/>
      <c r="D202" s="22"/>
      <c r="E202" s="22"/>
      <c r="F202" s="22"/>
      <c r="G202" s="20"/>
      <c r="H202" s="23" t="str">
        <f t="shared" si="6"/>
        <v/>
      </c>
      <c r="I202" s="22"/>
      <c r="J202" s="22"/>
      <c r="K202" s="24"/>
      <c r="L202" s="22"/>
      <c r="M202" s="22"/>
      <c r="N202" s="20"/>
      <c r="O202" s="21"/>
      <c r="P202" s="25" t="str">
        <f>IF(B202="","",SUMIF('Linii ofertă'!$B$5:$B$1004,B202,'Linii ofertă'!$J$5:$J$1004))</f>
        <v/>
      </c>
      <c r="Q202" s="25" t="str">
        <f>IF(B202="","",SUMIF('Linii ofertă'!$B$5:$B$1004,B202,'Linii ofertă'!$M$5:$M$1004))</f>
        <v/>
      </c>
      <c r="R202" s="26" t="str">
        <f>IF(OR(B202="",N(P202)=0),"",SUMIF('Linii ofertă'!$B$5:$B$1004,B202,'Linii ofertă'!$P$5:$P$1004)/P202)</f>
        <v/>
      </c>
      <c r="S202" s="27" t="str">
        <f t="shared" ca="1" si="7"/>
        <v/>
      </c>
      <c r="T202" s="28" t="str">
        <f>IF(B202="","",TRIM(IF(COUNTIF($B$5:$B$504,B202)&gt;1,"Număr dublat. ","")&amp;IF(N(P202)=0,"Oferta nu are linii. ","")&amp;IF(M202="","Completează ce NU include oferta. ","")&amp;IF(AND(ISNUMBER(R202),R202&lt;MarjaMin),"Marjă totală sub minim. ","")&amp;IF(COUNTIFS('Linii ofertă'!$B$5:$B$1004,B202,'Linii ofertă'!$R$5:$R$1004,"Marjă*")&gt;0,"Are linii cu marjă sub minim. ","")&amp;IF(AND(S202="Expirată"),"Valabilitatea a expirat: reconfirmă prețurile. ","")))</f>
        <v/>
      </c>
    </row>
    <row r="203" spans="2:20" x14ac:dyDescent="0.2">
      <c r="B203" s="20"/>
      <c r="C203" s="21"/>
      <c r="D203" s="22"/>
      <c r="E203" s="22"/>
      <c r="F203" s="22"/>
      <c r="G203" s="20"/>
      <c r="H203" s="23" t="str">
        <f t="shared" si="6"/>
        <v/>
      </c>
      <c r="I203" s="22"/>
      <c r="J203" s="22"/>
      <c r="K203" s="24"/>
      <c r="L203" s="22"/>
      <c r="M203" s="22"/>
      <c r="N203" s="20"/>
      <c r="O203" s="21"/>
      <c r="P203" s="25" t="str">
        <f>IF(B203="","",SUMIF('Linii ofertă'!$B$5:$B$1004,B203,'Linii ofertă'!$J$5:$J$1004))</f>
        <v/>
      </c>
      <c r="Q203" s="25" t="str">
        <f>IF(B203="","",SUMIF('Linii ofertă'!$B$5:$B$1004,B203,'Linii ofertă'!$M$5:$M$1004))</f>
        <v/>
      </c>
      <c r="R203" s="26" t="str">
        <f>IF(OR(B203="",N(P203)=0),"",SUMIF('Linii ofertă'!$B$5:$B$1004,B203,'Linii ofertă'!$P$5:$P$1004)/P203)</f>
        <v/>
      </c>
      <c r="S203" s="27" t="str">
        <f t="shared" ca="1" si="7"/>
        <v/>
      </c>
      <c r="T203" s="28" t="str">
        <f>IF(B203="","",TRIM(IF(COUNTIF($B$5:$B$504,B203)&gt;1,"Număr dublat. ","")&amp;IF(N(P203)=0,"Oferta nu are linii. ","")&amp;IF(M203="","Completează ce NU include oferta. ","")&amp;IF(AND(ISNUMBER(R203),R203&lt;MarjaMin),"Marjă totală sub minim. ","")&amp;IF(COUNTIFS('Linii ofertă'!$B$5:$B$1004,B203,'Linii ofertă'!$R$5:$R$1004,"Marjă*")&gt;0,"Are linii cu marjă sub minim. ","")&amp;IF(AND(S203="Expirată"),"Valabilitatea a expirat: reconfirmă prețurile. ","")))</f>
        <v/>
      </c>
    </row>
    <row r="204" spans="2:20" x14ac:dyDescent="0.2">
      <c r="B204" s="20"/>
      <c r="C204" s="21"/>
      <c r="D204" s="22"/>
      <c r="E204" s="22"/>
      <c r="F204" s="22"/>
      <c r="G204" s="20"/>
      <c r="H204" s="23" t="str">
        <f t="shared" si="6"/>
        <v/>
      </c>
      <c r="I204" s="22"/>
      <c r="J204" s="22"/>
      <c r="K204" s="24"/>
      <c r="L204" s="22"/>
      <c r="M204" s="22"/>
      <c r="N204" s="20"/>
      <c r="O204" s="21"/>
      <c r="P204" s="25" t="str">
        <f>IF(B204="","",SUMIF('Linii ofertă'!$B$5:$B$1004,B204,'Linii ofertă'!$J$5:$J$1004))</f>
        <v/>
      </c>
      <c r="Q204" s="25" t="str">
        <f>IF(B204="","",SUMIF('Linii ofertă'!$B$5:$B$1004,B204,'Linii ofertă'!$M$5:$M$1004))</f>
        <v/>
      </c>
      <c r="R204" s="26" t="str">
        <f>IF(OR(B204="",N(P204)=0),"",SUMIF('Linii ofertă'!$B$5:$B$1004,B204,'Linii ofertă'!$P$5:$P$1004)/P204)</f>
        <v/>
      </c>
      <c r="S204" s="27" t="str">
        <f t="shared" ca="1" si="7"/>
        <v/>
      </c>
      <c r="T204" s="28" t="str">
        <f>IF(B204="","",TRIM(IF(COUNTIF($B$5:$B$504,B204)&gt;1,"Număr dublat. ","")&amp;IF(N(P204)=0,"Oferta nu are linii. ","")&amp;IF(M204="","Completează ce NU include oferta. ","")&amp;IF(AND(ISNUMBER(R204),R204&lt;MarjaMin),"Marjă totală sub minim. ","")&amp;IF(COUNTIFS('Linii ofertă'!$B$5:$B$1004,B204,'Linii ofertă'!$R$5:$R$1004,"Marjă*")&gt;0,"Are linii cu marjă sub minim. ","")&amp;IF(AND(S204="Expirată"),"Valabilitatea a expirat: reconfirmă prețurile. ","")))</f>
        <v/>
      </c>
    </row>
    <row r="205" spans="2:20" x14ac:dyDescent="0.2">
      <c r="B205" s="20"/>
      <c r="C205" s="21"/>
      <c r="D205" s="22"/>
      <c r="E205" s="22"/>
      <c r="F205" s="22"/>
      <c r="G205" s="20"/>
      <c r="H205" s="23" t="str">
        <f t="shared" si="6"/>
        <v/>
      </c>
      <c r="I205" s="22"/>
      <c r="J205" s="22"/>
      <c r="K205" s="24"/>
      <c r="L205" s="22"/>
      <c r="M205" s="22"/>
      <c r="N205" s="20"/>
      <c r="O205" s="21"/>
      <c r="P205" s="25" t="str">
        <f>IF(B205="","",SUMIF('Linii ofertă'!$B$5:$B$1004,B205,'Linii ofertă'!$J$5:$J$1004))</f>
        <v/>
      </c>
      <c r="Q205" s="25" t="str">
        <f>IF(B205="","",SUMIF('Linii ofertă'!$B$5:$B$1004,B205,'Linii ofertă'!$M$5:$M$1004))</f>
        <v/>
      </c>
      <c r="R205" s="26" t="str">
        <f>IF(OR(B205="",N(P205)=0),"",SUMIF('Linii ofertă'!$B$5:$B$1004,B205,'Linii ofertă'!$P$5:$P$1004)/P205)</f>
        <v/>
      </c>
      <c r="S205" s="27" t="str">
        <f t="shared" ca="1" si="7"/>
        <v/>
      </c>
      <c r="T205" s="28" t="str">
        <f>IF(B205="","",TRIM(IF(COUNTIF($B$5:$B$504,B205)&gt;1,"Număr dublat. ","")&amp;IF(N(P205)=0,"Oferta nu are linii. ","")&amp;IF(M205="","Completează ce NU include oferta. ","")&amp;IF(AND(ISNUMBER(R205),R205&lt;MarjaMin),"Marjă totală sub minim. ","")&amp;IF(COUNTIFS('Linii ofertă'!$B$5:$B$1004,B205,'Linii ofertă'!$R$5:$R$1004,"Marjă*")&gt;0,"Are linii cu marjă sub minim. ","")&amp;IF(AND(S205="Expirată"),"Valabilitatea a expirat: reconfirmă prețurile. ","")))</f>
        <v/>
      </c>
    </row>
    <row r="206" spans="2:20" x14ac:dyDescent="0.2">
      <c r="B206" s="20"/>
      <c r="C206" s="21"/>
      <c r="D206" s="22"/>
      <c r="E206" s="22"/>
      <c r="F206" s="22"/>
      <c r="G206" s="20"/>
      <c r="H206" s="23" t="str">
        <f t="shared" si="6"/>
        <v/>
      </c>
      <c r="I206" s="22"/>
      <c r="J206" s="22"/>
      <c r="K206" s="24"/>
      <c r="L206" s="22"/>
      <c r="M206" s="22"/>
      <c r="N206" s="20"/>
      <c r="O206" s="21"/>
      <c r="P206" s="25" t="str">
        <f>IF(B206="","",SUMIF('Linii ofertă'!$B$5:$B$1004,B206,'Linii ofertă'!$J$5:$J$1004))</f>
        <v/>
      </c>
      <c r="Q206" s="25" t="str">
        <f>IF(B206="","",SUMIF('Linii ofertă'!$B$5:$B$1004,B206,'Linii ofertă'!$M$5:$M$1004))</f>
        <v/>
      </c>
      <c r="R206" s="26" t="str">
        <f>IF(OR(B206="",N(P206)=0),"",SUMIF('Linii ofertă'!$B$5:$B$1004,B206,'Linii ofertă'!$P$5:$P$1004)/P206)</f>
        <v/>
      </c>
      <c r="S206" s="27" t="str">
        <f t="shared" ca="1" si="7"/>
        <v/>
      </c>
      <c r="T206" s="28" t="str">
        <f>IF(B206="","",TRIM(IF(COUNTIF($B$5:$B$504,B206)&gt;1,"Număr dublat. ","")&amp;IF(N(P206)=0,"Oferta nu are linii. ","")&amp;IF(M206="","Completează ce NU include oferta. ","")&amp;IF(AND(ISNUMBER(R206),R206&lt;MarjaMin),"Marjă totală sub minim. ","")&amp;IF(COUNTIFS('Linii ofertă'!$B$5:$B$1004,B206,'Linii ofertă'!$R$5:$R$1004,"Marjă*")&gt;0,"Are linii cu marjă sub minim. ","")&amp;IF(AND(S206="Expirată"),"Valabilitatea a expirat: reconfirmă prețurile. ","")))</f>
        <v/>
      </c>
    </row>
    <row r="207" spans="2:20" x14ac:dyDescent="0.2">
      <c r="B207" s="20"/>
      <c r="C207" s="21"/>
      <c r="D207" s="22"/>
      <c r="E207" s="22"/>
      <c r="F207" s="22"/>
      <c r="G207" s="20"/>
      <c r="H207" s="23" t="str">
        <f t="shared" si="6"/>
        <v/>
      </c>
      <c r="I207" s="22"/>
      <c r="J207" s="22"/>
      <c r="K207" s="24"/>
      <c r="L207" s="22"/>
      <c r="M207" s="22"/>
      <c r="N207" s="20"/>
      <c r="O207" s="21"/>
      <c r="P207" s="25" t="str">
        <f>IF(B207="","",SUMIF('Linii ofertă'!$B$5:$B$1004,B207,'Linii ofertă'!$J$5:$J$1004))</f>
        <v/>
      </c>
      <c r="Q207" s="25" t="str">
        <f>IF(B207="","",SUMIF('Linii ofertă'!$B$5:$B$1004,B207,'Linii ofertă'!$M$5:$M$1004))</f>
        <v/>
      </c>
      <c r="R207" s="26" t="str">
        <f>IF(OR(B207="",N(P207)=0),"",SUMIF('Linii ofertă'!$B$5:$B$1004,B207,'Linii ofertă'!$P$5:$P$1004)/P207)</f>
        <v/>
      </c>
      <c r="S207" s="27" t="str">
        <f t="shared" ca="1" si="7"/>
        <v/>
      </c>
      <c r="T207" s="28" t="str">
        <f>IF(B207="","",TRIM(IF(COUNTIF($B$5:$B$504,B207)&gt;1,"Număr dublat. ","")&amp;IF(N(P207)=0,"Oferta nu are linii. ","")&amp;IF(M207="","Completează ce NU include oferta. ","")&amp;IF(AND(ISNUMBER(R207),R207&lt;MarjaMin),"Marjă totală sub minim. ","")&amp;IF(COUNTIFS('Linii ofertă'!$B$5:$B$1004,B207,'Linii ofertă'!$R$5:$R$1004,"Marjă*")&gt;0,"Are linii cu marjă sub minim. ","")&amp;IF(AND(S207="Expirată"),"Valabilitatea a expirat: reconfirmă prețurile. ","")))</f>
        <v/>
      </c>
    </row>
    <row r="208" spans="2:20" x14ac:dyDescent="0.2">
      <c r="B208" s="20"/>
      <c r="C208" s="21"/>
      <c r="D208" s="22"/>
      <c r="E208" s="22"/>
      <c r="F208" s="22"/>
      <c r="G208" s="20"/>
      <c r="H208" s="23" t="str">
        <f t="shared" si="6"/>
        <v/>
      </c>
      <c r="I208" s="22"/>
      <c r="J208" s="22"/>
      <c r="K208" s="24"/>
      <c r="L208" s="22"/>
      <c r="M208" s="22"/>
      <c r="N208" s="20"/>
      <c r="O208" s="21"/>
      <c r="P208" s="25" t="str">
        <f>IF(B208="","",SUMIF('Linii ofertă'!$B$5:$B$1004,B208,'Linii ofertă'!$J$5:$J$1004))</f>
        <v/>
      </c>
      <c r="Q208" s="25" t="str">
        <f>IF(B208="","",SUMIF('Linii ofertă'!$B$5:$B$1004,B208,'Linii ofertă'!$M$5:$M$1004))</f>
        <v/>
      </c>
      <c r="R208" s="26" t="str">
        <f>IF(OR(B208="",N(P208)=0),"",SUMIF('Linii ofertă'!$B$5:$B$1004,B208,'Linii ofertă'!$P$5:$P$1004)/P208)</f>
        <v/>
      </c>
      <c r="S208" s="27" t="str">
        <f t="shared" ca="1" si="7"/>
        <v/>
      </c>
      <c r="T208" s="28" t="str">
        <f>IF(B208="","",TRIM(IF(COUNTIF($B$5:$B$504,B208)&gt;1,"Număr dublat. ","")&amp;IF(N(P208)=0,"Oferta nu are linii. ","")&amp;IF(M208="","Completează ce NU include oferta. ","")&amp;IF(AND(ISNUMBER(R208),R208&lt;MarjaMin),"Marjă totală sub minim. ","")&amp;IF(COUNTIFS('Linii ofertă'!$B$5:$B$1004,B208,'Linii ofertă'!$R$5:$R$1004,"Marjă*")&gt;0,"Are linii cu marjă sub minim. ","")&amp;IF(AND(S208="Expirată"),"Valabilitatea a expirat: reconfirmă prețurile. ","")))</f>
        <v/>
      </c>
    </row>
    <row r="209" spans="2:20" x14ac:dyDescent="0.2">
      <c r="B209" s="20"/>
      <c r="C209" s="21"/>
      <c r="D209" s="22"/>
      <c r="E209" s="22"/>
      <c r="F209" s="22"/>
      <c r="G209" s="20"/>
      <c r="H209" s="23" t="str">
        <f t="shared" si="6"/>
        <v/>
      </c>
      <c r="I209" s="22"/>
      <c r="J209" s="22"/>
      <c r="K209" s="24"/>
      <c r="L209" s="22"/>
      <c r="M209" s="22"/>
      <c r="N209" s="20"/>
      <c r="O209" s="21"/>
      <c r="P209" s="25" t="str">
        <f>IF(B209="","",SUMIF('Linii ofertă'!$B$5:$B$1004,B209,'Linii ofertă'!$J$5:$J$1004))</f>
        <v/>
      </c>
      <c r="Q209" s="25" t="str">
        <f>IF(B209="","",SUMIF('Linii ofertă'!$B$5:$B$1004,B209,'Linii ofertă'!$M$5:$M$1004))</f>
        <v/>
      </c>
      <c r="R209" s="26" t="str">
        <f>IF(OR(B209="",N(P209)=0),"",SUMIF('Linii ofertă'!$B$5:$B$1004,B209,'Linii ofertă'!$P$5:$P$1004)/P209)</f>
        <v/>
      </c>
      <c r="S209" s="27" t="str">
        <f t="shared" ca="1" si="7"/>
        <v/>
      </c>
      <c r="T209" s="28" t="str">
        <f>IF(B209="","",TRIM(IF(COUNTIF($B$5:$B$504,B209)&gt;1,"Număr dublat. ","")&amp;IF(N(P209)=0,"Oferta nu are linii. ","")&amp;IF(M209="","Completează ce NU include oferta. ","")&amp;IF(AND(ISNUMBER(R209),R209&lt;MarjaMin),"Marjă totală sub minim. ","")&amp;IF(COUNTIFS('Linii ofertă'!$B$5:$B$1004,B209,'Linii ofertă'!$R$5:$R$1004,"Marjă*")&gt;0,"Are linii cu marjă sub minim. ","")&amp;IF(AND(S209="Expirată"),"Valabilitatea a expirat: reconfirmă prețurile. ","")))</f>
        <v/>
      </c>
    </row>
    <row r="210" spans="2:20" x14ac:dyDescent="0.2">
      <c r="B210" s="20"/>
      <c r="C210" s="21"/>
      <c r="D210" s="22"/>
      <c r="E210" s="22"/>
      <c r="F210" s="22"/>
      <c r="G210" s="20"/>
      <c r="H210" s="23" t="str">
        <f t="shared" si="6"/>
        <v/>
      </c>
      <c r="I210" s="22"/>
      <c r="J210" s="22"/>
      <c r="K210" s="24"/>
      <c r="L210" s="22"/>
      <c r="M210" s="22"/>
      <c r="N210" s="20"/>
      <c r="O210" s="21"/>
      <c r="P210" s="25" t="str">
        <f>IF(B210="","",SUMIF('Linii ofertă'!$B$5:$B$1004,B210,'Linii ofertă'!$J$5:$J$1004))</f>
        <v/>
      </c>
      <c r="Q210" s="25" t="str">
        <f>IF(B210="","",SUMIF('Linii ofertă'!$B$5:$B$1004,B210,'Linii ofertă'!$M$5:$M$1004))</f>
        <v/>
      </c>
      <c r="R210" s="26" t="str">
        <f>IF(OR(B210="",N(P210)=0),"",SUMIF('Linii ofertă'!$B$5:$B$1004,B210,'Linii ofertă'!$P$5:$P$1004)/P210)</f>
        <v/>
      </c>
      <c r="S210" s="27" t="str">
        <f t="shared" ca="1" si="7"/>
        <v/>
      </c>
      <c r="T210" s="28" t="str">
        <f>IF(B210="","",TRIM(IF(COUNTIF($B$5:$B$504,B210)&gt;1,"Număr dublat. ","")&amp;IF(N(P210)=0,"Oferta nu are linii. ","")&amp;IF(M210="","Completează ce NU include oferta. ","")&amp;IF(AND(ISNUMBER(R210),R210&lt;MarjaMin),"Marjă totală sub minim. ","")&amp;IF(COUNTIFS('Linii ofertă'!$B$5:$B$1004,B210,'Linii ofertă'!$R$5:$R$1004,"Marjă*")&gt;0,"Are linii cu marjă sub minim. ","")&amp;IF(AND(S210="Expirată"),"Valabilitatea a expirat: reconfirmă prețurile. ","")))</f>
        <v/>
      </c>
    </row>
    <row r="211" spans="2:20" x14ac:dyDescent="0.2">
      <c r="B211" s="20"/>
      <c r="C211" s="21"/>
      <c r="D211" s="22"/>
      <c r="E211" s="22"/>
      <c r="F211" s="22"/>
      <c r="G211" s="20"/>
      <c r="H211" s="23" t="str">
        <f t="shared" si="6"/>
        <v/>
      </c>
      <c r="I211" s="22"/>
      <c r="J211" s="22"/>
      <c r="K211" s="24"/>
      <c r="L211" s="22"/>
      <c r="M211" s="22"/>
      <c r="N211" s="20"/>
      <c r="O211" s="21"/>
      <c r="P211" s="25" t="str">
        <f>IF(B211="","",SUMIF('Linii ofertă'!$B$5:$B$1004,B211,'Linii ofertă'!$J$5:$J$1004))</f>
        <v/>
      </c>
      <c r="Q211" s="25" t="str">
        <f>IF(B211="","",SUMIF('Linii ofertă'!$B$5:$B$1004,B211,'Linii ofertă'!$M$5:$M$1004))</f>
        <v/>
      </c>
      <c r="R211" s="26" t="str">
        <f>IF(OR(B211="",N(P211)=0),"",SUMIF('Linii ofertă'!$B$5:$B$1004,B211,'Linii ofertă'!$P$5:$P$1004)/P211)</f>
        <v/>
      </c>
      <c r="S211" s="27" t="str">
        <f t="shared" ca="1" si="7"/>
        <v/>
      </c>
      <c r="T211" s="28" t="str">
        <f>IF(B211="","",TRIM(IF(COUNTIF($B$5:$B$504,B211)&gt;1,"Număr dublat. ","")&amp;IF(N(P211)=0,"Oferta nu are linii. ","")&amp;IF(M211="","Completează ce NU include oferta. ","")&amp;IF(AND(ISNUMBER(R211),R211&lt;MarjaMin),"Marjă totală sub minim. ","")&amp;IF(COUNTIFS('Linii ofertă'!$B$5:$B$1004,B211,'Linii ofertă'!$R$5:$R$1004,"Marjă*")&gt;0,"Are linii cu marjă sub minim. ","")&amp;IF(AND(S211="Expirată"),"Valabilitatea a expirat: reconfirmă prețurile. ","")))</f>
        <v/>
      </c>
    </row>
    <row r="212" spans="2:20" x14ac:dyDescent="0.2">
      <c r="B212" s="20"/>
      <c r="C212" s="21"/>
      <c r="D212" s="22"/>
      <c r="E212" s="22"/>
      <c r="F212" s="22"/>
      <c r="G212" s="20"/>
      <c r="H212" s="23" t="str">
        <f t="shared" si="6"/>
        <v/>
      </c>
      <c r="I212" s="22"/>
      <c r="J212" s="22"/>
      <c r="K212" s="24"/>
      <c r="L212" s="22"/>
      <c r="M212" s="22"/>
      <c r="N212" s="20"/>
      <c r="O212" s="21"/>
      <c r="P212" s="25" t="str">
        <f>IF(B212="","",SUMIF('Linii ofertă'!$B$5:$B$1004,B212,'Linii ofertă'!$J$5:$J$1004))</f>
        <v/>
      </c>
      <c r="Q212" s="25" t="str">
        <f>IF(B212="","",SUMIF('Linii ofertă'!$B$5:$B$1004,B212,'Linii ofertă'!$M$5:$M$1004))</f>
        <v/>
      </c>
      <c r="R212" s="26" t="str">
        <f>IF(OR(B212="",N(P212)=0),"",SUMIF('Linii ofertă'!$B$5:$B$1004,B212,'Linii ofertă'!$P$5:$P$1004)/P212)</f>
        <v/>
      </c>
      <c r="S212" s="27" t="str">
        <f t="shared" ca="1" si="7"/>
        <v/>
      </c>
      <c r="T212" s="28" t="str">
        <f>IF(B212="","",TRIM(IF(COUNTIF($B$5:$B$504,B212)&gt;1,"Număr dublat. ","")&amp;IF(N(P212)=0,"Oferta nu are linii. ","")&amp;IF(M212="","Completează ce NU include oferta. ","")&amp;IF(AND(ISNUMBER(R212),R212&lt;MarjaMin),"Marjă totală sub minim. ","")&amp;IF(COUNTIFS('Linii ofertă'!$B$5:$B$1004,B212,'Linii ofertă'!$R$5:$R$1004,"Marjă*")&gt;0,"Are linii cu marjă sub minim. ","")&amp;IF(AND(S212="Expirată"),"Valabilitatea a expirat: reconfirmă prețurile. ","")))</f>
        <v/>
      </c>
    </row>
    <row r="213" spans="2:20" x14ac:dyDescent="0.2">
      <c r="B213" s="20"/>
      <c r="C213" s="21"/>
      <c r="D213" s="22"/>
      <c r="E213" s="22"/>
      <c r="F213" s="22"/>
      <c r="G213" s="20"/>
      <c r="H213" s="23" t="str">
        <f t="shared" si="6"/>
        <v/>
      </c>
      <c r="I213" s="22"/>
      <c r="J213" s="22"/>
      <c r="K213" s="24"/>
      <c r="L213" s="22"/>
      <c r="M213" s="22"/>
      <c r="N213" s="20"/>
      <c r="O213" s="21"/>
      <c r="P213" s="25" t="str">
        <f>IF(B213="","",SUMIF('Linii ofertă'!$B$5:$B$1004,B213,'Linii ofertă'!$J$5:$J$1004))</f>
        <v/>
      </c>
      <c r="Q213" s="25" t="str">
        <f>IF(B213="","",SUMIF('Linii ofertă'!$B$5:$B$1004,B213,'Linii ofertă'!$M$5:$M$1004))</f>
        <v/>
      </c>
      <c r="R213" s="26" t="str">
        <f>IF(OR(B213="",N(P213)=0),"",SUMIF('Linii ofertă'!$B$5:$B$1004,B213,'Linii ofertă'!$P$5:$P$1004)/P213)</f>
        <v/>
      </c>
      <c r="S213" s="27" t="str">
        <f t="shared" ca="1" si="7"/>
        <v/>
      </c>
      <c r="T213" s="28" t="str">
        <f>IF(B213="","",TRIM(IF(COUNTIF($B$5:$B$504,B213)&gt;1,"Număr dublat. ","")&amp;IF(N(P213)=0,"Oferta nu are linii. ","")&amp;IF(M213="","Completează ce NU include oferta. ","")&amp;IF(AND(ISNUMBER(R213),R213&lt;MarjaMin),"Marjă totală sub minim. ","")&amp;IF(COUNTIFS('Linii ofertă'!$B$5:$B$1004,B213,'Linii ofertă'!$R$5:$R$1004,"Marjă*")&gt;0,"Are linii cu marjă sub minim. ","")&amp;IF(AND(S213="Expirată"),"Valabilitatea a expirat: reconfirmă prețurile. ","")))</f>
        <v/>
      </c>
    </row>
    <row r="214" spans="2:20" x14ac:dyDescent="0.2">
      <c r="B214" s="20"/>
      <c r="C214" s="21"/>
      <c r="D214" s="22"/>
      <c r="E214" s="22"/>
      <c r="F214" s="22"/>
      <c r="G214" s="20"/>
      <c r="H214" s="23" t="str">
        <f t="shared" si="6"/>
        <v/>
      </c>
      <c r="I214" s="22"/>
      <c r="J214" s="22"/>
      <c r="K214" s="24"/>
      <c r="L214" s="22"/>
      <c r="M214" s="22"/>
      <c r="N214" s="20"/>
      <c r="O214" s="21"/>
      <c r="P214" s="25" t="str">
        <f>IF(B214="","",SUMIF('Linii ofertă'!$B$5:$B$1004,B214,'Linii ofertă'!$J$5:$J$1004))</f>
        <v/>
      </c>
      <c r="Q214" s="25" t="str">
        <f>IF(B214="","",SUMIF('Linii ofertă'!$B$5:$B$1004,B214,'Linii ofertă'!$M$5:$M$1004))</f>
        <v/>
      </c>
      <c r="R214" s="26" t="str">
        <f>IF(OR(B214="",N(P214)=0),"",SUMIF('Linii ofertă'!$B$5:$B$1004,B214,'Linii ofertă'!$P$5:$P$1004)/P214)</f>
        <v/>
      </c>
      <c r="S214" s="27" t="str">
        <f t="shared" ca="1" si="7"/>
        <v/>
      </c>
      <c r="T214" s="28" t="str">
        <f>IF(B214="","",TRIM(IF(COUNTIF($B$5:$B$504,B214)&gt;1,"Număr dublat. ","")&amp;IF(N(P214)=0,"Oferta nu are linii. ","")&amp;IF(M214="","Completează ce NU include oferta. ","")&amp;IF(AND(ISNUMBER(R214),R214&lt;MarjaMin),"Marjă totală sub minim. ","")&amp;IF(COUNTIFS('Linii ofertă'!$B$5:$B$1004,B214,'Linii ofertă'!$R$5:$R$1004,"Marjă*")&gt;0,"Are linii cu marjă sub minim. ","")&amp;IF(AND(S214="Expirată"),"Valabilitatea a expirat: reconfirmă prețurile. ","")))</f>
        <v/>
      </c>
    </row>
    <row r="215" spans="2:20" x14ac:dyDescent="0.2">
      <c r="B215" s="20"/>
      <c r="C215" s="21"/>
      <c r="D215" s="22"/>
      <c r="E215" s="22"/>
      <c r="F215" s="22"/>
      <c r="G215" s="20"/>
      <c r="H215" s="23" t="str">
        <f t="shared" si="6"/>
        <v/>
      </c>
      <c r="I215" s="22"/>
      <c r="J215" s="22"/>
      <c r="K215" s="24"/>
      <c r="L215" s="22"/>
      <c r="M215" s="22"/>
      <c r="N215" s="20"/>
      <c r="O215" s="21"/>
      <c r="P215" s="25" t="str">
        <f>IF(B215="","",SUMIF('Linii ofertă'!$B$5:$B$1004,B215,'Linii ofertă'!$J$5:$J$1004))</f>
        <v/>
      </c>
      <c r="Q215" s="25" t="str">
        <f>IF(B215="","",SUMIF('Linii ofertă'!$B$5:$B$1004,B215,'Linii ofertă'!$M$5:$M$1004))</f>
        <v/>
      </c>
      <c r="R215" s="26" t="str">
        <f>IF(OR(B215="",N(P215)=0),"",SUMIF('Linii ofertă'!$B$5:$B$1004,B215,'Linii ofertă'!$P$5:$P$1004)/P215)</f>
        <v/>
      </c>
      <c r="S215" s="27" t="str">
        <f t="shared" ca="1" si="7"/>
        <v/>
      </c>
      <c r="T215" s="28" t="str">
        <f>IF(B215="","",TRIM(IF(COUNTIF($B$5:$B$504,B215)&gt;1,"Număr dublat. ","")&amp;IF(N(P215)=0,"Oferta nu are linii. ","")&amp;IF(M215="","Completează ce NU include oferta. ","")&amp;IF(AND(ISNUMBER(R215),R215&lt;MarjaMin),"Marjă totală sub minim. ","")&amp;IF(COUNTIFS('Linii ofertă'!$B$5:$B$1004,B215,'Linii ofertă'!$R$5:$R$1004,"Marjă*")&gt;0,"Are linii cu marjă sub minim. ","")&amp;IF(AND(S215="Expirată"),"Valabilitatea a expirat: reconfirmă prețurile. ","")))</f>
        <v/>
      </c>
    </row>
    <row r="216" spans="2:20" x14ac:dyDescent="0.2">
      <c r="B216" s="20"/>
      <c r="C216" s="21"/>
      <c r="D216" s="22"/>
      <c r="E216" s="22"/>
      <c r="F216" s="22"/>
      <c r="G216" s="20"/>
      <c r="H216" s="23" t="str">
        <f t="shared" si="6"/>
        <v/>
      </c>
      <c r="I216" s="22"/>
      <c r="J216" s="22"/>
      <c r="K216" s="24"/>
      <c r="L216" s="22"/>
      <c r="M216" s="22"/>
      <c r="N216" s="20"/>
      <c r="O216" s="21"/>
      <c r="P216" s="25" t="str">
        <f>IF(B216="","",SUMIF('Linii ofertă'!$B$5:$B$1004,B216,'Linii ofertă'!$J$5:$J$1004))</f>
        <v/>
      </c>
      <c r="Q216" s="25" t="str">
        <f>IF(B216="","",SUMIF('Linii ofertă'!$B$5:$B$1004,B216,'Linii ofertă'!$M$5:$M$1004))</f>
        <v/>
      </c>
      <c r="R216" s="26" t="str">
        <f>IF(OR(B216="",N(P216)=0),"",SUMIF('Linii ofertă'!$B$5:$B$1004,B216,'Linii ofertă'!$P$5:$P$1004)/P216)</f>
        <v/>
      </c>
      <c r="S216" s="27" t="str">
        <f t="shared" ca="1" si="7"/>
        <v/>
      </c>
      <c r="T216" s="28" t="str">
        <f>IF(B216="","",TRIM(IF(COUNTIF($B$5:$B$504,B216)&gt;1,"Număr dublat. ","")&amp;IF(N(P216)=0,"Oferta nu are linii. ","")&amp;IF(M216="","Completează ce NU include oferta. ","")&amp;IF(AND(ISNUMBER(R216),R216&lt;MarjaMin),"Marjă totală sub minim. ","")&amp;IF(COUNTIFS('Linii ofertă'!$B$5:$B$1004,B216,'Linii ofertă'!$R$5:$R$1004,"Marjă*")&gt;0,"Are linii cu marjă sub minim. ","")&amp;IF(AND(S216="Expirată"),"Valabilitatea a expirat: reconfirmă prețurile. ","")))</f>
        <v/>
      </c>
    </row>
    <row r="217" spans="2:20" x14ac:dyDescent="0.2">
      <c r="B217" s="20"/>
      <c r="C217" s="21"/>
      <c r="D217" s="22"/>
      <c r="E217" s="22"/>
      <c r="F217" s="22"/>
      <c r="G217" s="20"/>
      <c r="H217" s="23" t="str">
        <f t="shared" si="6"/>
        <v/>
      </c>
      <c r="I217" s="22"/>
      <c r="J217" s="22"/>
      <c r="K217" s="24"/>
      <c r="L217" s="22"/>
      <c r="M217" s="22"/>
      <c r="N217" s="20"/>
      <c r="O217" s="21"/>
      <c r="P217" s="25" t="str">
        <f>IF(B217="","",SUMIF('Linii ofertă'!$B$5:$B$1004,B217,'Linii ofertă'!$J$5:$J$1004))</f>
        <v/>
      </c>
      <c r="Q217" s="25" t="str">
        <f>IF(B217="","",SUMIF('Linii ofertă'!$B$5:$B$1004,B217,'Linii ofertă'!$M$5:$M$1004))</f>
        <v/>
      </c>
      <c r="R217" s="26" t="str">
        <f>IF(OR(B217="",N(P217)=0),"",SUMIF('Linii ofertă'!$B$5:$B$1004,B217,'Linii ofertă'!$P$5:$P$1004)/P217)</f>
        <v/>
      </c>
      <c r="S217" s="27" t="str">
        <f t="shared" ca="1" si="7"/>
        <v/>
      </c>
      <c r="T217" s="28" t="str">
        <f>IF(B217="","",TRIM(IF(COUNTIF($B$5:$B$504,B217)&gt;1,"Număr dublat. ","")&amp;IF(N(P217)=0,"Oferta nu are linii. ","")&amp;IF(M217="","Completează ce NU include oferta. ","")&amp;IF(AND(ISNUMBER(R217),R217&lt;MarjaMin),"Marjă totală sub minim. ","")&amp;IF(COUNTIFS('Linii ofertă'!$B$5:$B$1004,B217,'Linii ofertă'!$R$5:$R$1004,"Marjă*")&gt;0,"Are linii cu marjă sub minim. ","")&amp;IF(AND(S217="Expirată"),"Valabilitatea a expirat: reconfirmă prețurile. ","")))</f>
        <v/>
      </c>
    </row>
    <row r="218" spans="2:20" x14ac:dyDescent="0.2">
      <c r="B218" s="20"/>
      <c r="C218" s="21"/>
      <c r="D218" s="22"/>
      <c r="E218" s="22"/>
      <c r="F218" s="22"/>
      <c r="G218" s="20"/>
      <c r="H218" s="23" t="str">
        <f t="shared" si="6"/>
        <v/>
      </c>
      <c r="I218" s="22"/>
      <c r="J218" s="22"/>
      <c r="K218" s="24"/>
      <c r="L218" s="22"/>
      <c r="M218" s="22"/>
      <c r="N218" s="20"/>
      <c r="O218" s="21"/>
      <c r="P218" s="25" t="str">
        <f>IF(B218="","",SUMIF('Linii ofertă'!$B$5:$B$1004,B218,'Linii ofertă'!$J$5:$J$1004))</f>
        <v/>
      </c>
      <c r="Q218" s="25" t="str">
        <f>IF(B218="","",SUMIF('Linii ofertă'!$B$5:$B$1004,B218,'Linii ofertă'!$M$5:$M$1004))</f>
        <v/>
      </c>
      <c r="R218" s="26" t="str">
        <f>IF(OR(B218="",N(P218)=0),"",SUMIF('Linii ofertă'!$B$5:$B$1004,B218,'Linii ofertă'!$P$5:$P$1004)/P218)</f>
        <v/>
      </c>
      <c r="S218" s="27" t="str">
        <f t="shared" ca="1" si="7"/>
        <v/>
      </c>
      <c r="T218" s="28" t="str">
        <f>IF(B218="","",TRIM(IF(COUNTIF($B$5:$B$504,B218)&gt;1,"Număr dublat. ","")&amp;IF(N(P218)=0,"Oferta nu are linii. ","")&amp;IF(M218="","Completează ce NU include oferta. ","")&amp;IF(AND(ISNUMBER(R218),R218&lt;MarjaMin),"Marjă totală sub minim. ","")&amp;IF(COUNTIFS('Linii ofertă'!$B$5:$B$1004,B218,'Linii ofertă'!$R$5:$R$1004,"Marjă*")&gt;0,"Are linii cu marjă sub minim. ","")&amp;IF(AND(S218="Expirată"),"Valabilitatea a expirat: reconfirmă prețurile. ","")))</f>
        <v/>
      </c>
    </row>
    <row r="219" spans="2:20" x14ac:dyDescent="0.2">
      <c r="B219" s="20"/>
      <c r="C219" s="21"/>
      <c r="D219" s="22"/>
      <c r="E219" s="22"/>
      <c r="F219" s="22"/>
      <c r="G219" s="20"/>
      <c r="H219" s="23" t="str">
        <f t="shared" si="6"/>
        <v/>
      </c>
      <c r="I219" s="22"/>
      <c r="J219" s="22"/>
      <c r="K219" s="24"/>
      <c r="L219" s="22"/>
      <c r="M219" s="22"/>
      <c r="N219" s="20"/>
      <c r="O219" s="21"/>
      <c r="P219" s="25" t="str">
        <f>IF(B219="","",SUMIF('Linii ofertă'!$B$5:$B$1004,B219,'Linii ofertă'!$J$5:$J$1004))</f>
        <v/>
      </c>
      <c r="Q219" s="25" t="str">
        <f>IF(B219="","",SUMIF('Linii ofertă'!$B$5:$B$1004,B219,'Linii ofertă'!$M$5:$M$1004))</f>
        <v/>
      </c>
      <c r="R219" s="26" t="str">
        <f>IF(OR(B219="",N(P219)=0),"",SUMIF('Linii ofertă'!$B$5:$B$1004,B219,'Linii ofertă'!$P$5:$P$1004)/P219)</f>
        <v/>
      </c>
      <c r="S219" s="27" t="str">
        <f t="shared" ca="1" si="7"/>
        <v/>
      </c>
      <c r="T219" s="28" t="str">
        <f>IF(B219="","",TRIM(IF(COUNTIF($B$5:$B$504,B219)&gt;1,"Număr dublat. ","")&amp;IF(N(P219)=0,"Oferta nu are linii. ","")&amp;IF(M219="","Completează ce NU include oferta. ","")&amp;IF(AND(ISNUMBER(R219),R219&lt;MarjaMin),"Marjă totală sub minim. ","")&amp;IF(COUNTIFS('Linii ofertă'!$B$5:$B$1004,B219,'Linii ofertă'!$R$5:$R$1004,"Marjă*")&gt;0,"Are linii cu marjă sub minim. ","")&amp;IF(AND(S219="Expirată"),"Valabilitatea a expirat: reconfirmă prețurile. ","")))</f>
        <v/>
      </c>
    </row>
    <row r="220" spans="2:20" x14ac:dyDescent="0.2">
      <c r="B220" s="20"/>
      <c r="C220" s="21"/>
      <c r="D220" s="22"/>
      <c r="E220" s="22"/>
      <c r="F220" s="22"/>
      <c r="G220" s="20"/>
      <c r="H220" s="23" t="str">
        <f t="shared" si="6"/>
        <v/>
      </c>
      <c r="I220" s="22"/>
      <c r="J220" s="22"/>
      <c r="K220" s="24"/>
      <c r="L220" s="22"/>
      <c r="M220" s="22"/>
      <c r="N220" s="20"/>
      <c r="O220" s="21"/>
      <c r="P220" s="25" t="str">
        <f>IF(B220="","",SUMIF('Linii ofertă'!$B$5:$B$1004,B220,'Linii ofertă'!$J$5:$J$1004))</f>
        <v/>
      </c>
      <c r="Q220" s="25" t="str">
        <f>IF(B220="","",SUMIF('Linii ofertă'!$B$5:$B$1004,B220,'Linii ofertă'!$M$5:$M$1004))</f>
        <v/>
      </c>
      <c r="R220" s="26" t="str">
        <f>IF(OR(B220="",N(P220)=0),"",SUMIF('Linii ofertă'!$B$5:$B$1004,B220,'Linii ofertă'!$P$5:$P$1004)/P220)</f>
        <v/>
      </c>
      <c r="S220" s="27" t="str">
        <f t="shared" ca="1" si="7"/>
        <v/>
      </c>
      <c r="T220" s="28" t="str">
        <f>IF(B220="","",TRIM(IF(COUNTIF($B$5:$B$504,B220)&gt;1,"Număr dublat. ","")&amp;IF(N(P220)=0,"Oferta nu are linii. ","")&amp;IF(M220="","Completează ce NU include oferta. ","")&amp;IF(AND(ISNUMBER(R220),R220&lt;MarjaMin),"Marjă totală sub minim. ","")&amp;IF(COUNTIFS('Linii ofertă'!$B$5:$B$1004,B220,'Linii ofertă'!$R$5:$R$1004,"Marjă*")&gt;0,"Are linii cu marjă sub minim. ","")&amp;IF(AND(S220="Expirată"),"Valabilitatea a expirat: reconfirmă prețurile. ","")))</f>
        <v/>
      </c>
    </row>
    <row r="221" spans="2:20" x14ac:dyDescent="0.2">
      <c r="B221" s="20"/>
      <c r="C221" s="21"/>
      <c r="D221" s="22"/>
      <c r="E221" s="22"/>
      <c r="F221" s="22"/>
      <c r="G221" s="20"/>
      <c r="H221" s="23" t="str">
        <f t="shared" si="6"/>
        <v/>
      </c>
      <c r="I221" s="22"/>
      <c r="J221" s="22"/>
      <c r="K221" s="24"/>
      <c r="L221" s="22"/>
      <c r="M221" s="22"/>
      <c r="N221" s="20"/>
      <c r="O221" s="21"/>
      <c r="P221" s="25" t="str">
        <f>IF(B221="","",SUMIF('Linii ofertă'!$B$5:$B$1004,B221,'Linii ofertă'!$J$5:$J$1004))</f>
        <v/>
      </c>
      <c r="Q221" s="25" t="str">
        <f>IF(B221="","",SUMIF('Linii ofertă'!$B$5:$B$1004,B221,'Linii ofertă'!$M$5:$M$1004))</f>
        <v/>
      </c>
      <c r="R221" s="26" t="str">
        <f>IF(OR(B221="",N(P221)=0),"",SUMIF('Linii ofertă'!$B$5:$B$1004,B221,'Linii ofertă'!$P$5:$P$1004)/P221)</f>
        <v/>
      </c>
      <c r="S221" s="27" t="str">
        <f t="shared" ca="1" si="7"/>
        <v/>
      </c>
      <c r="T221" s="28" t="str">
        <f>IF(B221="","",TRIM(IF(COUNTIF($B$5:$B$504,B221)&gt;1,"Număr dublat. ","")&amp;IF(N(P221)=0,"Oferta nu are linii. ","")&amp;IF(M221="","Completează ce NU include oferta. ","")&amp;IF(AND(ISNUMBER(R221),R221&lt;MarjaMin),"Marjă totală sub minim. ","")&amp;IF(COUNTIFS('Linii ofertă'!$B$5:$B$1004,B221,'Linii ofertă'!$R$5:$R$1004,"Marjă*")&gt;0,"Are linii cu marjă sub minim. ","")&amp;IF(AND(S221="Expirată"),"Valabilitatea a expirat: reconfirmă prețurile. ","")))</f>
        <v/>
      </c>
    </row>
    <row r="222" spans="2:20" x14ac:dyDescent="0.2">
      <c r="B222" s="20"/>
      <c r="C222" s="21"/>
      <c r="D222" s="22"/>
      <c r="E222" s="22"/>
      <c r="F222" s="22"/>
      <c r="G222" s="20"/>
      <c r="H222" s="23" t="str">
        <f t="shared" si="6"/>
        <v/>
      </c>
      <c r="I222" s="22"/>
      <c r="J222" s="22"/>
      <c r="K222" s="24"/>
      <c r="L222" s="22"/>
      <c r="M222" s="22"/>
      <c r="N222" s="20"/>
      <c r="O222" s="21"/>
      <c r="P222" s="25" t="str">
        <f>IF(B222="","",SUMIF('Linii ofertă'!$B$5:$B$1004,B222,'Linii ofertă'!$J$5:$J$1004))</f>
        <v/>
      </c>
      <c r="Q222" s="25" t="str">
        <f>IF(B222="","",SUMIF('Linii ofertă'!$B$5:$B$1004,B222,'Linii ofertă'!$M$5:$M$1004))</f>
        <v/>
      </c>
      <c r="R222" s="26" t="str">
        <f>IF(OR(B222="",N(P222)=0),"",SUMIF('Linii ofertă'!$B$5:$B$1004,B222,'Linii ofertă'!$P$5:$P$1004)/P222)</f>
        <v/>
      </c>
      <c r="S222" s="27" t="str">
        <f t="shared" ca="1" si="7"/>
        <v/>
      </c>
      <c r="T222" s="28" t="str">
        <f>IF(B222="","",TRIM(IF(COUNTIF($B$5:$B$504,B222)&gt;1,"Număr dublat. ","")&amp;IF(N(P222)=0,"Oferta nu are linii. ","")&amp;IF(M222="","Completează ce NU include oferta. ","")&amp;IF(AND(ISNUMBER(R222),R222&lt;MarjaMin),"Marjă totală sub minim. ","")&amp;IF(COUNTIFS('Linii ofertă'!$B$5:$B$1004,B222,'Linii ofertă'!$R$5:$R$1004,"Marjă*")&gt;0,"Are linii cu marjă sub minim. ","")&amp;IF(AND(S222="Expirată"),"Valabilitatea a expirat: reconfirmă prețurile. ","")))</f>
        <v/>
      </c>
    </row>
    <row r="223" spans="2:20" x14ac:dyDescent="0.2">
      <c r="B223" s="20"/>
      <c r="C223" s="21"/>
      <c r="D223" s="22"/>
      <c r="E223" s="22"/>
      <c r="F223" s="22"/>
      <c r="G223" s="20"/>
      <c r="H223" s="23" t="str">
        <f t="shared" si="6"/>
        <v/>
      </c>
      <c r="I223" s="22"/>
      <c r="J223" s="22"/>
      <c r="K223" s="24"/>
      <c r="L223" s="22"/>
      <c r="M223" s="22"/>
      <c r="N223" s="20"/>
      <c r="O223" s="21"/>
      <c r="P223" s="25" t="str">
        <f>IF(B223="","",SUMIF('Linii ofertă'!$B$5:$B$1004,B223,'Linii ofertă'!$J$5:$J$1004))</f>
        <v/>
      </c>
      <c r="Q223" s="25" t="str">
        <f>IF(B223="","",SUMIF('Linii ofertă'!$B$5:$B$1004,B223,'Linii ofertă'!$M$5:$M$1004))</f>
        <v/>
      </c>
      <c r="R223" s="26" t="str">
        <f>IF(OR(B223="",N(P223)=0),"",SUMIF('Linii ofertă'!$B$5:$B$1004,B223,'Linii ofertă'!$P$5:$P$1004)/P223)</f>
        <v/>
      </c>
      <c r="S223" s="27" t="str">
        <f t="shared" ca="1" si="7"/>
        <v/>
      </c>
      <c r="T223" s="28" t="str">
        <f>IF(B223="","",TRIM(IF(COUNTIF($B$5:$B$504,B223)&gt;1,"Număr dublat. ","")&amp;IF(N(P223)=0,"Oferta nu are linii. ","")&amp;IF(M223="","Completează ce NU include oferta. ","")&amp;IF(AND(ISNUMBER(R223),R223&lt;MarjaMin),"Marjă totală sub minim. ","")&amp;IF(COUNTIFS('Linii ofertă'!$B$5:$B$1004,B223,'Linii ofertă'!$R$5:$R$1004,"Marjă*")&gt;0,"Are linii cu marjă sub minim. ","")&amp;IF(AND(S223="Expirată"),"Valabilitatea a expirat: reconfirmă prețurile. ","")))</f>
        <v/>
      </c>
    </row>
    <row r="224" spans="2:20" x14ac:dyDescent="0.2">
      <c r="B224" s="20"/>
      <c r="C224" s="21"/>
      <c r="D224" s="22"/>
      <c r="E224" s="22"/>
      <c r="F224" s="22"/>
      <c r="G224" s="20"/>
      <c r="H224" s="23" t="str">
        <f t="shared" si="6"/>
        <v/>
      </c>
      <c r="I224" s="22"/>
      <c r="J224" s="22"/>
      <c r="K224" s="24"/>
      <c r="L224" s="22"/>
      <c r="M224" s="22"/>
      <c r="N224" s="20"/>
      <c r="O224" s="21"/>
      <c r="P224" s="25" t="str">
        <f>IF(B224="","",SUMIF('Linii ofertă'!$B$5:$B$1004,B224,'Linii ofertă'!$J$5:$J$1004))</f>
        <v/>
      </c>
      <c r="Q224" s="25" t="str">
        <f>IF(B224="","",SUMIF('Linii ofertă'!$B$5:$B$1004,B224,'Linii ofertă'!$M$5:$M$1004))</f>
        <v/>
      </c>
      <c r="R224" s="26" t="str">
        <f>IF(OR(B224="",N(P224)=0),"",SUMIF('Linii ofertă'!$B$5:$B$1004,B224,'Linii ofertă'!$P$5:$P$1004)/P224)</f>
        <v/>
      </c>
      <c r="S224" s="27" t="str">
        <f t="shared" ca="1" si="7"/>
        <v/>
      </c>
      <c r="T224" s="28" t="str">
        <f>IF(B224="","",TRIM(IF(COUNTIF($B$5:$B$504,B224)&gt;1,"Număr dublat. ","")&amp;IF(N(P224)=0,"Oferta nu are linii. ","")&amp;IF(M224="","Completează ce NU include oferta. ","")&amp;IF(AND(ISNUMBER(R224),R224&lt;MarjaMin),"Marjă totală sub minim. ","")&amp;IF(COUNTIFS('Linii ofertă'!$B$5:$B$1004,B224,'Linii ofertă'!$R$5:$R$1004,"Marjă*")&gt;0,"Are linii cu marjă sub minim. ","")&amp;IF(AND(S224="Expirată"),"Valabilitatea a expirat: reconfirmă prețurile. ","")))</f>
        <v/>
      </c>
    </row>
    <row r="225" spans="2:20" x14ac:dyDescent="0.2">
      <c r="B225" s="20"/>
      <c r="C225" s="21"/>
      <c r="D225" s="22"/>
      <c r="E225" s="22"/>
      <c r="F225" s="22"/>
      <c r="G225" s="20"/>
      <c r="H225" s="23" t="str">
        <f t="shared" si="6"/>
        <v/>
      </c>
      <c r="I225" s="22"/>
      <c r="J225" s="22"/>
      <c r="K225" s="24"/>
      <c r="L225" s="22"/>
      <c r="M225" s="22"/>
      <c r="N225" s="20"/>
      <c r="O225" s="21"/>
      <c r="P225" s="25" t="str">
        <f>IF(B225="","",SUMIF('Linii ofertă'!$B$5:$B$1004,B225,'Linii ofertă'!$J$5:$J$1004))</f>
        <v/>
      </c>
      <c r="Q225" s="25" t="str">
        <f>IF(B225="","",SUMIF('Linii ofertă'!$B$5:$B$1004,B225,'Linii ofertă'!$M$5:$M$1004))</f>
        <v/>
      </c>
      <c r="R225" s="26" t="str">
        <f>IF(OR(B225="",N(P225)=0),"",SUMIF('Linii ofertă'!$B$5:$B$1004,B225,'Linii ofertă'!$P$5:$P$1004)/P225)</f>
        <v/>
      </c>
      <c r="S225" s="27" t="str">
        <f t="shared" ca="1" si="7"/>
        <v/>
      </c>
      <c r="T225" s="28" t="str">
        <f>IF(B225="","",TRIM(IF(COUNTIF($B$5:$B$504,B225)&gt;1,"Număr dublat. ","")&amp;IF(N(P225)=0,"Oferta nu are linii. ","")&amp;IF(M225="","Completează ce NU include oferta. ","")&amp;IF(AND(ISNUMBER(R225),R225&lt;MarjaMin),"Marjă totală sub minim. ","")&amp;IF(COUNTIFS('Linii ofertă'!$B$5:$B$1004,B225,'Linii ofertă'!$R$5:$R$1004,"Marjă*")&gt;0,"Are linii cu marjă sub minim. ","")&amp;IF(AND(S225="Expirată"),"Valabilitatea a expirat: reconfirmă prețurile. ","")))</f>
        <v/>
      </c>
    </row>
    <row r="226" spans="2:20" x14ac:dyDescent="0.2">
      <c r="B226" s="20"/>
      <c r="C226" s="21"/>
      <c r="D226" s="22"/>
      <c r="E226" s="22"/>
      <c r="F226" s="22"/>
      <c r="G226" s="20"/>
      <c r="H226" s="23" t="str">
        <f t="shared" si="6"/>
        <v/>
      </c>
      <c r="I226" s="22"/>
      <c r="J226" s="22"/>
      <c r="K226" s="24"/>
      <c r="L226" s="22"/>
      <c r="M226" s="22"/>
      <c r="N226" s="20"/>
      <c r="O226" s="21"/>
      <c r="P226" s="25" t="str">
        <f>IF(B226="","",SUMIF('Linii ofertă'!$B$5:$B$1004,B226,'Linii ofertă'!$J$5:$J$1004))</f>
        <v/>
      </c>
      <c r="Q226" s="25" t="str">
        <f>IF(B226="","",SUMIF('Linii ofertă'!$B$5:$B$1004,B226,'Linii ofertă'!$M$5:$M$1004))</f>
        <v/>
      </c>
      <c r="R226" s="26" t="str">
        <f>IF(OR(B226="",N(P226)=0),"",SUMIF('Linii ofertă'!$B$5:$B$1004,B226,'Linii ofertă'!$P$5:$P$1004)/P226)</f>
        <v/>
      </c>
      <c r="S226" s="27" t="str">
        <f t="shared" ca="1" si="7"/>
        <v/>
      </c>
      <c r="T226" s="28" t="str">
        <f>IF(B226="","",TRIM(IF(COUNTIF($B$5:$B$504,B226)&gt;1,"Număr dublat. ","")&amp;IF(N(P226)=0,"Oferta nu are linii. ","")&amp;IF(M226="","Completează ce NU include oferta. ","")&amp;IF(AND(ISNUMBER(R226),R226&lt;MarjaMin),"Marjă totală sub minim. ","")&amp;IF(COUNTIFS('Linii ofertă'!$B$5:$B$1004,B226,'Linii ofertă'!$R$5:$R$1004,"Marjă*")&gt;0,"Are linii cu marjă sub minim. ","")&amp;IF(AND(S226="Expirată"),"Valabilitatea a expirat: reconfirmă prețurile. ","")))</f>
        <v/>
      </c>
    </row>
    <row r="227" spans="2:20" x14ac:dyDescent="0.2">
      <c r="B227" s="20"/>
      <c r="C227" s="21"/>
      <c r="D227" s="22"/>
      <c r="E227" s="22"/>
      <c r="F227" s="22"/>
      <c r="G227" s="20"/>
      <c r="H227" s="23" t="str">
        <f t="shared" si="6"/>
        <v/>
      </c>
      <c r="I227" s="22"/>
      <c r="J227" s="22"/>
      <c r="K227" s="24"/>
      <c r="L227" s="22"/>
      <c r="M227" s="22"/>
      <c r="N227" s="20"/>
      <c r="O227" s="21"/>
      <c r="P227" s="25" t="str">
        <f>IF(B227="","",SUMIF('Linii ofertă'!$B$5:$B$1004,B227,'Linii ofertă'!$J$5:$J$1004))</f>
        <v/>
      </c>
      <c r="Q227" s="25" t="str">
        <f>IF(B227="","",SUMIF('Linii ofertă'!$B$5:$B$1004,B227,'Linii ofertă'!$M$5:$M$1004))</f>
        <v/>
      </c>
      <c r="R227" s="26" t="str">
        <f>IF(OR(B227="",N(P227)=0),"",SUMIF('Linii ofertă'!$B$5:$B$1004,B227,'Linii ofertă'!$P$5:$P$1004)/P227)</f>
        <v/>
      </c>
      <c r="S227" s="27" t="str">
        <f t="shared" ca="1" si="7"/>
        <v/>
      </c>
      <c r="T227" s="28" t="str">
        <f>IF(B227="","",TRIM(IF(COUNTIF($B$5:$B$504,B227)&gt;1,"Număr dublat. ","")&amp;IF(N(P227)=0,"Oferta nu are linii. ","")&amp;IF(M227="","Completează ce NU include oferta. ","")&amp;IF(AND(ISNUMBER(R227),R227&lt;MarjaMin),"Marjă totală sub minim. ","")&amp;IF(COUNTIFS('Linii ofertă'!$B$5:$B$1004,B227,'Linii ofertă'!$R$5:$R$1004,"Marjă*")&gt;0,"Are linii cu marjă sub minim. ","")&amp;IF(AND(S227="Expirată"),"Valabilitatea a expirat: reconfirmă prețurile. ","")))</f>
        <v/>
      </c>
    </row>
    <row r="228" spans="2:20" x14ac:dyDescent="0.2">
      <c r="B228" s="20"/>
      <c r="C228" s="21"/>
      <c r="D228" s="22"/>
      <c r="E228" s="22"/>
      <c r="F228" s="22"/>
      <c r="G228" s="20"/>
      <c r="H228" s="23" t="str">
        <f t="shared" si="6"/>
        <v/>
      </c>
      <c r="I228" s="22"/>
      <c r="J228" s="22"/>
      <c r="K228" s="24"/>
      <c r="L228" s="22"/>
      <c r="M228" s="22"/>
      <c r="N228" s="20"/>
      <c r="O228" s="21"/>
      <c r="P228" s="25" t="str">
        <f>IF(B228="","",SUMIF('Linii ofertă'!$B$5:$B$1004,B228,'Linii ofertă'!$J$5:$J$1004))</f>
        <v/>
      </c>
      <c r="Q228" s="25" t="str">
        <f>IF(B228="","",SUMIF('Linii ofertă'!$B$5:$B$1004,B228,'Linii ofertă'!$M$5:$M$1004))</f>
        <v/>
      </c>
      <c r="R228" s="26" t="str">
        <f>IF(OR(B228="",N(P228)=0),"",SUMIF('Linii ofertă'!$B$5:$B$1004,B228,'Linii ofertă'!$P$5:$P$1004)/P228)</f>
        <v/>
      </c>
      <c r="S228" s="27" t="str">
        <f t="shared" ca="1" si="7"/>
        <v/>
      </c>
      <c r="T228" s="28" t="str">
        <f>IF(B228="","",TRIM(IF(COUNTIF($B$5:$B$504,B228)&gt;1,"Număr dublat. ","")&amp;IF(N(P228)=0,"Oferta nu are linii. ","")&amp;IF(M228="","Completează ce NU include oferta. ","")&amp;IF(AND(ISNUMBER(R228),R228&lt;MarjaMin),"Marjă totală sub minim. ","")&amp;IF(COUNTIFS('Linii ofertă'!$B$5:$B$1004,B228,'Linii ofertă'!$R$5:$R$1004,"Marjă*")&gt;0,"Are linii cu marjă sub minim. ","")&amp;IF(AND(S228="Expirată"),"Valabilitatea a expirat: reconfirmă prețurile. ","")))</f>
        <v/>
      </c>
    </row>
    <row r="229" spans="2:20" x14ac:dyDescent="0.2">
      <c r="B229" s="20"/>
      <c r="C229" s="21"/>
      <c r="D229" s="22"/>
      <c r="E229" s="22"/>
      <c r="F229" s="22"/>
      <c r="G229" s="20"/>
      <c r="H229" s="23" t="str">
        <f t="shared" si="6"/>
        <v/>
      </c>
      <c r="I229" s="22"/>
      <c r="J229" s="22"/>
      <c r="K229" s="24"/>
      <c r="L229" s="22"/>
      <c r="M229" s="22"/>
      <c r="N229" s="20"/>
      <c r="O229" s="21"/>
      <c r="P229" s="25" t="str">
        <f>IF(B229="","",SUMIF('Linii ofertă'!$B$5:$B$1004,B229,'Linii ofertă'!$J$5:$J$1004))</f>
        <v/>
      </c>
      <c r="Q229" s="25" t="str">
        <f>IF(B229="","",SUMIF('Linii ofertă'!$B$5:$B$1004,B229,'Linii ofertă'!$M$5:$M$1004))</f>
        <v/>
      </c>
      <c r="R229" s="26" t="str">
        <f>IF(OR(B229="",N(P229)=0),"",SUMIF('Linii ofertă'!$B$5:$B$1004,B229,'Linii ofertă'!$P$5:$P$1004)/P229)</f>
        <v/>
      </c>
      <c r="S229" s="27" t="str">
        <f t="shared" ca="1" si="7"/>
        <v/>
      </c>
      <c r="T229" s="28" t="str">
        <f>IF(B229="","",TRIM(IF(COUNTIF($B$5:$B$504,B229)&gt;1,"Număr dublat. ","")&amp;IF(N(P229)=0,"Oferta nu are linii. ","")&amp;IF(M229="","Completează ce NU include oferta. ","")&amp;IF(AND(ISNUMBER(R229),R229&lt;MarjaMin),"Marjă totală sub minim. ","")&amp;IF(COUNTIFS('Linii ofertă'!$B$5:$B$1004,B229,'Linii ofertă'!$R$5:$R$1004,"Marjă*")&gt;0,"Are linii cu marjă sub minim. ","")&amp;IF(AND(S229="Expirată"),"Valabilitatea a expirat: reconfirmă prețurile. ","")))</f>
        <v/>
      </c>
    </row>
    <row r="230" spans="2:20" x14ac:dyDescent="0.2">
      <c r="B230" s="20"/>
      <c r="C230" s="21"/>
      <c r="D230" s="22"/>
      <c r="E230" s="22"/>
      <c r="F230" s="22"/>
      <c r="G230" s="20"/>
      <c r="H230" s="23" t="str">
        <f t="shared" si="6"/>
        <v/>
      </c>
      <c r="I230" s="22"/>
      <c r="J230" s="22"/>
      <c r="K230" s="24"/>
      <c r="L230" s="22"/>
      <c r="M230" s="22"/>
      <c r="N230" s="20"/>
      <c r="O230" s="21"/>
      <c r="P230" s="25" t="str">
        <f>IF(B230="","",SUMIF('Linii ofertă'!$B$5:$B$1004,B230,'Linii ofertă'!$J$5:$J$1004))</f>
        <v/>
      </c>
      <c r="Q230" s="25" t="str">
        <f>IF(B230="","",SUMIF('Linii ofertă'!$B$5:$B$1004,B230,'Linii ofertă'!$M$5:$M$1004))</f>
        <v/>
      </c>
      <c r="R230" s="26" t="str">
        <f>IF(OR(B230="",N(P230)=0),"",SUMIF('Linii ofertă'!$B$5:$B$1004,B230,'Linii ofertă'!$P$5:$P$1004)/P230)</f>
        <v/>
      </c>
      <c r="S230" s="27" t="str">
        <f t="shared" ca="1" si="7"/>
        <v/>
      </c>
      <c r="T230" s="28" t="str">
        <f>IF(B230="","",TRIM(IF(COUNTIF($B$5:$B$504,B230)&gt;1,"Număr dublat. ","")&amp;IF(N(P230)=0,"Oferta nu are linii. ","")&amp;IF(M230="","Completează ce NU include oferta. ","")&amp;IF(AND(ISNUMBER(R230),R230&lt;MarjaMin),"Marjă totală sub minim. ","")&amp;IF(COUNTIFS('Linii ofertă'!$B$5:$B$1004,B230,'Linii ofertă'!$R$5:$R$1004,"Marjă*")&gt;0,"Are linii cu marjă sub minim. ","")&amp;IF(AND(S230="Expirată"),"Valabilitatea a expirat: reconfirmă prețurile. ","")))</f>
        <v/>
      </c>
    </row>
    <row r="231" spans="2:20" x14ac:dyDescent="0.2">
      <c r="B231" s="20"/>
      <c r="C231" s="21"/>
      <c r="D231" s="22"/>
      <c r="E231" s="22"/>
      <c r="F231" s="22"/>
      <c r="G231" s="20"/>
      <c r="H231" s="23" t="str">
        <f t="shared" si="6"/>
        <v/>
      </c>
      <c r="I231" s="22"/>
      <c r="J231" s="22"/>
      <c r="K231" s="24"/>
      <c r="L231" s="22"/>
      <c r="M231" s="22"/>
      <c r="N231" s="20"/>
      <c r="O231" s="21"/>
      <c r="P231" s="25" t="str">
        <f>IF(B231="","",SUMIF('Linii ofertă'!$B$5:$B$1004,B231,'Linii ofertă'!$J$5:$J$1004))</f>
        <v/>
      </c>
      <c r="Q231" s="25" t="str">
        <f>IF(B231="","",SUMIF('Linii ofertă'!$B$5:$B$1004,B231,'Linii ofertă'!$M$5:$M$1004))</f>
        <v/>
      </c>
      <c r="R231" s="26" t="str">
        <f>IF(OR(B231="",N(P231)=0),"",SUMIF('Linii ofertă'!$B$5:$B$1004,B231,'Linii ofertă'!$P$5:$P$1004)/P231)</f>
        <v/>
      </c>
      <c r="S231" s="27" t="str">
        <f t="shared" ca="1" si="7"/>
        <v/>
      </c>
      <c r="T231" s="28" t="str">
        <f>IF(B231="","",TRIM(IF(COUNTIF($B$5:$B$504,B231)&gt;1,"Număr dublat. ","")&amp;IF(N(P231)=0,"Oferta nu are linii. ","")&amp;IF(M231="","Completează ce NU include oferta. ","")&amp;IF(AND(ISNUMBER(R231),R231&lt;MarjaMin),"Marjă totală sub minim. ","")&amp;IF(COUNTIFS('Linii ofertă'!$B$5:$B$1004,B231,'Linii ofertă'!$R$5:$R$1004,"Marjă*")&gt;0,"Are linii cu marjă sub minim. ","")&amp;IF(AND(S231="Expirată"),"Valabilitatea a expirat: reconfirmă prețurile. ","")))</f>
        <v/>
      </c>
    </row>
    <row r="232" spans="2:20" x14ac:dyDescent="0.2">
      <c r="B232" s="20"/>
      <c r="C232" s="21"/>
      <c r="D232" s="22"/>
      <c r="E232" s="22"/>
      <c r="F232" s="22"/>
      <c r="G232" s="20"/>
      <c r="H232" s="23" t="str">
        <f t="shared" si="6"/>
        <v/>
      </c>
      <c r="I232" s="22"/>
      <c r="J232" s="22"/>
      <c r="K232" s="24"/>
      <c r="L232" s="22"/>
      <c r="M232" s="22"/>
      <c r="N232" s="20"/>
      <c r="O232" s="21"/>
      <c r="P232" s="25" t="str">
        <f>IF(B232="","",SUMIF('Linii ofertă'!$B$5:$B$1004,B232,'Linii ofertă'!$J$5:$J$1004))</f>
        <v/>
      </c>
      <c r="Q232" s="25" t="str">
        <f>IF(B232="","",SUMIF('Linii ofertă'!$B$5:$B$1004,B232,'Linii ofertă'!$M$5:$M$1004))</f>
        <v/>
      </c>
      <c r="R232" s="26" t="str">
        <f>IF(OR(B232="",N(P232)=0),"",SUMIF('Linii ofertă'!$B$5:$B$1004,B232,'Linii ofertă'!$P$5:$P$1004)/P232)</f>
        <v/>
      </c>
      <c r="S232" s="27" t="str">
        <f t="shared" ca="1" si="7"/>
        <v/>
      </c>
      <c r="T232" s="28" t="str">
        <f>IF(B232="","",TRIM(IF(COUNTIF($B$5:$B$504,B232)&gt;1,"Număr dublat. ","")&amp;IF(N(P232)=0,"Oferta nu are linii. ","")&amp;IF(M232="","Completează ce NU include oferta. ","")&amp;IF(AND(ISNUMBER(R232),R232&lt;MarjaMin),"Marjă totală sub minim. ","")&amp;IF(COUNTIFS('Linii ofertă'!$B$5:$B$1004,B232,'Linii ofertă'!$R$5:$R$1004,"Marjă*")&gt;0,"Are linii cu marjă sub minim. ","")&amp;IF(AND(S232="Expirată"),"Valabilitatea a expirat: reconfirmă prețurile. ","")))</f>
        <v/>
      </c>
    </row>
    <row r="233" spans="2:20" x14ac:dyDescent="0.2">
      <c r="B233" s="20"/>
      <c r="C233" s="21"/>
      <c r="D233" s="22"/>
      <c r="E233" s="22"/>
      <c r="F233" s="22"/>
      <c r="G233" s="20"/>
      <c r="H233" s="23" t="str">
        <f t="shared" si="6"/>
        <v/>
      </c>
      <c r="I233" s="22"/>
      <c r="J233" s="22"/>
      <c r="K233" s="24"/>
      <c r="L233" s="22"/>
      <c r="M233" s="22"/>
      <c r="N233" s="20"/>
      <c r="O233" s="21"/>
      <c r="P233" s="25" t="str">
        <f>IF(B233="","",SUMIF('Linii ofertă'!$B$5:$B$1004,B233,'Linii ofertă'!$J$5:$J$1004))</f>
        <v/>
      </c>
      <c r="Q233" s="25" t="str">
        <f>IF(B233="","",SUMIF('Linii ofertă'!$B$5:$B$1004,B233,'Linii ofertă'!$M$5:$M$1004))</f>
        <v/>
      </c>
      <c r="R233" s="26" t="str">
        <f>IF(OR(B233="",N(P233)=0),"",SUMIF('Linii ofertă'!$B$5:$B$1004,B233,'Linii ofertă'!$P$5:$P$1004)/P233)</f>
        <v/>
      </c>
      <c r="S233" s="27" t="str">
        <f t="shared" ca="1" si="7"/>
        <v/>
      </c>
      <c r="T233" s="28" t="str">
        <f>IF(B233="","",TRIM(IF(COUNTIF($B$5:$B$504,B233)&gt;1,"Număr dublat. ","")&amp;IF(N(P233)=0,"Oferta nu are linii. ","")&amp;IF(M233="","Completează ce NU include oferta. ","")&amp;IF(AND(ISNUMBER(R233),R233&lt;MarjaMin),"Marjă totală sub minim. ","")&amp;IF(COUNTIFS('Linii ofertă'!$B$5:$B$1004,B233,'Linii ofertă'!$R$5:$R$1004,"Marjă*")&gt;0,"Are linii cu marjă sub minim. ","")&amp;IF(AND(S233="Expirată"),"Valabilitatea a expirat: reconfirmă prețurile. ","")))</f>
        <v/>
      </c>
    </row>
    <row r="234" spans="2:20" x14ac:dyDescent="0.2">
      <c r="B234" s="20"/>
      <c r="C234" s="21"/>
      <c r="D234" s="22"/>
      <c r="E234" s="22"/>
      <c r="F234" s="22"/>
      <c r="G234" s="20"/>
      <c r="H234" s="23" t="str">
        <f t="shared" si="6"/>
        <v/>
      </c>
      <c r="I234" s="22"/>
      <c r="J234" s="22"/>
      <c r="K234" s="24"/>
      <c r="L234" s="22"/>
      <c r="M234" s="22"/>
      <c r="N234" s="20"/>
      <c r="O234" s="21"/>
      <c r="P234" s="25" t="str">
        <f>IF(B234="","",SUMIF('Linii ofertă'!$B$5:$B$1004,B234,'Linii ofertă'!$J$5:$J$1004))</f>
        <v/>
      </c>
      <c r="Q234" s="25" t="str">
        <f>IF(B234="","",SUMIF('Linii ofertă'!$B$5:$B$1004,B234,'Linii ofertă'!$M$5:$M$1004))</f>
        <v/>
      </c>
      <c r="R234" s="26" t="str">
        <f>IF(OR(B234="",N(P234)=0),"",SUMIF('Linii ofertă'!$B$5:$B$1004,B234,'Linii ofertă'!$P$5:$P$1004)/P234)</f>
        <v/>
      </c>
      <c r="S234" s="27" t="str">
        <f t="shared" ca="1" si="7"/>
        <v/>
      </c>
      <c r="T234" s="28" t="str">
        <f>IF(B234="","",TRIM(IF(COUNTIF($B$5:$B$504,B234)&gt;1,"Număr dublat. ","")&amp;IF(N(P234)=0,"Oferta nu are linii. ","")&amp;IF(M234="","Completează ce NU include oferta. ","")&amp;IF(AND(ISNUMBER(R234),R234&lt;MarjaMin),"Marjă totală sub minim. ","")&amp;IF(COUNTIFS('Linii ofertă'!$B$5:$B$1004,B234,'Linii ofertă'!$R$5:$R$1004,"Marjă*")&gt;0,"Are linii cu marjă sub minim. ","")&amp;IF(AND(S234="Expirată"),"Valabilitatea a expirat: reconfirmă prețurile. ","")))</f>
        <v/>
      </c>
    </row>
    <row r="235" spans="2:20" x14ac:dyDescent="0.2">
      <c r="B235" s="20"/>
      <c r="C235" s="21"/>
      <c r="D235" s="22"/>
      <c r="E235" s="22"/>
      <c r="F235" s="22"/>
      <c r="G235" s="20"/>
      <c r="H235" s="23" t="str">
        <f t="shared" si="6"/>
        <v/>
      </c>
      <c r="I235" s="22"/>
      <c r="J235" s="22"/>
      <c r="K235" s="24"/>
      <c r="L235" s="22"/>
      <c r="M235" s="22"/>
      <c r="N235" s="20"/>
      <c r="O235" s="21"/>
      <c r="P235" s="25" t="str">
        <f>IF(B235="","",SUMIF('Linii ofertă'!$B$5:$B$1004,B235,'Linii ofertă'!$J$5:$J$1004))</f>
        <v/>
      </c>
      <c r="Q235" s="25" t="str">
        <f>IF(B235="","",SUMIF('Linii ofertă'!$B$5:$B$1004,B235,'Linii ofertă'!$M$5:$M$1004))</f>
        <v/>
      </c>
      <c r="R235" s="26" t="str">
        <f>IF(OR(B235="",N(P235)=0),"",SUMIF('Linii ofertă'!$B$5:$B$1004,B235,'Linii ofertă'!$P$5:$P$1004)/P235)</f>
        <v/>
      </c>
      <c r="S235" s="27" t="str">
        <f t="shared" ca="1" si="7"/>
        <v/>
      </c>
      <c r="T235" s="28" t="str">
        <f>IF(B235="","",TRIM(IF(COUNTIF($B$5:$B$504,B235)&gt;1,"Număr dublat. ","")&amp;IF(N(P235)=0,"Oferta nu are linii. ","")&amp;IF(M235="","Completează ce NU include oferta. ","")&amp;IF(AND(ISNUMBER(R235),R235&lt;MarjaMin),"Marjă totală sub minim. ","")&amp;IF(COUNTIFS('Linii ofertă'!$B$5:$B$1004,B235,'Linii ofertă'!$R$5:$R$1004,"Marjă*")&gt;0,"Are linii cu marjă sub minim. ","")&amp;IF(AND(S235="Expirată"),"Valabilitatea a expirat: reconfirmă prețurile. ","")))</f>
        <v/>
      </c>
    </row>
    <row r="236" spans="2:20" x14ac:dyDescent="0.2">
      <c r="B236" s="20"/>
      <c r="C236" s="21"/>
      <c r="D236" s="22"/>
      <c r="E236" s="22"/>
      <c r="F236" s="22"/>
      <c r="G236" s="20"/>
      <c r="H236" s="23" t="str">
        <f t="shared" si="6"/>
        <v/>
      </c>
      <c r="I236" s="22"/>
      <c r="J236" s="22"/>
      <c r="K236" s="24"/>
      <c r="L236" s="22"/>
      <c r="M236" s="22"/>
      <c r="N236" s="20"/>
      <c r="O236" s="21"/>
      <c r="P236" s="25" t="str">
        <f>IF(B236="","",SUMIF('Linii ofertă'!$B$5:$B$1004,B236,'Linii ofertă'!$J$5:$J$1004))</f>
        <v/>
      </c>
      <c r="Q236" s="25" t="str">
        <f>IF(B236="","",SUMIF('Linii ofertă'!$B$5:$B$1004,B236,'Linii ofertă'!$M$5:$M$1004))</f>
        <v/>
      </c>
      <c r="R236" s="26" t="str">
        <f>IF(OR(B236="",N(P236)=0),"",SUMIF('Linii ofertă'!$B$5:$B$1004,B236,'Linii ofertă'!$P$5:$P$1004)/P236)</f>
        <v/>
      </c>
      <c r="S236" s="27" t="str">
        <f t="shared" ca="1" si="7"/>
        <v/>
      </c>
      <c r="T236" s="28" t="str">
        <f>IF(B236="","",TRIM(IF(COUNTIF($B$5:$B$504,B236)&gt;1,"Număr dublat. ","")&amp;IF(N(P236)=0,"Oferta nu are linii. ","")&amp;IF(M236="","Completează ce NU include oferta. ","")&amp;IF(AND(ISNUMBER(R236),R236&lt;MarjaMin),"Marjă totală sub minim. ","")&amp;IF(COUNTIFS('Linii ofertă'!$B$5:$B$1004,B236,'Linii ofertă'!$R$5:$R$1004,"Marjă*")&gt;0,"Are linii cu marjă sub minim. ","")&amp;IF(AND(S236="Expirată"),"Valabilitatea a expirat: reconfirmă prețurile. ","")))</f>
        <v/>
      </c>
    </row>
    <row r="237" spans="2:20" x14ac:dyDescent="0.2">
      <c r="B237" s="20"/>
      <c r="C237" s="21"/>
      <c r="D237" s="22"/>
      <c r="E237" s="22"/>
      <c r="F237" s="22"/>
      <c r="G237" s="20"/>
      <c r="H237" s="23" t="str">
        <f t="shared" si="6"/>
        <v/>
      </c>
      <c r="I237" s="22"/>
      <c r="J237" s="22"/>
      <c r="K237" s="24"/>
      <c r="L237" s="22"/>
      <c r="M237" s="22"/>
      <c r="N237" s="20"/>
      <c r="O237" s="21"/>
      <c r="P237" s="25" t="str">
        <f>IF(B237="","",SUMIF('Linii ofertă'!$B$5:$B$1004,B237,'Linii ofertă'!$J$5:$J$1004))</f>
        <v/>
      </c>
      <c r="Q237" s="25" t="str">
        <f>IF(B237="","",SUMIF('Linii ofertă'!$B$5:$B$1004,B237,'Linii ofertă'!$M$5:$M$1004))</f>
        <v/>
      </c>
      <c r="R237" s="26" t="str">
        <f>IF(OR(B237="",N(P237)=0),"",SUMIF('Linii ofertă'!$B$5:$B$1004,B237,'Linii ofertă'!$P$5:$P$1004)/P237)</f>
        <v/>
      </c>
      <c r="S237" s="27" t="str">
        <f t="shared" ca="1" si="7"/>
        <v/>
      </c>
      <c r="T237" s="28" t="str">
        <f>IF(B237="","",TRIM(IF(COUNTIF($B$5:$B$504,B237)&gt;1,"Număr dublat. ","")&amp;IF(N(P237)=0,"Oferta nu are linii. ","")&amp;IF(M237="","Completează ce NU include oferta. ","")&amp;IF(AND(ISNUMBER(R237),R237&lt;MarjaMin),"Marjă totală sub minim. ","")&amp;IF(COUNTIFS('Linii ofertă'!$B$5:$B$1004,B237,'Linii ofertă'!$R$5:$R$1004,"Marjă*")&gt;0,"Are linii cu marjă sub minim. ","")&amp;IF(AND(S237="Expirată"),"Valabilitatea a expirat: reconfirmă prețurile. ","")))</f>
        <v/>
      </c>
    </row>
    <row r="238" spans="2:20" x14ac:dyDescent="0.2">
      <c r="B238" s="20"/>
      <c r="C238" s="21"/>
      <c r="D238" s="22"/>
      <c r="E238" s="22"/>
      <c r="F238" s="22"/>
      <c r="G238" s="20"/>
      <c r="H238" s="23" t="str">
        <f t="shared" si="6"/>
        <v/>
      </c>
      <c r="I238" s="22"/>
      <c r="J238" s="22"/>
      <c r="K238" s="24"/>
      <c r="L238" s="22"/>
      <c r="M238" s="22"/>
      <c r="N238" s="20"/>
      <c r="O238" s="21"/>
      <c r="P238" s="25" t="str">
        <f>IF(B238="","",SUMIF('Linii ofertă'!$B$5:$B$1004,B238,'Linii ofertă'!$J$5:$J$1004))</f>
        <v/>
      </c>
      <c r="Q238" s="25" t="str">
        <f>IF(B238="","",SUMIF('Linii ofertă'!$B$5:$B$1004,B238,'Linii ofertă'!$M$5:$M$1004))</f>
        <v/>
      </c>
      <c r="R238" s="26" t="str">
        <f>IF(OR(B238="",N(P238)=0),"",SUMIF('Linii ofertă'!$B$5:$B$1004,B238,'Linii ofertă'!$P$5:$P$1004)/P238)</f>
        <v/>
      </c>
      <c r="S238" s="27" t="str">
        <f t="shared" ca="1" si="7"/>
        <v/>
      </c>
      <c r="T238" s="28" t="str">
        <f>IF(B238="","",TRIM(IF(COUNTIF($B$5:$B$504,B238)&gt;1,"Număr dublat. ","")&amp;IF(N(P238)=0,"Oferta nu are linii. ","")&amp;IF(M238="","Completează ce NU include oferta. ","")&amp;IF(AND(ISNUMBER(R238),R238&lt;MarjaMin),"Marjă totală sub minim. ","")&amp;IF(COUNTIFS('Linii ofertă'!$B$5:$B$1004,B238,'Linii ofertă'!$R$5:$R$1004,"Marjă*")&gt;0,"Are linii cu marjă sub minim. ","")&amp;IF(AND(S238="Expirată"),"Valabilitatea a expirat: reconfirmă prețurile. ","")))</f>
        <v/>
      </c>
    </row>
    <row r="239" spans="2:20" x14ac:dyDescent="0.2">
      <c r="B239" s="20"/>
      <c r="C239" s="21"/>
      <c r="D239" s="22"/>
      <c r="E239" s="22"/>
      <c r="F239" s="22"/>
      <c r="G239" s="20"/>
      <c r="H239" s="23" t="str">
        <f t="shared" si="6"/>
        <v/>
      </c>
      <c r="I239" s="22"/>
      <c r="J239" s="22"/>
      <c r="K239" s="24"/>
      <c r="L239" s="22"/>
      <c r="M239" s="22"/>
      <c r="N239" s="20"/>
      <c r="O239" s="21"/>
      <c r="P239" s="25" t="str">
        <f>IF(B239="","",SUMIF('Linii ofertă'!$B$5:$B$1004,B239,'Linii ofertă'!$J$5:$J$1004))</f>
        <v/>
      </c>
      <c r="Q239" s="25" t="str">
        <f>IF(B239="","",SUMIF('Linii ofertă'!$B$5:$B$1004,B239,'Linii ofertă'!$M$5:$M$1004))</f>
        <v/>
      </c>
      <c r="R239" s="26" t="str">
        <f>IF(OR(B239="",N(P239)=0),"",SUMIF('Linii ofertă'!$B$5:$B$1004,B239,'Linii ofertă'!$P$5:$P$1004)/P239)</f>
        <v/>
      </c>
      <c r="S239" s="27" t="str">
        <f t="shared" ca="1" si="7"/>
        <v/>
      </c>
      <c r="T239" s="28" t="str">
        <f>IF(B239="","",TRIM(IF(COUNTIF($B$5:$B$504,B239)&gt;1,"Număr dublat. ","")&amp;IF(N(P239)=0,"Oferta nu are linii. ","")&amp;IF(M239="","Completează ce NU include oferta. ","")&amp;IF(AND(ISNUMBER(R239),R239&lt;MarjaMin),"Marjă totală sub minim. ","")&amp;IF(COUNTIFS('Linii ofertă'!$B$5:$B$1004,B239,'Linii ofertă'!$R$5:$R$1004,"Marjă*")&gt;0,"Are linii cu marjă sub minim. ","")&amp;IF(AND(S239="Expirată"),"Valabilitatea a expirat: reconfirmă prețurile. ","")))</f>
        <v/>
      </c>
    </row>
    <row r="240" spans="2:20" x14ac:dyDescent="0.2">
      <c r="B240" s="20"/>
      <c r="C240" s="21"/>
      <c r="D240" s="22"/>
      <c r="E240" s="22"/>
      <c r="F240" s="22"/>
      <c r="G240" s="20"/>
      <c r="H240" s="23" t="str">
        <f t="shared" si="6"/>
        <v/>
      </c>
      <c r="I240" s="22"/>
      <c r="J240" s="22"/>
      <c r="K240" s="24"/>
      <c r="L240" s="22"/>
      <c r="M240" s="22"/>
      <c r="N240" s="20"/>
      <c r="O240" s="21"/>
      <c r="P240" s="25" t="str">
        <f>IF(B240="","",SUMIF('Linii ofertă'!$B$5:$B$1004,B240,'Linii ofertă'!$J$5:$J$1004))</f>
        <v/>
      </c>
      <c r="Q240" s="25" t="str">
        <f>IF(B240="","",SUMIF('Linii ofertă'!$B$5:$B$1004,B240,'Linii ofertă'!$M$5:$M$1004))</f>
        <v/>
      </c>
      <c r="R240" s="26" t="str">
        <f>IF(OR(B240="",N(P240)=0),"",SUMIF('Linii ofertă'!$B$5:$B$1004,B240,'Linii ofertă'!$P$5:$P$1004)/P240)</f>
        <v/>
      </c>
      <c r="S240" s="27" t="str">
        <f t="shared" ca="1" si="7"/>
        <v/>
      </c>
      <c r="T240" s="28" t="str">
        <f>IF(B240="","",TRIM(IF(COUNTIF($B$5:$B$504,B240)&gt;1,"Număr dublat. ","")&amp;IF(N(P240)=0,"Oferta nu are linii. ","")&amp;IF(M240="","Completează ce NU include oferta. ","")&amp;IF(AND(ISNUMBER(R240),R240&lt;MarjaMin),"Marjă totală sub minim. ","")&amp;IF(COUNTIFS('Linii ofertă'!$B$5:$B$1004,B240,'Linii ofertă'!$R$5:$R$1004,"Marjă*")&gt;0,"Are linii cu marjă sub minim. ","")&amp;IF(AND(S240="Expirată"),"Valabilitatea a expirat: reconfirmă prețurile. ","")))</f>
        <v/>
      </c>
    </row>
    <row r="241" spans="2:20" x14ac:dyDescent="0.2">
      <c r="B241" s="20"/>
      <c r="C241" s="21"/>
      <c r="D241" s="22"/>
      <c r="E241" s="22"/>
      <c r="F241" s="22"/>
      <c r="G241" s="20"/>
      <c r="H241" s="23" t="str">
        <f t="shared" si="6"/>
        <v/>
      </c>
      <c r="I241" s="22"/>
      <c r="J241" s="22"/>
      <c r="K241" s="24"/>
      <c r="L241" s="22"/>
      <c r="M241" s="22"/>
      <c r="N241" s="20"/>
      <c r="O241" s="21"/>
      <c r="P241" s="25" t="str">
        <f>IF(B241="","",SUMIF('Linii ofertă'!$B$5:$B$1004,B241,'Linii ofertă'!$J$5:$J$1004))</f>
        <v/>
      </c>
      <c r="Q241" s="25" t="str">
        <f>IF(B241="","",SUMIF('Linii ofertă'!$B$5:$B$1004,B241,'Linii ofertă'!$M$5:$M$1004))</f>
        <v/>
      </c>
      <c r="R241" s="26" t="str">
        <f>IF(OR(B241="",N(P241)=0),"",SUMIF('Linii ofertă'!$B$5:$B$1004,B241,'Linii ofertă'!$P$5:$P$1004)/P241)</f>
        <v/>
      </c>
      <c r="S241" s="27" t="str">
        <f t="shared" ca="1" si="7"/>
        <v/>
      </c>
      <c r="T241" s="28" t="str">
        <f>IF(B241="","",TRIM(IF(COUNTIF($B$5:$B$504,B241)&gt;1,"Număr dublat. ","")&amp;IF(N(P241)=0,"Oferta nu are linii. ","")&amp;IF(M241="","Completează ce NU include oferta. ","")&amp;IF(AND(ISNUMBER(R241),R241&lt;MarjaMin),"Marjă totală sub minim. ","")&amp;IF(COUNTIFS('Linii ofertă'!$B$5:$B$1004,B241,'Linii ofertă'!$R$5:$R$1004,"Marjă*")&gt;0,"Are linii cu marjă sub minim. ","")&amp;IF(AND(S241="Expirată"),"Valabilitatea a expirat: reconfirmă prețurile. ","")))</f>
        <v/>
      </c>
    </row>
    <row r="242" spans="2:20" x14ac:dyDescent="0.2">
      <c r="B242" s="20"/>
      <c r="C242" s="21"/>
      <c r="D242" s="22"/>
      <c r="E242" s="22"/>
      <c r="F242" s="22"/>
      <c r="G242" s="20"/>
      <c r="H242" s="23" t="str">
        <f t="shared" si="6"/>
        <v/>
      </c>
      <c r="I242" s="22"/>
      <c r="J242" s="22"/>
      <c r="K242" s="24"/>
      <c r="L242" s="22"/>
      <c r="M242" s="22"/>
      <c r="N242" s="20"/>
      <c r="O242" s="21"/>
      <c r="P242" s="25" t="str">
        <f>IF(B242="","",SUMIF('Linii ofertă'!$B$5:$B$1004,B242,'Linii ofertă'!$J$5:$J$1004))</f>
        <v/>
      </c>
      <c r="Q242" s="25" t="str">
        <f>IF(B242="","",SUMIF('Linii ofertă'!$B$5:$B$1004,B242,'Linii ofertă'!$M$5:$M$1004))</f>
        <v/>
      </c>
      <c r="R242" s="26" t="str">
        <f>IF(OR(B242="",N(P242)=0),"",SUMIF('Linii ofertă'!$B$5:$B$1004,B242,'Linii ofertă'!$P$5:$P$1004)/P242)</f>
        <v/>
      </c>
      <c r="S242" s="27" t="str">
        <f t="shared" ca="1" si="7"/>
        <v/>
      </c>
      <c r="T242" s="28" t="str">
        <f>IF(B242="","",TRIM(IF(COUNTIF($B$5:$B$504,B242)&gt;1,"Număr dublat. ","")&amp;IF(N(P242)=0,"Oferta nu are linii. ","")&amp;IF(M242="","Completează ce NU include oferta. ","")&amp;IF(AND(ISNUMBER(R242),R242&lt;MarjaMin),"Marjă totală sub minim. ","")&amp;IF(COUNTIFS('Linii ofertă'!$B$5:$B$1004,B242,'Linii ofertă'!$R$5:$R$1004,"Marjă*")&gt;0,"Are linii cu marjă sub minim. ","")&amp;IF(AND(S242="Expirată"),"Valabilitatea a expirat: reconfirmă prețurile. ","")))</f>
        <v/>
      </c>
    </row>
    <row r="243" spans="2:20" x14ac:dyDescent="0.2">
      <c r="B243" s="20"/>
      <c r="C243" s="21"/>
      <c r="D243" s="22"/>
      <c r="E243" s="22"/>
      <c r="F243" s="22"/>
      <c r="G243" s="20"/>
      <c r="H243" s="23" t="str">
        <f t="shared" si="6"/>
        <v/>
      </c>
      <c r="I243" s="22"/>
      <c r="J243" s="22"/>
      <c r="K243" s="24"/>
      <c r="L243" s="22"/>
      <c r="M243" s="22"/>
      <c r="N243" s="20"/>
      <c r="O243" s="21"/>
      <c r="P243" s="25" t="str">
        <f>IF(B243="","",SUMIF('Linii ofertă'!$B$5:$B$1004,B243,'Linii ofertă'!$J$5:$J$1004))</f>
        <v/>
      </c>
      <c r="Q243" s="25" t="str">
        <f>IF(B243="","",SUMIF('Linii ofertă'!$B$5:$B$1004,B243,'Linii ofertă'!$M$5:$M$1004))</f>
        <v/>
      </c>
      <c r="R243" s="26" t="str">
        <f>IF(OR(B243="",N(P243)=0),"",SUMIF('Linii ofertă'!$B$5:$B$1004,B243,'Linii ofertă'!$P$5:$P$1004)/P243)</f>
        <v/>
      </c>
      <c r="S243" s="27" t="str">
        <f t="shared" ca="1" si="7"/>
        <v/>
      </c>
      <c r="T243" s="28" t="str">
        <f>IF(B243="","",TRIM(IF(COUNTIF($B$5:$B$504,B243)&gt;1,"Număr dublat. ","")&amp;IF(N(P243)=0,"Oferta nu are linii. ","")&amp;IF(M243="","Completează ce NU include oferta. ","")&amp;IF(AND(ISNUMBER(R243),R243&lt;MarjaMin),"Marjă totală sub minim. ","")&amp;IF(COUNTIFS('Linii ofertă'!$B$5:$B$1004,B243,'Linii ofertă'!$R$5:$R$1004,"Marjă*")&gt;0,"Are linii cu marjă sub minim. ","")&amp;IF(AND(S243="Expirată"),"Valabilitatea a expirat: reconfirmă prețurile. ","")))</f>
        <v/>
      </c>
    </row>
    <row r="244" spans="2:20" x14ac:dyDescent="0.2">
      <c r="B244" s="20"/>
      <c r="C244" s="21"/>
      <c r="D244" s="22"/>
      <c r="E244" s="22"/>
      <c r="F244" s="22"/>
      <c r="G244" s="20"/>
      <c r="H244" s="23" t="str">
        <f t="shared" si="6"/>
        <v/>
      </c>
      <c r="I244" s="22"/>
      <c r="J244" s="22"/>
      <c r="K244" s="24"/>
      <c r="L244" s="22"/>
      <c r="M244" s="22"/>
      <c r="N244" s="20"/>
      <c r="O244" s="21"/>
      <c r="P244" s="25" t="str">
        <f>IF(B244="","",SUMIF('Linii ofertă'!$B$5:$B$1004,B244,'Linii ofertă'!$J$5:$J$1004))</f>
        <v/>
      </c>
      <c r="Q244" s="25" t="str">
        <f>IF(B244="","",SUMIF('Linii ofertă'!$B$5:$B$1004,B244,'Linii ofertă'!$M$5:$M$1004))</f>
        <v/>
      </c>
      <c r="R244" s="26" t="str">
        <f>IF(OR(B244="",N(P244)=0),"",SUMIF('Linii ofertă'!$B$5:$B$1004,B244,'Linii ofertă'!$P$5:$P$1004)/P244)</f>
        <v/>
      </c>
      <c r="S244" s="27" t="str">
        <f t="shared" ca="1" si="7"/>
        <v/>
      </c>
      <c r="T244" s="28" t="str">
        <f>IF(B244="","",TRIM(IF(COUNTIF($B$5:$B$504,B244)&gt;1,"Număr dublat. ","")&amp;IF(N(P244)=0,"Oferta nu are linii. ","")&amp;IF(M244="","Completează ce NU include oferta. ","")&amp;IF(AND(ISNUMBER(R244),R244&lt;MarjaMin),"Marjă totală sub minim. ","")&amp;IF(COUNTIFS('Linii ofertă'!$B$5:$B$1004,B244,'Linii ofertă'!$R$5:$R$1004,"Marjă*")&gt;0,"Are linii cu marjă sub minim. ","")&amp;IF(AND(S244="Expirată"),"Valabilitatea a expirat: reconfirmă prețurile. ","")))</f>
        <v/>
      </c>
    </row>
    <row r="245" spans="2:20" x14ac:dyDescent="0.2">
      <c r="B245" s="20"/>
      <c r="C245" s="21"/>
      <c r="D245" s="22"/>
      <c r="E245" s="22"/>
      <c r="F245" s="22"/>
      <c r="G245" s="20"/>
      <c r="H245" s="23" t="str">
        <f t="shared" si="6"/>
        <v/>
      </c>
      <c r="I245" s="22"/>
      <c r="J245" s="22"/>
      <c r="K245" s="24"/>
      <c r="L245" s="22"/>
      <c r="M245" s="22"/>
      <c r="N245" s="20"/>
      <c r="O245" s="21"/>
      <c r="P245" s="25" t="str">
        <f>IF(B245="","",SUMIF('Linii ofertă'!$B$5:$B$1004,B245,'Linii ofertă'!$J$5:$J$1004))</f>
        <v/>
      </c>
      <c r="Q245" s="25" t="str">
        <f>IF(B245="","",SUMIF('Linii ofertă'!$B$5:$B$1004,B245,'Linii ofertă'!$M$5:$M$1004))</f>
        <v/>
      </c>
      <c r="R245" s="26" t="str">
        <f>IF(OR(B245="",N(P245)=0),"",SUMIF('Linii ofertă'!$B$5:$B$1004,B245,'Linii ofertă'!$P$5:$P$1004)/P245)</f>
        <v/>
      </c>
      <c r="S245" s="27" t="str">
        <f t="shared" ca="1" si="7"/>
        <v/>
      </c>
      <c r="T245" s="28" t="str">
        <f>IF(B245="","",TRIM(IF(COUNTIF($B$5:$B$504,B245)&gt;1,"Număr dublat. ","")&amp;IF(N(P245)=0,"Oferta nu are linii. ","")&amp;IF(M245="","Completează ce NU include oferta. ","")&amp;IF(AND(ISNUMBER(R245),R245&lt;MarjaMin),"Marjă totală sub minim. ","")&amp;IF(COUNTIFS('Linii ofertă'!$B$5:$B$1004,B245,'Linii ofertă'!$R$5:$R$1004,"Marjă*")&gt;0,"Are linii cu marjă sub minim. ","")&amp;IF(AND(S245="Expirată"),"Valabilitatea a expirat: reconfirmă prețurile. ","")))</f>
        <v/>
      </c>
    </row>
    <row r="246" spans="2:20" x14ac:dyDescent="0.2">
      <c r="B246" s="20"/>
      <c r="C246" s="21"/>
      <c r="D246" s="22"/>
      <c r="E246" s="22"/>
      <c r="F246" s="22"/>
      <c r="G246" s="20"/>
      <c r="H246" s="23" t="str">
        <f t="shared" si="6"/>
        <v/>
      </c>
      <c r="I246" s="22"/>
      <c r="J246" s="22"/>
      <c r="K246" s="24"/>
      <c r="L246" s="22"/>
      <c r="M246" s="22"/>
      <c r="N246" s="20"/>
      <c r="O246" s="21"/>
      <c r="P246" s="25" t="str">
        <f>IF(B246="","",SUMIF('Linii ofertă'!$B$5:$B$1004,B246,'Linii ofertă'!$J$5:$J$1004))</f>
        <v/>
      </c>
      <c r="Q246" s="25" t="str">
        <f>IF(B246="","",SUMIF('Linii ofertă'!$B$5:$B$1004,B246,'Linii ofertă'!$M$5:$M$1004))</f>
        <v/>
      </c>
      <c r="R246" s="26" t="str">
        <f>IF(OR(B246="",N(P246)=0),"",SUMIF('Linii ofertă'!$B$5:$B$1004,B246,'Linii ofertă'!$P$5:$P$1004)/P246)</f>
        <v/>
      </c>
      <c r="S246" s="27" t="str">
        <f t="shared" ca="1" si="7"/>
        <v/>
      </c>
      <c r="T246" s="28" t="str">
        <f>IF(B246="","",TRIM(IF(COUNTIF($B$5:$B$504,B246)&gt;1,"Număr dublat. ","")&amp;IF(N(P246)=0,"Oferta nu are linii. ","")&amp;IF(M246="","Completează ce NU include oferta. ","")&amp;IF(AND(ISNUMBER(R246),R246&lt;MarjaMin),"Marjă totală sub minim. ","")&amp;IF(COUNTIFS('Linii ofertă'!$B$5:$B$1004,B246,'Linii ofertă'!$R$5:$R$1004,"Marjă*")&gt;0,"Are linii cu marjă sub minim. ","")&amp;IF(AND(S246="Expirată"),"Valabilitatea a expirat: reconfirmă prețurile. ","")))</f>
        <v/>
      </c>
    </row>
    <row r="247" spans="2:20" x14ac:dyDescent="0.2">
      <c r="B247" s="20"/>
      <c r="C247" s="21"/>
      <c r="D247" s="22"/>
      <c r="E247" s="22"/>
      <c r="F247" s="22"/>
      <c r="G247" s="20"/>
      <c r="H247" s="23" t="str">
        <f t="shared" si="6"/>
        <v/>
      </c>
      <c r="I247" s="22"/>
      <c r="J247" s="22"/>
      <c r="K247" s="24"/>
      <c r="L247" s="22"/>
      <c r="M247" s="22"/>
      <c r="N247" s="20"/>
      <c r="O247" s="21"/>
      <c r="P247" s="25" t="str">
        <f>IF(B247="","",SUMIF('Linii ofertă'!$B$5:$B$1004,B247,'Linii ofertă'!$J$5:$J$1004))</f>
        <v/>
      </c>
      <c r="Q247" s="25" t="str">
        <f>IF(B247="","",SUMIF('Linii ofertă'!$B$5:$B$1004,B247,'Linii ofertă'!$M$5:$M$1004))</f>
        <v/>
      </c>
      <c r="R247" s="26" t="str">
        <f>IF(OR(B247="",N(P247)=0),"",SUMIF('Linii ofertă'!$B$5:$B$1004,B247,'Linii ofertă'!$P$5:$P$1004)/P247)</f>
        <v/>
      </c>
      <c r="S247" s="27" t="str">
        <f t="shared" ca="1" si="7"/>
        <v/>
      </c>
      <c r="T247" s="28" t="str">
        <f>IF(B247="","",TRIM(IF(COUNTIF($B$5:$B$504,B247)&gt;1,"Număr dublat. ","")&amp;IF(N(P247)=0,"Oferta nu are linii. ","")&amp;IF(M247="","Completează ce NU include oferta. ","")&amp;IF(AND(ISNUMBER(R247),R247&lt;MarjaMin),"Marjă totală sub minim. ","")&amp;IF(COUNTIFS('Linii ofertă'!$B$5:$B$1004,B247,'Linii ofertă'!$R$5:$R$1004,"Marjă*")&gt;0,"Are linii cu marjă sub minim. ","")&amp;IF(AND(S247="Expirată"),"Valabilitatea a expirat: reconfirmă prețurile. ","")))</f>
        <v/>
      </c>
    </row>
    <row r="248" spans="2:20" x14ac:dyDescent="0.2">
      <c r="B248" s="20"/>
      <c r="C248" s="21"/>
      <c r="D248" s="22"/>
      <c r="E248" s="22"/>
      <c r="F248" s="22"/>
      <c r="G248" s="20"/>
      <c r="H248" s="23" t="str">
        <f t="shared" si="6"/>
        <v/>
      </c>
      <c r="I248" s="22"/>
      <c r="J248" s="22"/>
      <c r="K248" s="24"/>
      <c r="L248" s="22"/>
      <c r="M248" s="22"/>
      <c r="N248" s="20"/>
      <c r="O248" s="21"/>
      <c r="P248" s="25" t="str">
        <f>IF(B248="","",SUMIF('Linii ofertă'!$B$5:$B$1004,B248,'Linii ofertă'!$J$5:$J$1004))</f>
        <v/>
      </c>
      <c r="Q248" s="25" t="str">
        <f>IF(B248="","",SUMIF('Linii ofertă'!$B$5:$B$1004,B248,'Linii ofertă'!$M$5:$M$1004))</f>
        <v/>
      </c>
      <c r="R248" s="26" t="str">
        <f>IF(OR(B248="",N(P248)=0),"",SUMIF('Linii ofertă'!$B$5:$B$1004,B248,'Linii ofertă'!$P$5:$P$1004)/P248)</f>
        <v/>
      </c>
      <c r="S248" s="27" t="str">
        <f t="shared" ca="1" si="7"/>
        <v/>
      </c>
      <c r="T248" s="28" t="str">
        <f>IF(B248="","",TRIM(IF(COUNTIF($B$5:$B$504,B248)&gt;1,"Număr dublat. ","")&amp;IF(N(P248)=0,"Oferta nu are linii. ","")&amp;IF(M248="","Completează ce NU include oferta. ","")&amp;IF(AND(ISNUMBER(R248),R248&lt;MarjaMin),"Marjă totală sub minim. ","")&amp;IF(COUNTIFS('Linii ofertă'!$B$5:$B$1004,B248,'Linii ofertă'!$R$5:$R$1004,"Marjă*")&gt;0,"Are linii cu marjă sub minim. ","")&amp;IF(AND(S248="Expirată"),"Valabilitatea a expirat: reconfirmă prețurile. ","")))</f>
        <v/>
      </c>
    </row>
    <row r="249" spans="2:20" x14ac:dyDescent="0.2">
      <c r="B249" s="20"/>
      <c r="C249" s="21"/>
      <c r="D249" s="22"/>
      <c r="E249" s="22"/>
      <c r="F249" s="22"/>
      <c r="G249" s="20"/>
      <c r="H249" s="23" t="str">
        <f t="shared" si="6"/>
        <v/>
      </c>
      <c r="I249" s="22"/>
      <c r="J249" s="22"/>
      <c r="K249" s="24"/>
      <c r="L249" s="22"/>
      <c r="M249" s="22"/>
      <c r="N249" s="20"/>
      <c r="O249" s="21"/>
      <c r="P249" s="25" t="str">
        <f>IF(B249="","",SUMIF('Linii ofertă'!$B$5:$B$1004,B249,'Linii ofertă'!$J$5:$J$1004))</f>
        <v/>
      </c>
      <c r="Q249" s="25" t="str">
        <f>IF(B249="","",SUMIF('Linii ofertă'!$B$5:$B$1004,B249,'Linii ofertă'!$M$5:$M$1004))</f>
        <v/>
      </c>
      <c r="R249" s="26" t="str">
        <f>IF(OR(B249="",N(P249)=0),"",SUMIF('Linii ofertă'!$B$5:$B$1004,B249,'Linii ofertă'!$P$5:$P$1004)/P249)</f>
        <v/>
      </c>
      <c r="S249" s="27" t="str">
        <f t="shared" ca="1" si="7"/>
        <v/>
      </c>
      <c r="T249" s="28" t="str">
        <f>IF(B249="","",TRIM(IF(COUNTIF($B$5:$B$504,B249)&gt;1,"Număr dublat. ","")&amp;IF(N(P249)=0,"Oferta nu are linii. ","")&amp;IF(M249="","Completează ce NU include oferta. ","")&amp;IF(AND(ISNUMBER(R249),R249&lt;MarjaMin),"Marjă totală sub minim. ","")&amp;IF(COUNTIFS('Linii ofertă'!$B$5:$B$1004,B249,'Linii ofertă'!$R$5:$R$1004,"Marjă*")&gt;0,"Are linii cu marjă sub minim. ","")&amp;IF(AND(S249="Expirată"),"Valabilitatea a expirat: reconfirmă prețurile. ","")))</f>
        <v/>
      </c>
    </row>
    <row r="250" spans="2:20" x14ac:dyDescent="0.2">
      <c r="B250" s="20"/>
      <c r="C250" s="21"/>
      <c r="D250" s="22"/>
      <c r="E250" s="22"/>
      <c r="F250" s="22"/>
      <c r="G250" s="20"/>
      <c r="H250" s="23" t="str">
        <f t="shared" si="6"/>
        <v/>
      </c>
      <c r="I250" s="22"/>
      <c r="J250" s="22"/>
      <c r="K250" s="24"/>
      <c r="L250" s="22"/>
      <c r="M250" s="22"/>
      <c r="N250" s="20"/>
      <c r="O250" s="21"/>
      <c r="P250" s="25" t="str">
        <f>IF(B250="","",SUMIF('Linii ofertă'!$B$5:$B$1004,B250,'Linii ofertă'!$J$5:$J$1004))</f>
        <v/>
      </c>
      <c r="Q250" s="25" t="str">
        <f>IF(B250="","",SUMIF('Linii ofertă'!$B$5:$B$1004,B250,'Linii ofertă'!$M$5:$M$1004))</f>
        <v/>
      </c>
      <c r="R250" s="26" t="str">
        <f>IF(OR(B250="",N(P250)=0),"",SUMIF('Linii ofertă'!$B$5:$B$1004,B250,'Linii ofertă'!$P$5:$P$1004)/P250)</f>
        <v/>
      </c>
      <c r="S250" s="27" t="str">
        <f t="shared" ca="1" si="7"/>
        <v/>
      </c>
      <c r="T250" s="28" t="str">
        <f>IF(B250="","",TRIM(IF(COUNTIF($B$5:$B$504,B250)&gt;1,"Număr dublat. ","")&amp;IF(N(P250)=0,"Oferta nu are linii. ","")&amp;IF(M250="","Completează ce NU include oferta. ","")&amp;IF(AND(ISNUMBER(R250),R250&lt;MarjaMin),"Marjă totală sub minim. ","")&amp;IF(COUNTIFS('Linii ofertă'!$B$5:$B$1004,B250,'Linii ofertă'!$R$5:$R$1004,"Marjă*")&gt;0,"Are linii cu marjă sub minim. ","")&amp;IF(AND(S250="Expirată"),"Valabilitatea a expirat: reconfirmă prețurile. ","")))</f>
        <v/>
      </c>
    </row>
    <row r="251" spans="2:20" x14ac:dyDescent="0.2">
      <c r="B251" s="20"/>
      <c r="C251" s="21"/>
      <c r="D251" s="22"/>
      <c r="E251" s="22"/>
      <c r="F251" s="22"/>
      <c r="G251" s="20"/>
      <c r="H251" s="23" t="str">
        <f t="shared" si="6"/>
        <v/>
      </c>
      <c r="I251" s="22"/>
      <c r="J251" s="22"/>
      <c r="K251" s="24"/>
      <c r="L251" s="22"/>
      <c r="M251" s="22"/>
      <c r="N251" s="20"/>
      <c r="O251" s="21"/>
      <c r="P251" s="25" t="str">
        <f>IF(B251="","",SUMIF('Linii ofertă'!$B$5:$B$1004,B251,'Linii ofertă'!$J$5:$J$1004))</f>
        <v/>
      </c>
      <c r="Q251" s="25" t="str">
        <f>IF(B251="","",SUMIF('Linii ofertă'!$B$5:$B$1004,B251,'Linii ofertă'!$M$5:$M$1004))</f>
        <v/>
      </c>
      <c r="R251" s="26" t="str">
        <f>IF(OR(B251="",N(P251)=0),"",SUMIF('Linii ofertă'!$B$5:$B$1004,B251,'Linii ofertă'!$P$5:$P$1004)/P251)</f>
        <v/>
      </c>
      <c r="S251" s="27" t="str">
        <f t="shared" ca="1" si="7"/>
        <v/>
      </c>
      <c r="T251" s="28" t="str">
        <f>IF(B251="","",TRIM(IF(COUNTIF($B$5:$B$504,B251)&gt;1,"Număr dublat. ","")&amp;IF(N(P251)=0,"Oferta nu are linii. ","")&amp;IF(M251="","Completează ce NU include oferta. ","")&amp;IF(AND(ISNUMBER(R251),R251&lt;MarjaMin),"Marjă totală sub minim. ","")&amp;IF(COUNTIFS('Linii ofertă'!$B$5:$B$1004,B251,'Linii ofertă'!$R$5:$R$1004,"Marjă*")&gt;0,"Are linii cu marjă sub minim. ","")&amp;IF(AND(S251="Expirată"),"Valabilitatea a expirat: reconfirmă prețurile. ","")))</f>
        <v/>
      </c>
    </row>
    <row r="252" spans="2:20" x14ac:dyDescent="0.2">
      <c r="B252" s="20"/>
      <c r="C252" s="21"/>
      <c r="D252" s="22"/>
      <c r="E252" s="22"/>
      <c r="F252" s="22"/>
      <c r="G252" s="20"/>
      <c r="H252" s="23" t="str">
        <f t="shared" si="6"/>
        <v/>
      </c>
      <c r="I252" s="22"/>
      <c r="J252" s="22"/>
      <c r="K252" s="24"/>
      <c r="L252" s="22"/>
      <c r="M252" s="22"/>
      <c r="N252" s="20"/>
      <c r="O252" s="21"/>
      <c r="P252" s="25" t="str">
        <f>IF(B252="","",SUMIF('Linii ofertă'!$B$5:$B$1004,B252,'Linii ofertă'!$J$5:$J$1004))</f>
        <v/>
      </c>
      <c r="Q252" s="25" t="str">
        <f>IF(B252="","",SUMIF('Linii ofertă'!$B$5:$B$1004,B252,'Linii ofertă'!$M$5:$M$1004))</f>
        <v/>
      </c>
      <c r="R252" s="26" t="str">
        <f>IF(OR(B252="",N(P252)=0),"",SUMIF('Linii ofertă'!$B$5:$B$1004,B252,'Linii ofertă'!$P$5:$P$1004)/P252)</f>
        <v/>
      </c>
      <c r="S252" s="27" t="str">
        <f t="shared" ca="1" si="7"/>
        <v/>
      </c>
      <c r="T252" s="28" t="str">
        <f>IF(B252="","",TRIM(IF(COUNTIF($B$5:$B$504,B252)&gt;1,"Număr dublat. ","")&amp;IF(N(P252)=0,"Oferta nu are linii. ","")&amp;IF(M252="","Completează ce NU include oferta. ","")&amp;IF(AND(ISNUMBER(R252),R252&lt;MarjaMin),"Marjă totală sub minim. ","")&amp;IF(COUNTIFS('Linii ofertă'!$B$5:$B$1004,B252,'Linii ofertă'!$R$5:$R$1004,"Marjă*")&gt;0,"Are linii cu marjă sub minim. ","")&amp;IF(AND(S252="Expirată"),"Valabilitatea a expirat: reconfirmă prețurile. ","")))</f>
        <v/>
      </c>
    </row>
    <row r="253" spans="2:20" x14ac:dyDescent="0.2">
      <c r="B253" s="20"/>
      <c r="C253" s="21"/>
      <c r="D253" s="22"/>
      <c r="E253" s="22"/>
      <c r="F253" s="22"/>
      <c r="G253" s="20"/>
      <c r="H253" s="23" t="str">
        <f t="shared" si="6"/>
        <v/>
      </c>
      <c r="I253" s="22"/>
      <c r="J253" s="22"/>
      <c r="K253" s="24"/>
      <c r="L253" s="22"/>
      <c r="M253" s="22"/>
      <c r="N253" s="20"/>
      <c r="O253" s="21"/>
      <c r="P253" s="25" t="str">
        <f>IF(B253="","",SUMIF('Linii ofertă'!$B$5:$B$1004,B253,'Linii ofertă'!$J$5:$J$1004))</f>
        <v/>
      </c>
      <c r="Q253" s="25" t="str">
        <f>IF(B253="","",SUMIF('Linii ofertă'!$B$5:$B$1004,B253,'Linii ofertă'!$M$5:$M$1004))</f>
        <v/>
      </c>
      <c r="R253" s="26" t="str">
        <f>IF(OR(B253="",N(P253)=0),"",SUMIF('Linii ofertă'!$B$5:$B$1004,B253,'Linii ofertă'!$P$5:$P$1004)/P253)</f>
        <v/>
      </c>
      <c r="S253" s="27" t="str">
        <f t="shared" ca="1" si="7"/>
        <v/>
      </c>
      <c r="T253" s="28" t="str">
        <f>IF(B253="","",TRIM(IF(COUNTIF($B$5:$B$504,B253)&gt;1,"Număr dublat. ","")&amp;IF(N(P253)=0,"Oferta nu are linii. ","")&amp;IF(M253="","Completează ce NU include oferta. ","")&amp;IF(AND(ISNUMBER(R253),R253&lt;MarjaMin),"Marjă totală sub minim. ","")&amp;IF(COUNTIFS('Linii ofertă'!$B$5:$B$1004,B253,'Linii ofertă'!$R$5:$R$1004,"Marjă*")&gt;0,"Are linii cu marjă sub minim. ","")&amp;IF(AND(S253="Expirată"),"Valabilitatea a expirat: reconfirmă prețurile. ","")))</f>
        <v/>
      </c>
    </row>
    <row r="254" spans="2:20" x14ac:dyDescent="0.2">
      <c r="B254" s="20"/>
      <c r="C254" s="21"/>
      <c r="D254" s="22"/>
      <c r="E254" s="22"/>
      <c r="F254" s="22"/>
      <c r="G254" s="20"/>
      <c r="H254" s="23" t="str">
        <f t="shared" si="6"/>
        <v/>
      </c>
      <c r="I254" s="22"/>
      <c r="J254" s="22"/>
      <c r="K254" s="24"/>
      <c r="L254" s="22"/>
      <c r="M254" s="22"/>
      <c r="N254" s="20"/>
      <c r="O254" s="21"/>
      <c r="P254" s="25" t="str">
        <f>IF(B254="","",SUMIF('Linii ofertă'!$B$5:$B$1004,B254,'Linii ofertă'!$J$5:$J$1004))</f>
        <v/>
      </c>
      <c r="Q254" s="25" t="str">
        <f>IF(B254="","",SUMIF('Linii ofertă'!$B$5:$B$1004,B254,'Linii ofertă'!$M$5:$M$1004))</f>
        <v/>
      </c>
      <c r="R254" s="26" t="str">
        <f>IF(OR(B254="",N(P254)=0),"",SUMIF('Linii ofertă'!$B$5:$B$1004,B254,'Linii ofertă'!$P$5:$P$1004)/P254)</f>
        <v/>
      </c>
      <c r="S254" s="27" t="str">
        <f t="shared" ca="1" si="7"/>
        <v/>
      </c>
      <c r="T254" s="28" t="str">
        <f>IF(B254="","",TRIM(IF(COUNTIF($B$5:$B$504,B254)&gt;1,"Număr dublat. ","")&amp;IF(N(P254)=0,"Oferta nu are linii. ","")&amp;IF(M254="","Completează ce NU include oferta. ","")&amp;IF(AND(ISNUMBER(R254),R254&lt;MarjaMin),"Marjă totală sub minim. ","")&amp;IF(COUNTIFS('Linii ofertă'!$B$5:$B$1004,B254,'Linii ofertă'!$R$5:$R$1004,"Marjă*")&gt;0,"Are linii cu marjă sub minim. ","")&amp;IF(AND(S254="Expirată"),"Valabilitatea a expirat: reconfirmă prețurile. ","")))</f>
        <v/>
      </c>
    </row>
    <row r="255" spans="2:20" x14ac:dyDescent="0.2">
      <c r="B255" s="20"/>
      <c r="C255" s="21"/>
      <c r="D255" s="22"/>
      <c r="E255" s="22"/>
      <c r="F255" s="22"/>
      <c r="G255" s="20"/>
      <c r="H255" s="23" t="str">
        <f t="shared" si="6"/>
        <v/>
      </c>
      <c r="I255" s="22"/>
      <c r="J255" s="22"/>
      <c r="K255" s="24"/>
      <c r="L255" s="22"/>
      <c r="M255" s="22"/>
      <c r="N255" s="20"/>
      <c r="O255" s="21"/>
      <c r="P255" s="25" t="str">
        <f>IF(B255="","",SUMIF('Linii ofertă'!$B$5:$B$1004,B255,'Linii ofertă'!$J$5:$J$1004))</f>
        <v/>
      </c>
      <c r="Q255" s="25" t="str">
        <f>IF(B255="","",SUMIF('Linii ofertă'!$B$5:$B$1004,B255,'Linii ofertă'!$M$5:$M$1004))</f>
        <v/>
      </c>
      <c r="R255" s="26" t="str">
        <f>IF(OR(B255="",N(P255)=0),"",SUMIF('Linii ofertă'!$B$5:$B$1004,B255,'Linii ofertă'!$P$5:$P$1004)/P255)</f>
        <v/>
      </c>
      <c r="S255" s="27" t="str">
        <f t="shared" ca="1" si="7"/>
        <v/>
      </c>
      <c r="T255" s="28" t="str">
        <f>IF(B255="","",TRIM(IF(COUNTIF($B$5:$B$504,B255)&gt;1,"Număr dublat. ","")&amp;IF(N(P255)=0,"Oferta nu are linii. ","")&amp;IF(M255="","Completează ce NU include oferta. ","")&amp;IF(AND(ISNUMBER(R255),R255&lt;MarjaMin),"Marjă totală sub minim. ","")&amp;IF(COUNTIFS('Linii ofertă'!$B$5:$B$1004,B255,'Linii ofertă'!$R$5:$R$1004,"Marjă*")&gt;0,"Are linii cu marjă sub minim. ","")&amp;IF(AND(S255="Expirată"),"Valabilitatea a expirat: reconfirmă prețurile. ","")))</f>
        <v/>
      </c>
    </row>
    <row r="256" spans="2:20" x14ac:dyDescent="0.2">
      <c r="B256" s="20"/>
      <c r="C256" s="21"/>
      <c r="D256" s="22"/>
      <c r="E256" s="22"/>
      <c r="F256" s="22"/>
      <c r="G256" s="20"/>
      <c r="H256" s="23" t="str">
        <f t="shared" si="6"/>
        <v/>
      </c>
      <c r="I256" s="22"/>
      <c r="J256" s="22"/>
      <c r="K256" s="24"/>
      <c r="L256" s="22"/>
      <c r="M256" s="22"/>
      <c r="N256" s="20"/>
      <c r="O256" s="21"/>
      <c r="P256" s="25" t="str">
        <f>IF(B256="","",SUMIF('Linii ofertă'!$B$5:$B$1004,B256,'Linii ofertă'!$J$5:$J$1004))</f>
        <v/>
      </c>
      <c r="Q256" s="25" t="str">
        <f>IF(B256="","",SUMIF('Linii ofertă'!$B$5:$B$1004,B256,'Linii ofertă'!$M$5:$M$1004))</f>
        <v/>
      </c>
      <c r="R256" s="26" t="str">
        <f>IF(OR(B256="",N(P256)=0),"",SUMIF('Linii ofertă'!$B$5:$B$1004,B256,'Linii ofertă'!$P$5:$P$1004)/P256)</f>
        <v/>
      </c>
      <c r="S256" s="27" t="str">
        <f t="shared" ca="1" si="7"/>
        <v/>
      </c>
      <c r="T256" s="28" t="str">
        <f>IF(B256="","",TRIM(IF(COUNTIF($B$5:$B$504,B256)&gt;1,"Număr dublat. ","")&amp;IF(N(P256)=0,"Oferta nu are linii. ","")&amp;IF(M256="","Completează ce NU include oferta. ","")&amp;IF(AND(ISNUMBER(R256),R256&lt;MarjaMin),"Marjă totală sub minim. ","")&amp;IF(COUNTIFS('Linii ofertă'!$B$5:$B$1004,B256,'Linii ofertă'!$R$5:$R$1004,"Marjă*")&gt;0,"Are linii cu marjă sub minim. ","")&amp;IF(AND(S256="Expirată"),"Valabilitatea a expirat: reconfirmă prețurile. ","")))</f>
        <v/>
      </c>
    </row>
    <row r="257" spans="2:20" x14ac:dyDescent="0.2">
      <c r="B257" s="20"/>
      <c r="C257" s="21"/>
      <c r="D257" s="22"/>
      <c r="E257" s="22"/>
      <c r="F257" s="22"/>
      <c r="G257" s="20"/>
      <c r="H257" s="23" t="str">
        <f t="shared" si="6"/>
        <v/>
      </c>
      <c r="I257" s="22"/>
      <c r="J257" s="22"/>
      <c r="K257" s="24"/>
      <c r="L257" s="22"/>
      <c r="M257" s="22"/>
      <c r="N257" s="20"/>
      <c r="O257" s="21"/>
      <c r="P257" s="25" t="str">
        <f>IF(B257="","",SUMIF('Linii ofertă'!$B$5:$B$1004,B257,'Linii ofertă'!$J$5:$J$1004))</f>
        <v/>
      </c>
      <c r="Q257" s="25" t="str">
        <f>IF(B257="","",SUMIF('Linii ofertă'!$B$5:$B$1004,B257,'Linii ofertă'!$M$5:$M$1004))</f>
        <v/>
      </c>
      <c r="R257" s="26" t="str">
        <f>IF(OR(B257="",N(P257)=0),"",SUMIF('Linii ofertă'!$B$5:$B$1004,B257,'Linii ofertă'!$P$5:$P$1004)/P257)</f>
        <v/>
      </c>
      <c r="S257" s="27" t="str">
        <f t="shared" ca="1" si="7"/>
        <v/>
      </c>
      <c r="T257" s="28" t="str">
        <f>IF(B257="","",TRIM(IF(COUNTIF($B$5:$B$504,B257)&gt;1,"Număr dublat. ","")&amp;IF(N(P257)=0,"Oferta nu are linii. ","")&amp;IF(M257="","Completează ce NU include oferta. ","")&amp;IF(AND(ISNUMBER(R257),R257&lt;MarjaMin),"Marjă totală sub minim. ","")&amp;IF(COUNTIFS('Linii ofertă'!$B$5:$B$1004,B257,'Linii ofertă'!$R$5:$R$1004,"Marjă*")&gt;0,"Are linii cu marjă sub minim. ","")&amp;IF(AND(S257="Expirată"),"Valabilitatea a expirat: reconfirmă prețurile. ","")))</f>
        <v/>
      </c>
    </row>
    <row r="258" spans="2:20" x14ac:dyDescent="0.2">
      <c r="B258" s="20"/>
      <c r="C258" s="21"/>
      <c r="D258" s="22"/>
      <c r="E258" s="22"/>
      <c r="F258" s="22"/>
      <c r="G258" s="20"/>
      <c r="H258" s="23" t="str">
        <f t="shared" si="6"/>
        <v/>
      </c>
      <c r="I258" s="22"/>
      <c r="J258" s="22"/>
      <c r="K258" s="24"/>
      <c r="L258" s="22"/>
      <c r="M258" s="22"/>
      <c r="N258" s="20"/>
      <c r="O258" s="21"/>
      <c r="P258" s="25" t="str">
        <f>IF(B258="","",SUMIF('Linii ofertă'!$B$5:$B$1004,B258,'Linii ofertă'!$J$5:$J$1004))</f>
        <v/>
      </c>
      <c r="Q258" s="25" t="str">
        <f>IF(B258="","",SUMIF('Linii ofertă'!$B$5:$B$1004,B258,'Linii ofertă'!$M$5:$M$1004))</f>
        <v/>
      </c>
      <c r="R258" s="26" t="str">
        <f>IF(OR(B258="",N(P258)=0),"",SUMIF('Linii ofertă'!$B$5:$B$1004,B258,'Linii ofertă'!$P$5:$P$1004)/P258)</f>
        <v/>
      </c>
      <c r="S258" s="27" t="str">
        <f t="shared" ca="1" si="7"/>
        <v/>
      </c>
      <c r="T258" s="28" t="str">
        <f>IF(B258="","",TRIM(IF(COUNTIF($B$5:$B$504,B258)&gt;1,"Număr dublat. ","")&amp;IF(N(P258)=0,"Oferta nu are linii. ","")&amp;IF(M258="","Completează ce NU include oferta. ","")&amp;IF(AND(ISNUMBER(R258),R258&lt;MarjaMin),"Marjă totală sub minim. ","")&amp;IF(COUNTIFS('Linii ofertă'!$B$5:$B$1004,B258,'Linii ofertă'!$R$5:$R$1004,"Marjă*")&gt;0,"Are linii cu marjă sub minim. ","")&amp;IF(AND(S258="Expirată"),"Valabilitatea a expirat: reconfirmă prețurile. ","")))</f>
        <v/>
      </c>
    </row>
    <row r="259" spans="2:20" x14ac:dyDescent="0.2">
      <c r="B259" s="20"/>
      <c r="C259" s="21"/>
      <c r="D259" s="22"/>
      <c r="E259" s="22"/>
      <c r="F259" s="22"/>
      <c r="G259" s="20"/>
      <c r="H259" s="23" t="str">
        <f t="shared" si="6"/>
        <v/>
      </c>
      <c r="I259" s="22"/>
      <c r="J259" s="22"/>
      <c r="K259" s="24"/>
      <c r="L259" s="22"/>
      <c r="M259" s="22"/>
      <c r="N259" s="20"/>
      <c r="O259" s="21"/>
      <c r="P259" s="25" t="str">
        <f>IF(B259="","",SUMIF('Linii ofertă'!$B$5:$B$1004,B259,'Linii ofertă'!$J$5:$J$1004))</f>
        <v/>
      </c>
      <c r="Q259" s="25" t="str">
        <f>IF(B259="","",SUMIF('Linii ofertă'!$B$5:$B$1004,B259,'Linii ofertă'!$M$5:$M$1004))</f>
        <v/>
      </c>
      <c r="R259" s="26" t="str">
        <f>IF(OR(B259="",N(P259)=0),"",SUMIF('Linii ofertă'!$B$5:$B$1004,B259,'Linii ofertă'!$P$5:$P$1004)/P259)</f>
        <v/>
      </c>
      <c r="S259" s="27" t="str">
        <f t="shared" ca="1" si="7"/>
        <v/>
      </c>
      <c r="T259" s="28" t="str">
        <f>IF(B259="","",TRIM(IF(COUNTIF($B$5:$B$504,B259)&gt;1,"Număr dublat. ","")&amp;IF(N(P259)=0,"Oferta nu are linii. ","")&amp;IF(M259="","Completează ce NU include oferta. ","")&amp;IF(AND(ISNUMBER(R259),R259&lt;MarjaMin),"Marjă totală sub minim. ","")&amp;IF(COUNTIFS('Linii ofertă'!$B$5:$B$1004,B259,'Linii ofertă'!$R$5:$R$1004,"Marjă*")&gt;0,"Are linii cu marjă sub minim. ","")&amp;IF(AND(S259="Expirată"),"Valabilitatea a expirat: reconfirmă prețurile. ","")))</f>
        <v/>
      </c>
    </row>
    <row r="260" spans="2:20" x14ac:dyDescent="0.2">
      <c r="B260" s="20"/>
      <c r="C260" s="21"/>
      <c r="D260" s="22"/>
      <c r="E260" s="22"/>
      <c r="F260" s="22"/>
      <c r="G260" s="20"/>
      <c r="H260" s="23" t="str">
        <f t="shared" si="6"/>
        <v/>
      </c>
      <c r="I260" s="22"/>
      <c r="J260" s="22"/>
      <c r="K260" s="24"/>
      <c r="L260" s="22"/>
      <c r="M260" s="22"/>
      <c r="N260" s="20"/>
      <c r="O260" s="21"/>
      <c r="P260" s="25" t="str">
        <f>IF(B260="","",SUMIF('Linii ofertă'!$B$5:$B$1004,B260,'Linii ofertă'!$J$5:$J$1004))</f>
        <v/>
      </c>
      <c r="Q260" s="25" t="str">
        <f>IF(B260="","",SUMIF('Linii ofertă'!$B$5:$B$1004,B260,'Linii ofertă'!$M$5:$M$1004))</f>
        <v/>
      </c>
      <c r="R260" s="26" t="str">
        <f>IF(OR(B260="",N(P260)=0),"",SUMIF('Linii ofertă'!$B$5:$B$1004,B260,'Linii ofertă'!$P$5:$P$1004)/P260)</f>
        <v/>
      </c>
      <c r="S260" s="27" t="str">
        <f t="shared" ca="1" si="7"/>
        <v/>
      </c>
      <c r="T260" s="28" t="str">
        <f>IF(B260="","",TRIM(IF(COUNTIF($B$5:$B$504,B260)&gt;1,"Număr dublat. ","")&amp;IF(N(P260)=0,"Oferta nu are linii. ","")&amp;IF(M260="","Completează ce NU include oferta. ","")&amp;IF(AND(ISNUMBER(R260),R260&lt;MarjaMin),"Marjă totală sub minim. ","")&amp;IF(COUNTIFS('Linii ofertă'!$B$5:$B$1004,B260,'Linii ofertă'!$R$5:$R$1004,"Marjă*")&gt;0,"Are linii cu marjă sub minim. ","")&amp;IF(AND(S260="Expirată"),"Valabilitatea a expirat: reconfirmă prețurile. ","")))</f>
        <v/>
      </c>
    </row>
    <row r="261" spans="2:20" x14ac:dyDescent="0.2">
      <c r="B261" s="20"/>
      <c r="C261" s="21"/>
      <c r="D261" s="22"/>
      <c r="E261" s="22"/>
      <c r="F261" s="22"/>
      <c r="G261" s="20"/>
      <c r="H261" s="23" t="str">
        <f t="shared" ref="H261:H324" si="8">IF(OR(B261="",C261=""),"",C261+IF(G261="",ValImpl,G261))</f>
        <v/>
      </c>
      <c r="I261" s="22"/>
      <c r="J261" s="22"/>
      <c r="K261" s="24"/>
      <c r="L261" s="22"/>
      <c r="M261" s="22"/>
      <c r="N261" s="20"/>
      <c r="O261" s="21"/>
      <c r="P261" s="25" t="str">
        <f>IF(B261="","",SUMIF('Linii ofertă'!$B$5:$B$1004,B261,'Linii ofertă'!$J$5:$J$1004))</f>
        <v/>
      </c>
      <c r="Q261" s="25" t="str">
        <f>IF(B261="","",SUMIF('Linii ofertă'!$B$5:$B$1004,B261,'Linii ofertă'!$M$5:$M$1004))</f>
        <v/>
      </c>
      <c r="R261" s="26" t="str">
        <f>IF(OR(B261="",N(P261)=0),"",SUMIF('Linii ofertă'!$B$5:$B$1004,B261,'Linii ofertă'!$P$5:$P$1004)/P261)</f>
        <v/>
      </c>
      <c r="S261" s="27" t="str">
        <f t="shared" ref="S261:S324" ca="1" si="9">IF(B261="","",IF(AND(OR(N261="Trimisă",N261="În lucru"),ISNUMBER(H261),TODAY()&gt;H261),"Expirată",IF(N261="","În lucru",N261)))</f>
        <v/>
      </c>
      <c r="T261" s="28" t="str">
        <f>IF(B261="","",TRIM(IF(COUNTIF($B$5:$B$504,B261)&gt;1,"Număr dublat. ","")&amp;IF(N(P261)=0,"Oferta nu are linii. ","")&amp;IF(M261="","Completează ce NU include oferta. ","")&amp;IF(AND(ISNUMBER(R261),R261&lt;MarjaMin),"Marjă totală sub minim. ","")&amp;IF(COUNTIFS('Linii ofertă'!$B$5:$B$1004,B261,'Linii ofertă'!$R$5:$R$1004,"Marjă*")&gt;0,"Are linii cu marjă sub minim. ","")&amp;IF(AND(S261="Expirată"),"Valabilitatea a expirat: reconfirmă prețurile. ","")))</f>
        <v/>
      </c>
    </row>
    <row r="262" spans="2:20" x14ac:dyDescent="0.2">
      <c r="B262" s="20"/>
      <c r="C262" s="21"/>
      <c r="D262" s="22"/>
      <c r="E262" s="22"/>
      <c r="F262" s="22"/>
      <c r="G262" s="20"/>
      <c r="H262" s="23" t="str">
        <f t="shared" si="8"/>
        <v/>
      </c>
      <c r="I262" s="22"/>
      <c r="J262" s="22"/>
      <c r="K262" s="24"/>
      <c r="L262" s="22"/>
      <c r="M262" s="22"/>
      <c r="N262" s="20"/>
      <c r="O262" s="21"/>
      <c r="P262" s="25" t="str">
        <f>IF(B262="","",SUMIF('Linii ofertă'!$B$5:$B$1004,B262,'Linii ofertă'!$J$5:$J$1004))</f>
        <v/>
      </c>
      <c r="Q262" s="25" t="str">
        <f>IF(B262="","",SUMIF('Linii ofertă'!$B$5:$B$1004,B262,'Linii ofertă'!$M$5:$M$1004))</f>
        <v/>
      </c>
      <c r="R262" s="26" t="str">
        <f>IF(OR(B262="",N(P262)=0),"",SUMIF('Linii ofertă'!$B$5:$B$1004,B262,'Linii ofertă'!$P$5:$P$1004)/P262)</f>
        <v/>
      </c>
      <c r="S262" s="27" t="str">
        <f t="shared" ca="1" si="9"/>
        <v/>
      </c>
      <c r="T262" s="28" t="str">
        <f>IF(B262="","",TRIM(IF(COUNTIF($B$5:$B$504,B262)&gt;1,"Număr dublat. ","")&amp;IF(N(P262)=0,"Oferta nu are linii. ","")&amp;IF(M262="","Completează ce NU include oferta. ","")&amp;IF(AND(ISNUMBER(R262),R262&lt;MarjaMin),"Marjă totală sub minim. ","")&amp;IF(COUNTIFS('Linii ofertă'!$B$5:$B$1004,B262,'Linii ofertă'!$R$5:$R$1004,"Marjă*")&gt;0,"Are linii cu marjă sub minim. ","")&amp;IF(AND(S262="Expirată"),"Valabilitatea a expirat: reconfirmă prețurile. ","")))</f>
        <v/>
      </c>
    </row>
    <row r="263" spans="2:20" x14ac:dyDescent="0.2">
      <c r="B263" s="20"/>
      <c r="C263" s="21"/>
      <c r="D263" s="22"/>
      <c r="E263" s="22"/>
      <c r="F263" s="22"/>
      <c r="G263" s="20"/>
      <c r="H263" s="23" t="str">
        <f t="shared" si="8"/>
        <v/>
      </c>
      <c r="I263" s="22"/>
      <c r="J263" s="22"/>
      <c r="K263" s="24"/>
      <c r="L263" s="22"/>
      <c r="M263" s="22"/>
      <c r="N263" s="20"/>
      <c r="O263" s="21"/>
      <c r="P263" s="25" t="str">
        <f>IF(B263="","",SUMIF('Linii ofertă'!$B$5:$B$1004,B263,'Linii ofertă'!$J$5:$J$1004))</f>
        <v/>
      </c>
      <c r="Q263" s="25" t="str">
        <f>IF(B263="","",SUMIF('Linii ofertă'!$B$5:$B$1004,B263,'Linii ofertă'!$M$5:$M$1004))</f>
        <v/>
      </c>
      <c r="R263" s="26" t="str">
        <f>IF(OR(B263="",N(P263)=0),"",SUMIF('Linii ofertă'!$B$5:$B$1004,B263,'Linii ofertă'!$P$5:$P$1004)/P263)</f>
        <v/>
      </c>
      <c r="S263" s="27" t="str">
        <f t="shared" ca="1" si="9"/>
        <v/>
      </c>
      <c r="T263" s="28" t="str">
        <f>IF(B263="","",TRIM(IF(COUNTIF($B$5:$B$504,B263)&gt;1,"Număr dublat. ","")&amp;IF(N(P263)=0,"Oferta nu are linii. ","")&amp;IF(M263="","Completează ce NU include oferta. ","")&amp;IF(AND(ISNUMBER(R263),R263&lt;MarjaMin),"Marjă totală sub minim. ","")&amp;IF(COUNTIFS('Linii ofertă'!$B$5:$B$1004,B263,'Linii ofertă'!$R$5:$R$1004,"Marjă*")&gt;0,"Are linii cu marjă sub minim. ","")&amp;IF(AND(S263="Expirată"),"Valabilitatea a expirat: reconfirmă prețurile. ","")))</f>
        <v/>
      </c>
    </row>
    <row r="264" spans="2:20" x14ac:dyDescent="0.2">
      <c r="B264" s="20"/>
      <c r="C264" s="21"/>
      <c r="D264" s="22"/>
      <c r="E264" s="22"/>
      <c r="F264" s="22"/>
      <c r="G264" s="20"/>
      <c r="H264" s="23" t="str">
        <f t="shared" si="8"/>
        <v/>
      </c>
      <c r="I264" s="22"/>
      <c r="J264" s="22"/>
      <c r="K264" s="24"/>
      <c r="L264" s="22"/>
      <c r="M264" s="22"/>
      <c r="N264" s="20"/>
      <c r="O264" s="21"/>
      <c r="P264" s="25" t="str">
        <f>IF(B264="","",SUMIF('Linii ofertă'!$B$5:$B$1004,B264,'Linii ofertă'!$J$5:$J$1004))</f>
        <v/>
      </c>
      <c r="Q264" s="25" t="str">
        <f>IF(B264="","",SUMIF('Linii ofertă'!$B$5:$B$1004,B264,'Linii ofertă'!$M$5:$M$1004))</f>
        <v/>
      </c>
      <c r="R264" s="26" t="str">
        <f>IF(OR(B264="",N(P264)=0),"",SUMIF('Linii ofertă'!$B$5:$B$1004,B264,'Linii ofertă'!$P$5:$P$1004)/P264)</f>
        <v/>
      </c>
      <c r="S264" s="27" t="str">
        <f t="shared" ca="1" si="9"/>
        <v/>
      </c>
      <c r="T264" s="28" t="str">
        <f>IF(B264="","",TRIM(IF(COUNTIF($B$5:$B$504,B264)&gt;1,"Număr dublat. ","")&amp;IF(N(P264)=0,"Oferta nu are linii. ","")&amp;IF(M264="","Completează ce NU include oferta. ","")&amp;IF(AND(ISNUMBER(R264),R264&lt;MarjaMin),"Marjă totală sub minim. ","")&amp;IF(COUNTIFS('Linii ofertă'!$B$5:$B$1004,B264,'Linii ofertă'!$R$5:$R$1004,"Marjă*")&gt;0,"Are linii cu marjă sub minim. ","")&amp;IF(AND(S264="Expirată"),"Valabilitatea a expirat: reconfirmă prețurile. ","")))</f>
        <v/>
      </c>
    </row>
    <row r="265" spans="2:20" x14ac:dyDescent="0.2">
      <c r="B265" s="20"/>
      <c r="C265" s="21"/>
      <c r="D265" s="22"/>
      <c r="E265" s="22"/>
      <c r="F265" s="22"/>
      <c r="G265" s="20"/>
      <c r="H265" s="23" t="str">
        <f t="shared" si="8"/>
        <v/>
      </c>
      <c r="I265" s="22"/>
      <c r="J265" s="22"/>
      <c r="K265" s="24"/>
      <c r="L265" s="22"/>
      <c r="M265" s="22"/>
      <c r="N265" s="20"/>
      <c r="O265" s="21"/>
      <c r="P265" s="25" t="str">
        <f>IF(B265="","",SUMIF('Linii ofertă'!$B$5:$B$1004,B265,'Linii ofertă'!$J$5:$J$1004))</f>
        <v/>
      </c>
      <c r="Q265" s="25" t="str">
        <f>IF(B265="","",SUMIF('Linii ofertă'!$B$5:$B$1004,B265,'Linii ofertă'!$M$5:$M$1004))</f>
        <v/>
      </c>
      <c r="R265" s="26" t="str">
        <f>IF(OR(B265="",N(P265)=0),"",SUMIF('Linii ofertă'!$B$5:$B$1004,B265,'Linii ofertă'!$P$5:$P$1004)/P265)</f>
        <v/>
      </c>
      <c r="S265" s="27" t="str">
        <f t="shared" ca="1" si="9"/>
        <v/>
      </c>
      <c r="T265" s="28" t="str">
        <f>IF(B265="","",TRIM(IF(COUNTIF($B$5:$B$504,B265)&gt;1,"Număr dublat. ","")&amp;IF(N(P265)=0,"Oferta nu are linii. ","")&amp;IF(M265="","Completează ce NU include oferta. ","")&amp;IF(AND(ISNUMBER(R265),R265&lt;MarjaMin),"Marjă totală sub minim. ","")&amp;IF(COUNTIFS('Linii ofertă'!$B$5:$B$1004,B265,'Linii ofertă'!$R$5:$R$1004,"Marjă*")&gt;0,"Are linii cu marjă sub minim. ","")&amp;IF(AND(S265="Expirată"),"Valabilitatea a expirat: reconfirmă prețurile. ","")))</f>
        <v/>
      </c>
    </row>
    <row r="266" spans="2:20" x14ac:dyDescent="0.2">
      <c r="B266" s="20"/>
      <c r="C266" s="21"/>
      <c r="D266" s="22"/>
      <c r="E266" s="22"/>
      <c r="F266" s="22"/>
      <c r="G266" s="20"/>
      <c r="H266" s="23" t="str">
        <f t="shared" si="8"/>
        <v/>
      </c>
      <c r="I266" s="22"/>
      <c r="J266" s="22"/>
      <c r="K266" s="24"/>
      <c r="L266" s="22"/>
      <c r="M266" s="22"/>
      <c r="N266" s="20"/>
      <c r="O266" s="21"/>
      <c r="P266" s="25" t="str">
        <f>IF(B266="","",SUMIF('Linii ofertă'!$B$5:$B$1004,B266,'Linii ofertă'!$J$5:$J$1004))</f>
        <v/>
      </c>
      <c r="Q266" s="25" t="str">
        <f>IF(B266="","",SUMIF('Linii ofertă'!$B$5:$B$1004,B266,'Linii ofertă'!$M$5:$M$1004))</f>
        <v/>
      </c>
      <c r="R266" s="26" t="str">
        <f>IF(OR(B266="",N(P266)=0),"",SUMIF('Linii ofertă'!$B$5:$B$1004,B266,'Linii ofertă'!$P$5:$P$1004)/P266)</f>
        <v/>
      </c>
      <c r="S266" s="27" t="str">
        <f t="shared" ca="1" si="9"/>
        <v/>
      </c>
      <c r="T266" s="28" t="str">
        <f>IF(B266="","",TRIM(IF(COUNTIF($B$5:$B$504,B266)&gt;1,"Număr dublat. ","")&amp;IF(N(P266)=0,"Oferta nu are linii. ","")&amp;IF(M266="","Completează ce NU include oferta. ","")&amp;IF(AND(ISNUMBER(R266),R266&lt;MarjaMin),"Marjă totală sub minim. ","")&amp;IF(COUNTIFS('Linii ofertă'!$B$5:$B$1004,B266,'Linii ofertă'!$R$5:$R$1004,"Marjă*")&gt;0,"Are linii cu marjă sub minim. ","")&amp;IF(AND(S266="Expirată"),"Valabilitatea a expirat: reconfirmă prețurile. ","")))</f>
        <v/>
      </c>
    </row>
    <row r="267" spans="2:20" x14ac:dyDescent="0.2">
      <c r="B267" s="20"/>
      <c r="C267" s="21"/>
      <c r="D267" s="22"/>
      <c r="E267" s="22"/>
      <c r="F267" s="22"/>
      <c r="G267" s="20"/>
      <c r="H267" s="23" t="str">
        <f t="shared" si="8"/>
        <v/>
      </c>
      <c r="I267" s="22"/>
      <c r="J267" s="22"/>
      <c r="K267" s="24"/>
      <c r="L267" s="22"/>
      <c r="M267" s="22"/>
      <c r="N267" s="20"/>
      <c r="O267" s="21"/>
      <c r="P267" s="25" t="str">
        <f>IF(B267="","",SUMIF('Linii ofertă'!$B$5:$B$1004,B267,'Linii ofertă'!$J$5:$J$1004))</f>
        <v/>
      </c>
      <c r="Q267" s="25" t="str">
        <f>IF(B267="","",SUMIF('Linii ofertă'!$B$5:$B$1004,B267,'Linii ofertă'!$M$5:$M$1004))</f>
        <v/>
      </c>
      <c r="R267" s="26" t="str">
        <f>IF(OR(B267="",N(P267)=0),"",SUMIF('Linii ofertă'!$B$5:$B$1004,B267,'Linii ofertă'!$P$5:$P$1004)/P267)</f>
        <v/>
      </c>
      <c r="S267" s="27" t="str">
        <f t="shared" ca="1" si="9"/>
        <v/>
      </c>
      <c r="T267" s="28" t="str">
        <f>IF(B267="","",TRIM(IF(COUNTIF($B$5:$B$504,B267)&gt;1,"Număr dublat. ","")&amp;IF(N(P267)=0,"Oferta nu are linii. ","")&amp;IF(M267="","Completează ce NU include oferta. ","")&amp;IF(AND(ISNUMBER(R267),R267&lt;MarjaMin),"Marjă totală sub minim. ","")&amp;IF(COUNTIFS('Linii ofertă'!$B$5:$B$1004,B267,'Linii ofertă'!$R$5:$R$1004,"Marjă*")&gt;0,"Are linii cu marjă sub minim. ","")&amp;IF(AND(S267="Expirată"),"Valabilitatea a expirat: reconfirmă prețurile. ","")))</f>
        <v/>
      </c>
    </row>
    <row r="268" spans="2:20" x14ac:dyDescent="0.2">
      <c r="B268" s="20"/>
      <c r="C268" s="21"/>
      <c r="D268" s="22"/>
      <c r="E268" s="22"/>
      <c r="F268" s="22"/>
      <c r="G268" s="20"/>
      <c r="H268" s="23" t="str">
        <f t="shared" si="8"/>
        <v/>
      </c>
      <c r="I268" s="22"/>
      <c r="J268" s="22"/>
      <c r="K268" s="24"/>
      <c r="L268" s="22"/>
      <c r="M268" s="22"/>
      <c r="N268" s="20"/>
      <c r="O268" s="21"/>
      <c r="P268" s="25" t="str">
        <f>IF(B268="","",SUMIF('Linii ofertă'!$B$5:$B$1004,B268,'Linii ofertă'!$J$5:$J$1004))</f>
        <v/>
      </c>
      <c r="Q268" s="25" t="str">
        <f>IF(B268="","",SUMIF('Linii ofertă'!$B$5:$B$1004,B268,'Linii ofertă'!$M$5:$M$1004))</f>
        <v/>
      </c>
      <c r="R268" s="26" t="str">
        <f>IF(OR(B268="",N(P268)=0),"",SUMIF('Linii ofertă'!$B$5:$B$1004,B268,'Linii ofertă'!$P$5:$P$1004)/P268)</f>
        <v/>
      </c>
      <c r="S268" s="27" t="str">
        <f t="shared" ca="1" si="9"/>
        <v/>
      </c>
      <c r="T268" s="28" t="str">
        <f>IF(B268="","",TRIM(IF(COUNTIF($B$5:$B$504,B268)&gt;1,"Număr dublat. ","")&amp;IF(N(P268)=0,"Oferta nu are linii. ","")&amp;IF(M268="","Completează ce NU include oferta. ","")&amp;IF(AND(ISNUMBER(R268),R268&lt;MarjaMin),"Marjă totală sub minim. ","")&amp;IF(COUNTIFS('Linii ofertă'!$B$5:$B$1004,B268,'Linii ofertă'!$R$5:$R$1004,"Marjă*")&gt;0,"Are linii cu marjă sub minim. ","")&amp;IF(AND(S268="Expirată"),"Valabilitatea a expirat: reconfirmă prețurile. ","")))</f>
        <v/>
      </c>
    </row>
    <row r="269" spans="2:20" x14ac:dyDescent="0.2">
      <c r="B269" s="20"/>
      <c r="C269" s="21"/>
      <c r="D269" s="22"/>
      <c r="E269" s="22"/>
      <c r="F269" s="22"/>
      <c r="G269" s="20"/>
      <c r="H269" s="23" t="str">
        <f t="shared" si="8"/>
        <v/>
      </c>
      <c r="I269" s="22"/>
      <c r="J269" s="22"/>
      <c r="K269" s="24"/>
      <c r="L269" s="22"/>
      <c r="M269" s="22"/>
      <c r="N269" s="20"/>
      <c r="O269" s="21"/>
      <c r="P269" s="25" t="str">
        <f>IF(B269="","",SUMIF('Linii ofertă'!$B$5:$B$1004,B269,'Linii ofertă'!$J$5:$J$1004))</f>
        <v/>
      </c>
      <c r="Q269" s="25" t="str">
        <f>IF(B269="","",SUMIF('Linii ofertă'!$B$5:$B$1004,B269,'Linii ofertă'!$M$5:$M$1004))</f>
        <v/>
      </c>
      <c r="R269" s="26" t="str">
        <f>IF(OR(B269="",N(P269)=0),"",SUMIF('Linii ofertă'!$B$5:$B$1004,B269,'Linii ofertă'!$P$5:$P$1004)/P269)</f>
        <v/>
      </c>
      <c r="S269" s="27" t="str">
        <f t="shared" ca="1" si="9"/>
        <v/>
      </c>
      <c r="T269" s="28" t="str">
        <f>IF(B269="","",TRIM(IF(COUNTIF($B$5:$B$504,B269)&gt;1,"Număr dublat. ","")&amp;IF(N(P269)=0,"Oferta nu are linii. ","")&amp;IF(M269="","Completează ce NU include oferta. ","")&amp;IF(AND(ISNUMBER(R269),R269&lt;MarjaMin),"Marjă totală sub minim. ","")&amp;IF(COUNTIFS('Linii ofertă'!$B$5:$B$1004,B269,'Linii ofertă'!$R$5:$R$1004,"Marjă*")&gt;0,"Are linii cu marjă sub minim. ","")&amp;IF(AND(S269="Expirată"),"Valabilitatea a expirat: reconfirmă prețurile. ","")))</f>
        <v/>
      </c>
    </row>
    <row r="270" spans="2:20" x14ac:dyDescent="0.2">
      <c r="B270" s="20"/>
      <c r="C270" s="21"/>
      <c r="D270" s="22"/>
      <c r="E270" s="22"/>
      <c r="F270" s="22"/>
      <c r="G270" s="20"/>
      <c r="H270" s="23" t="str">
        <f t="shared" si="8"/>
        <v/>
      </c>
      <c r="I270" s="22"/>
      <c r="J270" s="22"/>
      <c r="K270" s="24"/>
      <c r="L270" s="22"/>
      <c r="M270" s="22"/>
      <c r="N270" s="20"/>
      <c r="O270" s="21"/>
      <c r="P270" s="25" t="str">
        <f>IF(B270="","",SUMIF('Linii ofertă'!$B$5:$B$1004,B270,'Linii ofertă'!$J$5:$J$1004))</f>
        <v/>
      </c>
      <c r="Q270" s="25" t="str">
        <f>IF(B270="","",SUMIF('Linii ofertă'!$B$5:$B$1004,B270,'Linii ofertă'!$M$5:$M$1004))</f>
        <v/>
      </c>
      <c r="R270" s="26" t="str">
        <f>IF(OR(B270="",N(P270)=0),"",SUMIF('Linii ofertă'!$B$5:$B$1004,B270,'Linii ofertă'!$P$5:$P$1004)/P270)</f>
        <v/>
      </c>
      <c r="S270" s="27" t="str">
        <f t="shared" ca="1" si="9"/>
        <v/>
      </c>
      <c r="T270" s="28" t="str">
        <f>IF(B270="","",TRIM(IF(COUNTIF($B$5:$B$504,B270)&gt;1,"Număr dublat. ","")&amp;IF(N(P270)=0,"Oferta nu are linii. ","")&amp;IF(M270="","Completează ce NU include oferta. ","")&amp;IF(AND(ISNUMBER(R270),R270&lt;MarjaMin),"Marjă totală sub minim. ","")&amp;IF(COUNTIFS('Linii ofertă'!$B$5:$B$1004,B270,'Linii ofertă'!$R$5:$R$1004,"Marjă*")&gt;0,"Are linii cu marjă sub minim. ","")&amp;IF(AND(S270="Expirată"),"Valabilitatea a expirat: reconfirmă prețurile. ","")))</f>
        <v/>
      </c>
    </row>
    <row r="271" spans="2:20" x14ac:dyDescent="0.2">
      <c r="B271" s="20"/>
      <c r="C271" s="21"/>
      <c r="D271" s="22"/>
      <c r="E271" s="22"/>
      <c r="F271" s="22"/>
      <c r="G271" s="20"/>
      <c r="H271" s="23" t="str">
        <f t="shared" si="8"/>
        <v/>
      </c>
      <c r="I271" s="22"/>
      <c r="J271" s="22"/>
      <c r="K271" s="24"/>
      <c r="L271" s="22"/>
      <c r="M271" s="22"/>
      <c r="N271" s="20"/>
      <c r="O271" s="21"/>
      <c r="P271" s="25" t="str">
        <f>IF(B271="","",SUMIF('Linii ofertă'!$B$5:$B$1004,B271,'Linii ofertă'!$J$5:$J$1004))</f>
        <v/>
      </c>
      <c r="Q271" s="25" t="str">
        <f>IF(B271="","",SUMIF('Linii ofertă'!$B$5:$B$1004,B271,'Linii ofertă'!$M$5:$M$1004))</f>
        <v/>
      </c>
      <c r="R271" s="26" t="str">
        <f>IF(OR(B271="",N(P271)=0),"",SUMIF('Linii ofertă'!$B$5:$B$1004,B271,'Linii ofertă'!$P$5:$P$1004)/P271)</f>
        <v/>
      </c>
      <c r="S271" s="27" t="str">
        <f t="shared" ca="1" si="9"/>
        <v/>
      </c>
      <c r="T271" s="28" t="str">
        <f>IF(B271="","",TRIM(IF(COUNTIF($B$5:$B$504,B271)&gt;1,"Număr dublat. ","")&amp;IF(N(P271)=0,"Oferta nu are linii. ","")&amp;IF(M271="","Completează ce NU include oferta. ","")&amp;IF(AND(ISNUMBER(R271),R271&lt;MarjaMin),"Marjă totală sub minim. ","")&amp;IF(COUNTIFS('Linii ofertă'!$B$5:$B$1004,B271,'Linii ofertă'!$R$5:$R$1004,"Marjă*")&gt;0,"Are linii cu marjă sub minim. ","")&amp;IF(AND(S271="Expirată"),"Valabilitatea a expirat: reconfirmă prețurile. ","")))</f>
        <v/>
      </c>
    </row>
    <row r="272" spans="2:20" x14ac:dyDescent="0.2">
      <c r="B272" s="20"/>
      <c r="C272" s="21"/>
      <c r="D272" s="22"/>
      <c r="E272" s="22"/>
      <c r="F272" s="22"/>
      <c r="G272" s="20"/>
      <c r="H272" s="23" t="str">
        <f t="shared" si="8"/>
        <v/>
      </c>
      <c r="I272" s="22"/>
      <c r="J272" s="22"/>
      <c r="K272" s="24"/>
      <c r="L272" s="22"/>
      <c r="M272" s="22"/>
      <c r="N272" s="20"/>
      <c r="O272" s="21"/>
      <c r="P272" s="25" t="str">
        <f>IF(B272="","",SUMIF('Linii ofertă'!$B$5:$B$1004,B272,'Linii ofertă'!$J$5:$J$1004))</f>
        <v/>
      </c>
      <c r="Q272" s="25" t="str">
        <f>IF(B272="","",SUMIF('Linii ofertă'!$B$5:$B$1004,B272,'Linii ofertă'!$M$5:$M$1004))</f>
        <v/>
      </c>
      <c r="R272" s="26" t="str">
        <f>IF(OR(B272="",N(P272)=0),"",SUMIF('Linii ofertă'!$B$5:$B$1004,B272,'Linii ofertă'!$P$5:$P$1004)/P272)</f>
        <v/>
      </c>
      <c r="S272" s="27" t="str">
        <f t="shared" ca="1" si="9"/>
        <v/>
      </c>
      <c r="T272" s="28" t="str">
        <f>IF(B272="","",TRIM(IF(COUNTIF($B$5:$B$504,B272)&gt;1,"Număr dublat. ","")&amp;IF(N(P272)=0,"Oferta nu are linii. ","")&amp;IF(M272="","Completează ce NU include oferta. ","")&amp;IF(AND(ISNUMBER(R272),R272&lt;MarjaMin),"Marjă totală sub minim. ","")&amp;IF(COUNTIFS('Linii ofertă'!$B$5:$B$1004,B272,'Linii ofertă'!$R$5:$R$1004,"Marjă*")&gt;0,"Are linii cu marjă sub minim. ","")&amp;IF(AND(S272="Expirată"),"Valabilitatea a expirat: reconfirmă prețurile. ","")))</f>
        <v/>
      </c>
    </row>
    <row r="273" spans="2:20" x14ac:dyDescent="0.2">
      <c r="B273" s="20"/>
      <c r="C273" s="21"/>
      <c r="D273" s="22"/>
      <c r="E273" s="22"/>
      <c r="F273" s="22"/>
      <c r="G273" s="20"/>
      <c r="H273" s="23" t="str">
        <f t="shared" si="8"/>
        <v/>
      </c>
      <c r="I273" s="22"/>
      <c r="J273" s="22"/>
      <c r="K273" s="24"/>
      <c r="L273" s="22"/>
      <c r="M273" s="22"/>
      <c r="N273" s="20"/>
      <c r="O273" s="21"/>
      <c r="P273" s="25" t="str">
        <f>IF(B273="","",SUMIF('Linii ofertă'!$B$5:$B$1004,B273,'Linii ofertă'!$J$5:$J$1004))</f>
        <v/>
      </c>
      <c r="Q273" s="25" t="str">
        <f>IF(B273="","",SUMIF('Linii ofertă'!$B$5:$B$1004,B273,'Linii ofertă'!$M$5:$M$1004))</f>
        <v/>
      </c>
      <c r="R273" s="26" t="str">
        <f>IF(OR(B273="",N(P273)=0),"",SUMIF('Linii ofertă'!$B$5:$B$1004,B273,'Linii ofertă'!$P$5:$P$1004)/P273)</f>
        <v/>
      </c>
      <c r="S273" s="27" t="str">
        <f t="shared" ca="1" si="9"/>
        <v/>
      </c>
      <c r="T273" s="28" t="str">
        <f>IF(B273="","",TRIM(IF(COUNTIF($B$5:$B$504,B273)&gt;1,"Număr dublat. ","")&amp;IF(N(P273)=0,"Oferta nu are linii. ","")&amp;IF(M273="","Completează ce NU include oferta. ","")&amp;IF(AND(ISNUMBER(R273),R273&lt;MarjaMin),"Marjă totală sub minim. ","")&amp;IF(COUNTIFS('Linii ofertă'!$B$5:$B$1004,B273,'Linii ofertă'!$R$5:$R$1004,"Marjă*")&gt;0,"Are linii cu marjă sub minim. ","")&amp;IF(AND(S273="Expirată"),"Valabilitatea a expirat: reconfirmă prețurile. ","")))</f>
        <v/>
      </c>
    </row>
    <row r="274" spans="2:20" x14ac:dyDescent="0.2">
      <c r="B274" s="20"/>
      <c r="C274" s="21"/>
      <c r="D274" s="22"/>
      <c r="E274" s="22"/>
      <c r="F274" s="22"/>
      <c r="G274" s="20"/>
      <c r="H274" s="23" t="str">
        <f t="shared" si="8"/>
        <v/>
      </c>
      <c r="I274" s="22"/>
      <c r="J274" s="22"/>
      <c r="K274" s="24"/>
      <c r="L274" s="22"/>
      <c r="M274" s="22"/>
      <c r="N274" s="20"/>
      <c r="O274" s="21"/>
      <c r="P274" s="25" t="str">
        <f>IF(B274="","",SUMIF('Linii ofertă'!$B$5:$B$1004,B274,'Linii ofertă'!$J$5:$J$1004))</f>
        <v/>
      </c>
      <c r="Q274" s="25" t="str">
        <f>IF(B274="","",SUMIF('Linii ofertă'!$B$5:$B$1004,B274,'Linii ofertă'!$M$5:$M$1004))</f>
        <v/>
      </c>
      <c r="R274" s="26" t="str">
        <f>IF(OR(B274="",N(P274)=0),"",SUMIF('Linii ofertă'!$B$5:$B$1004,B274,'Linii ofertă'!$P$5:$P$1004)/P274)</f>
        <v/>
      </c>
      <c r="S274" s="27" t="str">
        <f t="shared" ca="1" si="9"/>
        <v/>
      </c>
      <c r="T274" s="28" t="str">
        <f>IF(B274="","",TRIM(IF(COUNTIF($B$5:$B$504,B274)&gt;1,"Număr dublat. ","")&amp;IF(N(P274)=0,"Oferta nu are linii. ","")&amp;IF(M274="","Completează ce NU include oferta. ","")&amp;IF(AND(ISNUMBER(R274),R274&lt;MarjaMin),"Marjă totală sub minim. ","")&amp;IF(COUNTIFS('Linii ofertă'!$B$5:$B$1004,B274,'Linii ofertă'!$R$5:$R$1004,"Marjă*")&gt;0,"Are linii cu marjă sub minim. ","")&amp;IF(AND(S274="Expirată"),"Valabilitatea a expirat: reconfirmă prețurile. ","")))</f>
        <v/>
      </c>
    </row>
    <row r="275" spans="2:20" x14ac:dyDescent="0.2">
      <c r="B275" s="20"/>
      <c r="C275" s="21"/>
      <c r="D275" s="22"/>
      <c r="E275" s="22"/>
      <c r="F275" s="22"/>
      <c r="G275" s="20"/>
      <c r="H275" s="23" t="str">
        <f t="shared" si="8"/>
        <v/>
      </c>
      <c r="I275" s="22"/>
      <c r="J275" s="22"/>
      <c r="K275" s="24"/>
      <c r="L275" s="22"/>
      <c r="M275" s="22"/>
      <c r="N275" s="20"/>
      <c r="O275" s="21"/>
      <c r="P275" s="25" t="str">
        <f>IF(B275="","",SUMIF('Linii ofertă'!$B$5:$B$1004,B275,'Linii ofertă'!$J$5:$J$1004))</f>
        <v/>
      </c>
      <c r="Q275" s="25" t="str">
        <f>IF(B275="","",SUMIF('Linii ofertă'!$B$5:$B$1004,B275,'Linii ofertă'!$M$5:$M$1004))</f>
        <v/>
      </c>
      <c r="R275" s="26" t="str">
        <f>IF(OR(B275="",N(P275)=0),"",SUMIF('Linii ofertă'!$B$5:$B$1004,B275,'Linii ofertă'!$P$5:$P$1004)/P275)</f>
        <v/>
      </c>
      <c r="S275" s="27" t="str">
        <f t="shared" ca="1" si="9"/>
        <v/>
      </c>
      <c r="T275" s="28" t="str">
        <f>IF(B275="","",TRIM(IF(COUNTIF($B$5:$B$504,B275)&gt;1,"Număr dublat. ","")&amp;IF(N(P275)=0,"Oferta nu are linii. ","")&amp;IF(M275="","Completează ce NU include oferta. ","")&amp;IF(AND(ISNUMBER(R275),R275&lt;MarjaMin),"Marjă totală sub minim. ","")&amp;IF(COUNTIFS('Linii ofertă'!$B$5:$B$1004,B275,'Linii ofertă'!$R$5:$R$1004,"Marjă*")&gt;0,"Are linii cu marjă sub minim. ","")&amp;IF(AND(S275="Expirată"),"Valabilitatea a expirat: reconfirmă prețurile. ","")))</f>
        <v/>
      </c>
    </row>
    <row r="276" spans="2:20" x14ac:dyDescent="0.2">
      <c r="B276" s="20"/>
      <c r="C276" s="21"/>
      <c r="D276" s="22"/>
      <c r="E276" s="22"/>
      <c r="F276" s="22"/>
      <c r="G276" s="20"/>
      <c r="H276" s="23" t="str">
        <f t="shared" si="8"/>
        <v/>
      </c>
      <c r="I276" s="22"/>
      <c r="J276" s="22"/>
      <c r="K276" s="24"/>
      <c r="L276" s="22"/>
      <c r="M276" s="22"/>
      <c r="N276" s="20"/>
      <c r="O276" s="21"/>
      <c r="P276" s="25" t="str">
        <f>IF(B276="","",SUMIF('Linii ofertă'!$B$5:$B$1004,B276,'Linii ofertă'!$J$5:$J$1004))</f>
        <v/>
      </c>
      <c r="Q276" s="25" t="str">
        <f>IF(B276="","",SUMIF('Linii ofertă'!$B$5:$B$1004,B276,'Linii ofertă'!$M$5:$M$1004))</f>
        <v/>
      </c>
      <c r="R276" s="26" t="str">
        <f>IF(OR(B276="",N(P276)=0),"",SUMIF('Linii ofertă'!$B$5:$B$1004,B276,'Linii ofertă'!$P$5:$P$1004)/P276)</f>
        <v/>
      </c>
      <c r="S276" s="27" t="str">
        <f t="shared" ca="1" si="9"/>
        <v/>
      </c>
      <c r="T276" s="28" t="str">
        <f>IF(B276="","",TRIM(IF(COUNTIF($B$5:$B$504,B276)&gt;1,"Număr dublat. ","")&amp;IF(N(P276)=0,"Oferta nu are linii. ","")&amp;IF(M276="","Completează ce NU include oferta. ","")&amp;IF(AND(ISNUMBER(R276),R276&lt;MarjaMin),"Marjă totală sub minim. ","")&amp;IF(COUNTIFS('Linii ofertă'!$B$5:$B$1004,B276,'Linii ofertă'!$R$5:$R$1004,"Marjă*")&gt;0,"Are linii cu marjă sub minim. ","")&amp;IF(AND(S276="Expirată"),"Valabilitatea a expirat: reconfirmă prețurile. ","")))</f>
        <v/>
      </c>
    </row>
    <row r="277" spans="2:20" x14ac:dyDescent="0.2">
      <c r="B277" s="20"/>
      <c r="C277" s="21"/>
      <c r="D277" s="22"/>
      <c r="E277" s="22"/>
      <c r="F277" s="22"/>
      <c r="G277" s="20"/>
      <c r="H277" s="23" t="str">
        <f t="shared" si="8"/>
        <v/>
      </c>
      <c r="I277" s="22"/>
      <c r="J277" s="22"/>
      <c r="K277" s="24"/>
      <c r="L277" s="22"/>
      <c r="M277" s="22"/>
      <c r="N277" s="20"/>
      <c r="O277" s="21"/>
      <c r="P277" s="25" t="str">
        <f>IF(B277="","",SUMIF('Linii ofertă'!$B$5:$B$1004,B277,'Linii ofertă'!$J$5:$J$1004))</f>
        <v/>
      </c>
      <c r="Q277" s="25" t="str">
        <f>IF(B277="","",SUMIF('Linii ofertă'!$B$5:$B$1004,B277,'Linii ofertă'!$M$5:$M$1004))</f>
        <v/>
      </c>
      <c r="R277" s="26" t="str">
        <f>IF(OR(B277="",N(P277)=0),"",SUMIF('Linii ofertă'!$B$5:$B$1004,B277,'Linii ofertă'!$P$5:$P$1004)/P277)</f>
        <v/>
      </c>
      <c r="S277" s="27" t="str">
        <f t="shared" ca="1" si="9"/>
        <v/>
      </c>
      <c r="T277" s="28" t="str">
        <f>IF(B277="","",TRIM(IF(COUNTIF($B$5:$B$504,B277)&gt;1,"Număr dublat. ","")&amp;IF(N(P277)=0,"Oferta nu are linii. ","")&amp;IF(M277="","Completează ce NU include oferta. ","")&amp;IF(AND(ISNUMBER(R277),R277&lt;MarjaMin),"Marjă totală sub minim. ","")&amp;IF(COUNTIFS('Linii ofertă'!$B$5:$B$1004,B277,'Linii ofertă'!$R$5:$R$1004,"Marjă*")&gt;0,"Are linii cu marjă sub minim. ","")&amp;IF(AND(S277="Expirată"),"Valabilitatea a expirat: reconfirmă prețurile. ","")))</f>
        <v/>
      </c>
    </row>
    <row r="278" spans="2:20" x14ac:dyDescent="0.2">
      <c r="B278" s="20"/>
      <c r="C278" s="21"/>
      <c r="D278" s="22"/>
      <c r="E278" s="22"/>
      <c r="F278" s="22"/>
      <c r="G278" s="20"/>
      <c r="H278" s="23" t="str">
        <f t="shared" si="8"/>
        <v/>
      </c>
      <c r="I278" s="22"/>
      <c r="J278" s="22"/>
      <c r="K278" s="24"/>
      <c r="L278" s="22"/>
      <c r="M278" s="22"/>
      <c r="N278" s="20"/>
      <c r="O278" s="21"/>
      <c r="P278" s="25" t="str">
        <f>IF(B278="","",SUMIF('Linii ofertă'!$B$5:$B$1004,B278,'Linii ofertă'!$J$5:$J$1004))</f>
        <v/>
      </c>
      <c r="Q278" s="25" t="str">
        <f>IF(B278="","",SUMIF('Linii ofertă'!$B$5:$B$1004,B278,'Linii ofertă'!$M$5:$M$1004))</f>
        <v/>
      </c>
      <c r="R278" s="26" t="str">
        <f>IF(OR(B278="",N(P278)=0),"",SUMIF('Linii ofertă'!$B$5:$B$1004,B278,'Linii ofertă'!$P$5:$P$1004)/P278)</f>
        <v/>
      </c>
      <c r="S278" s="27" t="str">
        <f t="shared" ca="1" si="9"/>
        <v/>
      </c>
      <c r="T278" s="28" t="str">
        <f>IF(B278="","",TRIM(IF(COUNTIF($B$5:$B$504,B278)&gt;1,"Număr dublat. ","")&amp;IF(N(P278)=0,"Oferta nu are linii. ","")&amp;IF(M278="","Completează ce NU include oferta. ","")&amp;IF(AND(ISNUMBER(R278),R278&lt;MarjaMin),"Marjă totală sub minim. ","")&amp;IF(COUNTIFS('Linii ofertă'!$B$5:$B$1004,B278,'Linii ofertă'!$R$5:$R$1004,"Marjă*")&gt;0,"Are linii cu marjă sub minim. ","")&amp;IF(AND(S278="Expirată"),"Valabilitatea a expirat: reconfirmă prețurile. ","")))</f>
        <v/>
      </c>
    </row>
    <row r="279" spans="2:20" x14ac:dyDescent="0.2">
      <c r="B279" s="20"/>
      <c r="C279" s="21"/>
      <c r="D279" s="22"/>
      <c r="E279" s="22"/>
      <c r="F279" s="22"/>
      <c r="G279" s="20"/>
      <c r="H279" s="23" t="str">
        <f t="shared" si="8"/>
        <v/>
      </c>
      <c r="I279" s="22"/>
      <c r="J279" s="22"/>
      <c r="K279" s="24"/>
      <c r="L279" s="22"/>
      <c r="M279" s="22"/>
      <c r="N279" s="20"/>
      <c r="O279" s="21"/>
      <c r="P279" s="25" t="str">
        <f>IF(B279="","",SUMIF('Linii ofertă'!$B$5:$B$1004,B279,'Linii ofertă'!$J$5:$J$1004))</f>
        <v/>
      </c>
      <c r="Q279" s="25" t="str">
        <f>IF(B279="","",SUMIF('Linii ofertă'!$B$5:$B$1004,B279,'Linii ofertă'!$M$5:$M$1004))</f>
        <v/>
      </c>
      <c r="R279" s="26" t="str">
        <f>IF(OR(B279="",N(P279)=0),"",SUMIF('Linii ofertă'!$B$5:$B$1004,B279,'Linii ofertă'!$P$5:$P$1004)/P279)</f>
        <v/>
      </c>
      <c r="S279" s="27" t="str">
        <f t="shared" ca="1" si="9"/>
        <v/>
      </c>
      <c r="T279" s="28" t="str">
        <f>IF(B279="","",TRIM(IF(COUNTIF($B$5:$B$504,B279)&gt;1,"Număr dublat. ","")&amp;IF(N(P279)=0,"Oferta nu are linii. ","")&amp;IF(M279="","Completează ce NU include oferta. ","")&amp;IF(AND(ISNUMBER(R279),R279&lt;MarjaMin),"Marjă totală sub minim. ","")&amp;IF(COUNTIFS('Linii ofertă'!$B$5:$B$1004,B279,'Linii ofertă'!$R$5:$R$1004,"Marjă*")&gt;0,"Are linii cu marjă sub minim. ","")&amp;IF(AND(S279="Expirată"),"Valabilitatea a expirat: reconfirmă prețurile. ","")))</f>
        <v/>
      </c>
    </row>
    <row r="280" spans="2:20" x14ac:dyDescent="0.2">
      <c r="B280" s="20"/>
      <c r="C280" s="21"/>
      <c r="D280" s="22"/>
      <c r="E280" s="22"/>
      <c r="F280" s="22"/>
      <c r="G280" s="20"/>
      <c r="H280" s="23" t="str">
        <f t="shared" si="8"/>
        <v/>
      </c>
      <c r="I280" s="22"/>
      <c r="J280" s="22"/>
      <c r="K280" s="24"/>
      <c r="L280" s="22"/>
      <c r="M280" s="22"/>
      <c r="N280" s="20"/>
      <c r="O280" s="21"/>
      <c r="P280" s="25" t="str">
        <f>IF(B280="","",SUMIF('Linii ofertă'!$B$5:$B$1004,B280,'Linii ofertă'!$J$5:$J$1004))</f>
        <v/>
      </c>
      <c r="Q280" s="25" t="str">
        <f>IF(B280="","",SUMIF('Linii ofertă'!$B$5:$B$1004,B280,'Linii ofertă'!$M$5:$M$1004))</f>
        <v/>
      </c>
      <c r="R280" s="26" t="str">
        <f>IF(OR(B280="",N(P280)=0),"",SUMIF('Linii ofertă'!$B$5:$B$1004,B280,'Linii ofertă'!$P$5:$P$1004)/P280)</f>
        <v/>
      </c>
      <c r="S280" s="27" t="str">
        <f t="shared" ca="1" si="9"/>
        <v/>
      </c>
      <c r="T280" s="28" t="str">
        <f>IF(B280="","",TRIM(IF(COUNTIF($B$5:$B$504,B280)&gt;1,"Număr dublat. ","")&amp;IF(N(P280)=0,"Oferta nu are linii. ","")&amp;IF(M280="","Completează ce NU include oferta. ","")&amp;IF(AND(ISNUMBER(R280),R280&lt;MarjaMin),"Marjă totală sub minim. ","")&amp;IF(COUNTIFS('Linii ofertă'!$B$5:$B$1004,B280,'Linii ofertă'!$R$5:$R$1004,"Marjă*")&gt;0,"Are linii cu marjă sub minim. ","")&amp;IF(AND(S280="Expirată"),"Valabilitatea a expirat: reconfirmă prețurile. ","")))</f>
        <v/>
      </c>
    </row>
    <row r="281" spans="2:20" x14ac:dyDescent="0.2">
      <c r="B281" s="20"/>
      <c r="C281" s="21"/>
      <c r="D281" s="22"/>
      <c r="E281" s="22"/>
      <c r="F281" s="22"/>
      <c r="G281" s="20"/>
      <c r="H281" s="23" t="str">
        <f t="shared" si="8"/>
        <v/>
      </c>
      <c r="I281" s="22"/>
      <c r="J281" s="22"/>
      <c r="K281" s="24"/>
      <c r="L281" s="22"/>
      <c r="M281" s="22"/>
      <c r="N281" s="20"/>
      <c r="O281" s="21"/>
      <c r="P281" s="25" t="str">
        <f>IF(B281="","",SUMIF('Linii ofertă'!$B$5:$B$1004,B281,'Linii ofertă'!$J$5:$J$1004))</f>
        <v/>
      </c>
      <c r="Q281" s="25" t="str">
        <f>IF(B281="","",SUMIF('Linii ofertă'!$B$5:$B$1004,B281,'Linii ofertă'!$M$5:$M$1004))</f>
        <v/>
      </c>
      <c r="R281" s="26" t="str">
        <f>IF(OR(B281="",N(P281)=0),"",SUMIF('Linii ofertă'!$B$5:$B$1004,B281,'Linii ofertă'!$P$5:$P$1004)/P281)</f>
        <v/>
      </c>
      <c r="S281" s="27" t="str">
        <f t="shared" ca="1" si="9"/>
        <v/>
      </c>
      <c r="T281" s="28" t="str">
        <f>IF(B281="","",TRIM(IF(COUNTIF($B$5:$B$504,B281)&gt;1,"Număr dublat. ","")&amp;IF(N(P281)=0,"Oferta nu are linii. ","")&amp;IF(M281="","Completează ce NU include oferta. ","")&amp;IF(AND(ISNUMBER(R281),R281&lt;MarjaMin),"Marjă totală sub minim. ","")&amp;IF(COUNTIFS('Linii ofertă'!$B$5:$B$1004,B281,'Linii ofertă'!$R$5:$R$1004,"Marjă*")&gt;0,"Are linii cu marjă sub minim. ","")&amp;IF(AND(S281="Expirată"),"Valabilitatea a expirat: reconfirmă prețurile. ","")))</f>
        <v/>
      </c>
    </row>
    <row r="282" spans="2:20" x14ac:dyDescent="0.2">
      <c r="B282" s="20"/>
      <c r="C282" s="21"/>
      <c r="D282" s="22"/>
      <c r="E282" s="22"/>
      <c r="F282" s="22"/>
      <c r="G282" s="20"/>
      <c r="H282" s="23" t="str">
        <f t="shared" si="8"/>
        <v/>
      </c>
      <c r="I282" s="22"/>
      <c r="J282" s="22"/>
      <c r="K282" s="24"/>
      <c r="L282" s="22"/>
      <c r="M282" s="22"/>
      <c r="N282" s="20"/>
      <c r="O282" s="21"/>
      <c r="P282" s="25" t="str">
        <f>IF(B282="","",SUMIF('Linii ofertă'!$B$5:$B$1004,B282,'Linii ofertă'!$J$5:$J$1004))</f>
        <v/>
      </c>
      <c r="Q282" s="25" t="str">
        <f>IF(B282="","",SUMIF('Linii ofertă'!$B$5:$B$1004,B282,'Linii ofertă'!$M$5:$M$1004))</f>
        <v/>
      </c>
      <c r="R282" s="26" t="str">
        <f>IF(OR(B282="",N(P282)=0),"",SUMIF('Linii ofertă'!$B$5:$B$1004,B282,'Linii ofertă'!$P$5:$P$1004)/P282)</f>
        <v/>
      </c>
      <c r="S282" s="27" t="str">
        <f t="shared" ca="1" si="9"/>
        <v/>
      </c>
      <c r="T282" s="28" t="str">
        <f>IF(B282="","",TRIM(IF(COUNTIF($B$5:$B$504,B282)&gt;1,"Număr dublat. ","")&amp;IF(N(P282)=0,"Oferta nu are linii. ","")&amp;IF(M282="","Completează ce NU include oferta. ","")&amp;IF(AND(ISNUMBER(R282),R282&lt;MarjaMin),"Marjă totală sub minim. ","")&amp;IF(COUNTIFS('Linii ofertă'!$B$5:$B$1004,B282,'Linii ofertă'!$R$5:$R$1004,"Marjă*")&gt;0,"Are linii cu marjă sub minim. ","")&amp;IF(AND(S282="Expirată"),"Valabilitatea a expirat: reconfirmă prețurile. ","")))</f>
        <v/>
      </c>
    </row>
    <row r="283" spans="2:20" x14ac:dyDescent="0.2">
      <c r="B283" s="20"/>
      <c r="C283" s="21"/>
      <c r="D283" s="22"/>
      <c r="E283" s="22"/>
      <c r="F283" s="22"/>
      <c r="G283" s="20"/>
      <c r="H283" s="23" t="str">
        <f t="shared" si="8"/>
        <v/>
      </c>
      <c r="I283" s="22"/>
      <c r="J283" s="22"/>
      <c r="K283" s="24"/>
      <c r="L283" s="22"/>
      <c r="M283" s="22"/>
      <c r="N283" s="20"/>
      <c r="O283" s="21"/>
      <c r="P283" s="25" t="str">
        <f>IF(B283="","",SUMIF('Linii ofertă'!$B$5:$B$1004,B283,'Linii ofertă'!$J$5:$J$1004))</f>
        <v/>
      </c>
      <c r="Q283" s="25" t="str">
        <f>IF(B283="","",SUMIF('Linii ofertă'!$B$5:$B$1004,B283,'Linii ofertă'!$M$5:$M$1004))</f>
        <v/>
      </c>
      <c r="R283" s="26" t="str">
        <f>IF(OR(B283="",N(P283)=0),"",SUMIF('Linii ofertă'!$B$5:$B$1004,B283,'Linii ofertă'!$P$5:$P$1004)/P283)</f>
        <v/>
      </c>
      <c r="S283" s="27" t="str">
        <f t="shared" ca="1" si="9"/>
        <v/>
      </c>
      <c r="T283" s="28" t="str">
        <f>IF(B283="","",TRIM(IF(COUNTIF($B$5:$B$504,B283)&gt;1,"Număr dublat. ","")&amp;IF(N(P283)=0,"Oferta nu are linii. ","")&amp;IF(M283="","Completează ce NU include oferta. ","")&amp;IF(AND(ISNUMBER(R283),R283&lt;MarjaMin),"Marjă totală sub minim. ","")&amp;IF(COUNTIFS('Linii ofertă'!$B$5:$B$1004,B283,'Linii ofertă'!$R$5:$R$1004,"Marjă*")&gt;0,"Are linii cu marjă sub minim. ","")&amp;IF(AND(S283="Expirată"),"Valabilitatea a expirat: reconfirmă prețurile. ","")))</f>
        <v/>
      </c>
    </row>
    <row r="284" spans="2:20" x14ac:dyDescent="0.2">
      <c r="B284" s="20"/>
      <c r="C284" s="21"/>
      <c r="D284" s="22"/>
      <c r="E284" s="22"/>
      <c r="F284" s="22"/>
      <c r="G284" s="20"/>
      <c r="H284" s="23" t="str">
        <f t="shared" si="8"/>
        <v/>
      </c>
      <c r="I284" s="22"/>
      <c r="J284" s="22"/>
      <c r="K284" s="24"/>
      <c r="L284" s="22"/>
      <c r="M284" s="22"/>
      <c r="N284" s="20"/>
      <c r="O284" s="21"/>
      <c r="P284" s="25" t="str">
        <f>IF(B284="","",SUMIF('Linii ofertă'!$B$5:$B$1004,B284,'Linii ofertă'!$J$5:$J$1004))</f>
        <v/>
      </c>
      <c r="Q284" s="25" t="str">
        <f>IF(B284="","",SUMIF('Linii ofertă'!$B$5:$B$1004,B284,'Linii ofertă'!$M$5:$M$1004))</f>
        <v/>
      </c>
      <c r="R284" s="26" t="str">
        <f>IF(OR(B284="",N(P284)=0),"",SUMIF('Linii ofertă'!$B$5:$B$1004,B284,'Linii ofertă'!$P$5:$P$1004)/P284)</f>
        <v/>
      </c>
      <c r="S284" s="27" t="str">
        <f t="shared" ca="1" si="9"/>
        <v/>
      </c>
      <c r="T284" s="28" t="str">
        <f>IF(B284="","",TRIM(IF(COUNTIF($B$5:$B$504,B284)&gt;1,"Număr dublat. ","")&amp;IF(N(P284)=0,"Oferta nu are linii. ","")&amp;IF(M284="","Completează ce NU include oferta. ","")&amp;IF(AND(ISNUMBER(R284),R284&lt;MarjaMin),"Marjă totală sub minim. ","")&amp;IF(COUNTIFS('Linii ofertă'!$B$5:$B$1004,B284,'Linii ofertă'!$R$5:$R$1004,"Marjă*")&gt;0,"Are linii cu marjă sub minim. ","")&amp;IF(AND(S284="Expirată"),"Valabilitatea a expirat: reconfirmă prețurile. ","")))</f>
        <v/>
      </c>
    </row>
    <row r="285" spans="2:20" x14ac:dyDescent="0.2">
      <c r="B285" s="20"/>
      <c r="C285" s="21"/>
      <c r="D285" s="22"/>
      <c r="E285" s="22"/>
      <c r="F285" s="22"/>
      <c r="G285" s="20"/>
      <c r="H285" s="23" t="str">
        <f t="shared" si="8"/>
        <v/>
      </c>
      <c r="I285" s="22"/>
      <c r="J285" s="22"/>
      <c r="K285" s="24"/>
      <c r="L285" s="22"/>
      <c r="M285" s="22"/>
      <c r="N285" s="20"/>
      <c r="O285" s="21"/>
      <c r="P285" s="25" t="str">
        <f>IF(B285="","",SUMIF('Linii ofertă'!$B$5:$B$1004,B285,'Linii ofertă'!$J$5:$J$1004))</f>
        <v/>
      </c>
      <c r="Q285" s="25" t="str">
        <f>IF(B285="","",SUMIF('Linii ofertă'!$B$5:$B$1004,B285,'Linii ofertă'!$M$5:$M$1004))</f>
        <v/>
      </c>
      <c r="R285" s="26" t="str">
        <f>IF(OR(B285="",N(P285)=0),"",SUMIF('Linii ofertă'!$B$5:$B$1004,B285,'Linii ofertă'!$P$5:$P$1004)/P285)</f>
        <v/>
      </c>
      <c r="S285" s="27" t="str">
        <f t="shared" ca="1" si="9"/>
        <v/>
      </c>
      <c r="T285" s="28" t="str">
        <f>IF(B285="","",TRIM(IF(COUNTIF($B$5:$B$504,B285)&gt;1,"Număr dublat. ","")&amp;IF(N(P285)=0,"Oferta nu are linii. ","")&amp;IF(M285="","Completează ce NU include oferta. ","")&amp;IF(AND(ISNUMBER(R285),R285&lt;MarjaMin),"Marjă totală sub minim. ","")&amp;IF(COUNTIFS('Linii ofertă'!$B$5:$B$1004,B285,'Linii ofertă'!$R$5:$R$1004,"Marjă*")&gt;0,"Are linii cu marjă sub minim. ","")&amp;IF(AND(S285="Expirată"),"Valabilitatea a expirat: reconfirmă prețurile. ","")))</f>
        <v/>
      </c>
    </row>
    <row r="286" spans="2:20" x14ac:dyDescent="0.2">
      <c r="B286" s="20"/>
      <c r="C286" s="21"/>
      <c r="D286" s="22"/>
      <c r="E286" s="22"/>
      <c r="F286" s="22"/>
      <c r="G286" s="20"/>
      <c r="H286" s="23" t="str">
        <f t="shared" si="8"/>
        <v/>
      </c>
      <c r="I286" s="22"/>
      <c r="J286" s="22"/>
      <c r="K286" s="24"/>
      <c r="L286" s="22"/>
      <c r="M286" s="22"/>
      <c r="N286" s="20"/>
      <c r="O286" s="21"/>
      <c r="P286" s="25" t="str">
        <f>IF(B286="","",SUMIF('Linii ofertă'!$B$5:$B$1004,B286,'Linii ofertă'!$J$5:$J$1004))</f>
        <v/>
      </c>
      <c r="Q286" s="25" t="str">
        <f>IF(B286="","",SUMIF('Linii ofertă'!$B$5:$B$1004,B286,'Linii ofertă'!$M$5:$M$1004))</f>
        <v/>
      </c>
      <c r="R286" s="26" t="str">
        <f>IF(OR(B286="",N(P286)=0),"",SUMIF('Linii ofertă'!$B$5:$B$1004,B286,'Linii ofertă'!$P$5:$P$1004)/P286)</f>
        <v/>
      </c>
      <c r="S286" s="27" t="str">
        <f t="shared" ca="1" si="9"/>
        <v/>
      </c>
      <c r="T286" s="28" t="str">
        <f>IF(B286="","",TRIM(IF(COUNTIF($B$5:$B$504,B286)&gt;1,"Număr dublat. ","")&amp;IF(N(P286)=0,"Oferta nu are linii. ","")&amp;IF(M286="","Completează ce NU include oferta. ","")&amp;IF(AND(ISNUMBER(R286),R286&lt;MarjaMin),"Marjă totală sub minim. ","")&amp;IF(COUNTIFS('Linii ofertă'!$B$5:$B$1004,B286,'Linii ofertă'!$R$5:$R$1004,"Marjă*")&gt;0,"Are linii cu marjă sub minim. ","")&amp;IF(AND(S286="Expirată"),"Valabilitatea a expirat: reconfirmă prețurile. ","")))</f>
        <v/>
      </c>
    </row>
    <row r="287" spans="2:20" x14ac:dyDescent="0.2">
      <c r="B287" s="20"/>
      <c r="C287" s="21"/>
      <c r="D287" s="22"/>
      <c r="E287" s="22"/>
      <c r="F287" s="22"/>
      <c r="G287" s="20"/>
      <c r="H287" s="23" t="str">
        <f t="shared" si="8"/>
        <v/>
      </c>
      <c r="I287" s="22"/>
      <c r="J287" s="22"/>
      <c r="K287" s="24"/>
      <c r="L287" s="22"/>
      <c r="M287" s="22"/>
      <c r="N287" s="20"/>
      <c r="O287" s="21"/>
      <c r="P287" s="25" t="str">
        <f>IF(B287="","",SUMIF('Linii ofertă'!$B$5:$B$1004,B287,'Linii ofertă'!$J$5:$J$1004))</f>
        <v/>
      </c>
      <c r="Q287" s="25" t="str">
        <f>IF(B287="","",SUMIF('Linii ofertă'!$B$5:$B$1004,B287,'Linii ofertă'!$M$5:$M$1004))</f>
        <v/>
      </c>
      <c r="R287" s="26" t="str">
        <f>IF(OR(B287="",N(P287)=0),"",SUMIF('Linii ofertă'!$B$5:$B$1004,B287,'Linii ofertă'!$P$5:$P$1004)/P287)</f>
        <v/>
      </c>
      <c r="S287" s="27" t="str">
        <f t="shared" ca="1" si="9"/>
        <v/>
      </c>
      <c r="T287" s="28" t="str">
        <f>IF(B287="","",TRIM(IF(COUNTIF($B$5:$B$504,B287)&gt;1,"Număr dublat. ","")&amp;IF(N(P287)=0,"Oferta nu are linii. ","")&amp;IF(M287="","Completează ce NU include oferta. ","")&amp;IF(AND(ISNUMBER(R287),R287&lt;MarjaMin),"Marjă totală sub minim. ","")&amp;IF(COUNTIFS('Linii ofertă'!$B$5:$B$1004,B287,'Linii ofertă'!$R$5:$R$1004,"Marjă*")&gt;0,"Are linii cu marjă sub minim. ","")&amp;IF(AND(S287="Expirată"),"Valabilitatea a expirat: reconfirmă prețurile. ","")))</f>
        <v/>
      </c>
    </row>
    <row r="288" spans="2:20" x14ac:dyDescent="0.2">
      <c r="B288" s="20"/>
      <c r="C288" s="21"/>
      <c r="D288" s="22"/>
      <c r="E288" s="22"/>
      <c r="F288" s="22"/>
      <c r="G288" s="20"/>
      <c r="H288" s="23" t="str">
        <f t="shared" si="8"/>
        <v/>
      </c>
      <c r="I288" s="22"/>
      <c r="J288" s="22"/>
      <c r="K288" s="24"/>
      <c r="L288" s="22"/>
      <c r="M288" s="22"/>
      <c r="N288" s="20"/>
      <c r="O288" s="21"/>
      <c r="P288" s="25" t="str">
        <f>IF(B288="","",SUMIF('Linii ofertă'!$B$5:$B$1004,B288,'Linii ofertă'!$J$5:$J$1004))</f>
        <v/>
      </c>
      <c r="Q288" s="25" t="str">
        <f>IF(B288="","",SUMIF('Linii ofertă'!$B$5:$B$1004,B288,'Linii ofertă'!$M$5:$M$1004))</f>
        <v/>
      </c>
      <c r="R288" s="26" t="str">
        <f>IF(OR(B288="",N(P288)=0),"",SUMIF('Linii ofertă'!$B$5:$B$1004,B288,'Linii ofertă'!$P$5:$P$1004)/P288)</f>
        <v/>
      </c>
      <c r="S288" s="27" t="str">
        <f t="shared" ca="1" si="9"/>
        <v/>
      </c>
      <c r="T288" s="28" t="str">
        <f>IF(B288="","",TRIM(IF(COUNTIF($B$5:$B$504,B288)&gt;1,"Număr dublat. ","")&amp;IF(N(P288)=0,"Oferta nu are linii. ","")&amp;IF(M288="","Completează ce NU include oferta. ","")&amp;IF(AND(ISNUMBER(R288),R288&lt;MarjaMin),"Marjă totală sub minim. ","")&amp;IF(COUNTIFS('Linii ofertă'!$B$5:$B$1004,B288,'Linii ofertă'!$R$5:$R$1004,"Marjă*")&gt;0,"Are linii cu marjă sub minim. ","")&amp;IF(AND(S288="Expirată"),"Valabilitatea a expirat: reconfirmă prețurile. ","")))</f>
        <v/>
      </c>
    </row>
    <row r="289" spans="2:20" x14ac:dyDescent="0.2">
      <c r="B289" s="20"/>
      <c r="C289" s="21"/>
      <c r="D289" s="22"/>
      <c r="E289" s="22"/>
      <c r="F289" s="22"/>
      <c r="G289" s="20"/>
      <c r="H289" s="23" t="str">
        <f t="shared" si="8"/>
        <v/>
      </c>
      <c r="I289" s="22"/>
      <c r="J289" s="22"/>
      <c r="K289" s="24"/>
      <c r="L289" s="22"/>
      <c r="M289" s="22"/>
      <c r="N289" s="20"/>
      <c r="O289" s="21"/>
      <c r="P289" s="25" t="str">
        <f>IF(B289="","",SUMIF('Linii ofertă'!$B$5:$B$1004,B289,'Linii ofertă'!$J$5:$J$1004))</f>
        <v/>
      </c>
      <c r="Q289" s="25" t="str">
        <f>IF(B289="","",SUMIF('Linii ofertă'!$B$5:$B$1004,B289,'Linii ofertă'!$M$5:$M$1004))</f>
        <v/>
      </c>
      <c r="R289" s="26" t="str">
        <f>IF(OR(B289="",N(P289)=0),"",SUMIF('Linii ofertă'!$B$5:$B$1004,B289,'Linii ofertă'!$P$5:$P$1004)/P289)</f>
        <v/>
      </c>
      <c r="S289" s="27" t="str">
        <f t="shared" ca="1" si="9"/>
        <v/>
      </c>
      <c r="T289" s="28" t="str">
        <f>IF(B289="","",TRIM(IF(COUNTIF($B$5:$B$504,B289)&gt;1,"Număr dublat. ","")&amp;IF(N(P289)=0,"Oferta nu are linii. ","")&amp;IF(M289="","Completează ce NU include oferta. ","")&amp;IF(AND(ISNUMBER(R289),R289&lt;MarjaMin),"Marjă totală sub minim. ","")&amp;IF(COUNTIFS('Linii ofertă'!$B$5:$B$1004,B289,'Linii ofertă'!$R$5:$R$1004,"Marjă*")&gt;0,"Are linii cu marjă sub minim. ","")&amp;IF(AND(S289="Expirată"),"Valabilitatea a expirat: reconfirmă prețurile. ","")))</f>
        <v/>
      </c>
    </row>
    <row r="290" spans="2:20" x14ac:dyDescent="0.2">
      <c r="B290" s="20"/>
      <c r="C290" s="21"/>
      <c r="D290" s="22"/>
      <c r="E290" s="22"/>
      <c r="F290" s="22"/>
      <c r="G290" s="20"/>
      <c r="H290" s="23" t="str">
        <f t="shared" si="8"/>
        <v/>
      </c>
      <c r="I290" s="22"/>
      <c r="J290" s="22"/>
      <c r="K290" s="24"/>
      <c r="L290" s="22"/>
      <c r="M290" s="22"/>
      <c r="N290" s="20"/>
      <c r="O290" s="21"/>
      <c r="P290" s="25" t="str">
        <f>IF(B290="","",SUMIF('Linii ofertă'!$B$5:$B$1004,B290,'Linii ofertă'!$J$5:$J$1004))</f>
        <v/>
      </c>
      <c r="Q290" s="25" t="str">
        <f>IF(B290="","",SUMIF('Linii ofertă'!$B$5:$B$1004,B290,'Linii ofertă'!$M$5:$M$1004))</f>
        <v/>
      </c>
      <c r="R290" s="26" t="str">
        <f>IF(OR(B290="",N(P290)=0),"",SUMIF('Linii ofertă'!$B$5:$B$1004,B290,'Linii ofertă'!$P$5:$P$1004)/P290)</f>
        <v/>
      </c>
      <c r="S290" s="27" t="str">
        <f t="shared" ca="1" si="9"/>
        <v/>
      </c>
      <c r="T290" s="28" t="str">
        <f>IF(B290="","",TRIM(IF(COUNTIF($B$5:$B$504,B290)&gt;1,"Număr dublat. ","")&amp;IF(N(P290)=0,"Oferta nu are linii. ","")&amp;IF(M290="","Completează ce NU include oferta. ","")&amp;IF(AND(ISNUMBER(R290),R290&lt;MarjaMin),"Marjă totală sub minim. ","")&amp;IF(COUNTIFS('Linii ofertă'!$B$5:$B$1004,B290,'Linii ofertă'!$R$5:$R$1004,"Marjă*")&gt;0,"Are linii cu marjă sub minim. ","")&amp;IF(AND(S290="Expirată"),"Valabilitatea a expirat: reconfirmă prețurile. ","")))</f>
        <v/>
      </c>
    </row>
    <row r="291" spans="2:20" x14ac:dyDescent="0.2">
      <c r="B291" s="20"/>
      <c r="C291" s="21"/>
      <c r="D291" s="22"/>
      <c r="E291" s="22"/>
      <c r="F291" s="22"/>
      <c r="G291" s="20"/>
      <c r="H291" s="23" t="str">
        <f t="shared" si="8"/>
        <v/>
      </c>
      <c r="I291" s="22"/>
      <c r="J291" s="22"/>
      <c r="K291" s="24"/>
      <c r="L291" s="22"/>
      <c r="M291" s="22"/>
      <c r="N291" s="20"/>
      <c r="O291" s="21"/>
      <c r="P291" s="25" t="str">
        <f>IF(B291="","",SUMIF('Linii ofertă'!$B$5:$B$1004,B291,'Linii ofertă'!$J$5:$J$1004))</f>
        <v/>
      </c>
      <c r="Q291" s="25" t="str">
        <f>IF(B291="","",SUMIF('Linii ofertă'!$B$5:$B$1004,B291,'Linii ofertă'!$M$5:$M$1004))</f>
        <v/>
      </c>
      <c r="R291" s="26" t="str">
        <f>IF(OR(B291="",N(P291)=0),"",SUMIF('Linii ofertă'!$B$5:$B$1004,B291,'Linii ofertă'!$P$5:$P$1004)/P291)</f>
        <v/>
      </c>
      <c r="S291" s="27" t="str">
        <f t="shared" ca="1" si="9"/>
        <v/>
      </c>
      <c r="T291" s="28" t="str">
        <f>IF(B291="","",TRIM(IF(COUNTIF($B$5:$B$504,B291)&gt;1,"Număr dublat. ","")&amp;IF(N(P291)=0,"Oferta nu are linii. ","")&amp;IF(M291="","Completează ce NU include oferta. ","")&amp;IF(AND(ISNUMBER(R291),R291&lt;MarjaMin),"Marjă totală sub minim. ","")&amp;IF(COUNTIFS('Linii ofertă'!$B$5:$B$1004,B291,'Linii ofertă'!$R$5:$R$1004,"Marjă*")&gt;0,"Are linii cu marjă sub minim. ","")&amp;IF(AND(S291="Expirată"),"Valabilitatea a expirat: reconfirmă prețurile. ","")))</f>
        <v/>
      </c>
    </row>
    <row r="292" spans="2:20" x14ac:dyDescent="0.2">
      <c r="B292" s="20"/>
      <c r="C292" s="21"/>
      <c r="D292" s="22"/>
      <c r="E292" s="22"/>
      <c r="F292" s="22"/>
      <c r="G292" s="20"/>
      <c r="H292" s="23" t="str">
        <f t="shared" si="8"/>
        <v/>
      </c>
      <c r="I292" s="22"/>
      <c r="J292" s="22"/>
      <c r="K292" s="24"/>
      <c r="L292" s="22"/>
      <c r="M292" s="22"/>
      <c r="N292" s="20"/>
      <c r="O292" s="21"/>
      <c r="P292" s="25" t="str">
        <f>IF(B292="","",SUMIF('Linii ofertă'!$B$5:$B$1004,B292,'Linii ofertă'!$J$5:$J$1004))</f>
        <v/>
      </c>
      <c r="Q292" s="25" t="str">
        <f>IF(B292="","",SUMIF('Linii ofertă'!$B$5:$B$1004,B292,'Linii ofertă'!$M$5:$M$1004))</f>
        <v/>
      </c>
      <c r="R292" s="26" t="str">
        <f>IF(OR(B292="",N(P292)=0),"",SUMIF('Linii ofertă'!$B$5:$B$1004,B292,'Linii ofertă'!$P$5:$P$1004)/P292)</f>
        <v/>
      </c>
      <c r="S292" s="27" t="str">
        <f t="shared" ca="1" si="9"/>
        <v/>
      </c>
      <c r="T292" s="28" t="str">
        <f>IF(B292="","",TRIM(IF(COUNTIF($B$5:$B$504,B292)&gt;1,"Număr dublat. ","")&amp;IF(N(P292)=0,"Oferta nu are linii. ","")&amp;IF(M292="","Completează ce NU include oferta. ","")&amp;IF(AND(ISNUMBER(R292),R292&lt;MarjaMin),"Marjă totală sub minim. ","")&amp;IF(COUNTIFS('Linii ofertă'!$B$5:$B$1004,B292,'Linii ofertă'!$R$5:$R$1004,"Marjă*")&gt;0,"Are linii cu marjă sub minim. ","")&amp;IF(AND(S292="Expirată"),"Valabilitatea a expirat: reconfirmă prețurile. ","")))</f>
        <v/>
      </c>
    </row>
    <row r="293" spans="2:20" x14ac:dyDescent="0.2">
      <c r="B293" s="20"/>
      <c r="C293" s="21"/>
      <c r="D293" s="22"/>
      <c r="E293" s="22"/>
      <c r="F293" s="22"/>
      <c r="G293" s="20"/>
      <c r="H293" s="23" t="str">
        <f t="shared" si="8"/>
        <v/>
      </c>
      <c r="I293" s="22"/>
      <c r="J293" s="22"/>
      <c r="K293" s="24"/>
      <c r="L293" s="22"/>
      <c r="M293" s="22"/>
      <c r="N293" s="20"/>
      <c r="O293" s="21"/>
      <c r="P293" s="25" t="str">
        <f>IF(B293="","",SUMIF('Linii ofertă'!$B$5:$B$1004,B293,'Linii ofertă'!$J$5:$J$1004))</f>
        <v/>
      </c>
      <c r="Q293" s="25" t="str">
        <f>IF(B293="","",SUMIF('Linii ofertă'!$B$5:$B$1004,B293,'Linii ofertă'!$M$5:$M$1004))</f>
        <v/>
      </c>
      <c r="R293" s="26" t="str">
        <f>IF(OR(B293="",N(P293)=0),"",SUMIF('Linii ofertă'!$B$5:$B$1004,B293,'Linii ofertă'!$P$5:$P$1004)/P293)</f>
        <v/>
      </c>
      <c r="S293" s="27" t="str">
        <f t="shared" ca="1" si="9"/>
        <v/>
      </c>
      <c r="T293" s="28" t="str">
        <f>IF(B293="","",TRIM(IF(COUNTIF($B$5:$B$504,B293)&gt;1,"Număr dublat. ","")&amp;IF(N(P293)=0,"Oferta nu are linii. ","")&amp;IF(M293="","Completează ce NU include oferta. ","")&amp;IF(AND(ISNUMBER(R293),R293&lt;MarjaMin),"Marjă totală sub minim. ","")&amp;IF(COUNTIFS('Linii ofertă'!$B$5:$B$1004,B293,'Linii ofertă'!$R$5:$R$1004,"Marjă*")&gt;0,"Are linii cu marjă sub minim. ","")&amp;IF(AND(S293="Expirată"),"Valabilitatea a expirat: reconfirmă prețurile. ","")))</f>
        <v/>
      </c>
    </row>
    <row r="294" spans="2:20" x14ac:dyDescent="0.2">
      <c r="B294" s="20"/>
      <c r="C294" s="21"/>
      <c r="D294" s="22"/>
      <c r="E294" s="22"/>
      <c r="F294" s="22"/>
      <c r="G294" s="20"/>
      <c r="H294" s="23" t="str">
        <f t="shared" si="8"/>
        <v/>
      </c>
      <c r="I294" s="22"/>
      <c r="J294" s="22"/>
      <c r="K294" s="24"/>
      <c r="L294" s="22"/>
      <c r="M294" s="22"/>
      <c r="N294" s="20"/>
      <c r="O294" s="21"/>
      <c r="P294" s="25" t="str">
        <f>IF(B294="","",SUMIF('Linii ofertă'!$B$5:$B$1004,B294,'Linii ofertă'!$J$5:$J$1004))</f>
        <v/>
      </c>
      <c r="Q294" s="25" t="str">
        <f>IF(B294="","",SUMIF('Linii ofertă'!$B$5:$B$1004,B294,'Linii ofertă'!$M$5:$M$1004))</f>
        <v/>
      </c>
      <c r="R294" s="26" t="str">
        <f>IF(OR(B294="",N(P294)=0),"",SUMIF('Linii ofertă'!$B$5:$B$1004,B294,'Linii ofertă'!$P$5:$P$1004)/P294)</f>
        <v/>
      </c>
      <c r="S294" s="27" t="str">
        <f t="shared" ca="1" si="9"/>
        <v/>
      </c>
      <c r="T294" s="28" t="str">
        <f>IF(B294="","",TRIM(IF(COUNTIF($B$5:$B$504,B294)&gt;1,"Număr dublat. ","")&amp;IF(N(P294)=0,"Oferta nu are linii. ","")&amp;IF(M294="","Completează ce NU include oferta. ","")&amp;IF(AND(ISNUMBER(R294),R294&lt;MarjaMin),"Marjă totală sub minim. ","")&amp;IF(COUNTIFS('Linii ofertă'!$B$5:$B$1004,B294,'Linii ofertă'!$R$5:$R$1004,"Marjă*")&gt;0,"Are linii cu marjă sub minim. ","")&amp;IF(AND(S294="Expirată"),"Valabilitatea a expirat: reconfirmă prețurile. ","")))</f>
        <v/>
      </c>
    </row>
    <row r="295" spans="2:20" x14ac:dyDescent="0.2">
      <c r="B295" s="20"/>
      <c r="C295" s="21"/>
      <c r="D295" s="22"/>
      <c r="E295" s="22"/>
      <c r="F295" s="22"/>
      <c r="G295" s="20"/>
      <c r="H295" s="23" t="str">
        <f t="shared" si="8"/>
        <v/>
      </c>
      <c r="I295" s="22"/>
      <c r="J295" s="22"/>
      <c r="K295" s="24"/>
      <c r="L295" s="22"/>
      <c r="M295" s="22"/>
      <c r="N295" s="20"/>
      <c r="O295" s="21"/>
      <c r="P295" s="25" t="str">
        <f>IF(B295="","",SUMIF('Linii ofertă'!$B$5:$B$1004,B295,'Linii ofertă'!$J$5:$J$1004))</f>
        <v/>
      </c>
      <c r="Q295" s="25" t="str">
        <f>IF(B295="","",SUMIF('Linii ofertă'!$B$5:$B$1004,B295,'Linii ofertă'!$M$5:$M$1004))</f>
        <v/>
      </c>
      <c r="R295" s="26" t="str">
        <f>IF(OR(B295="",N(P295)=0),"",SUMIF('Linii ofertă'!$B$5:$B$1004,B295,'Linii ofertă'!$P$5:$P$1004)/P295)</f>
        <v/>
      </c>
      <c r="S295" s="27" t="str">
        <f t="shared" ca="1" si="9"/>
        <v/>
      </c>
      <c r="T295" s="28" t="str">
        <f>IF(B295="","",TRIM(IF(COUNTIF($B$5:$B$504,B295)&gt;1,"Număr dublat. ","")&amp;IF(N(P295)=0,"Oferta nu are linii. ","")&amp;IF(M295="","Completează ce NU include oferta. ","")&amp;IF(AND(ISNUMBER(R295),R295&lt;MarjaMin),"Marjă totală sub minim. ","")&amp;IF(COUNTIFS('Linii ofertă'!$B$5:$B$1004,B295,'Linii ofertă'!$R$5:$R$1004,"Marjă*")&gt;0,"Are linii cu marjă sub minim. ","")&amp;IF(AND(S295="Expirată"),"Valabilitatea a expirat: reconfirmă prețurile. ","")))</f>
        <v/>
      </c>
    </row>
    <row r="296" spans="2:20" x14ac:dyDescent="0.2">
      <c r="B296" s="20"/>
      <c r="C296" s="21"/>
      <c r="D296" s="22"/>
      <c r="E296" s="22"/>
      <c r="F296" s="22"/>
      <c r="G296" s="20"/>
      <c r="H296" s="23" t="str">
        <f t="shared" si="8"/>
        <v/>
      </c>
      <c r="I296" s="22"/>
      <c r="J296" s="22"/>
      <c r="K296" s="24"/>
      <c r="L296" s="22"/>
      <c r="M296" s="22"/>
      <c r="N296" s="20"/>
      <c r="O296" s="21"/>
      <c r="P296" s="25" t="str">
        <f>IF(B296="","",SUMIF('Linii ofertă'!$B$5:$B$1004,B296,'Linii ofertă'!$J$5:$J$1004))</f>
        <v/>
      </c>
      <c r="Q296" s="25" t="str">
        <f>IF(B296="","",SUMIF('Linii ofertă'!$B$5:$B$1004,B296,'Linii ofertă'!$M$5:$M$1004))</f>
        <v/>
      </c>
      <c r="R296" s="26" t="str">
        <f>IF(OR(B296="",N(P296)=0),"",SUMIF('Linii ofertă'!$B$5:$B$1004,B296,'Linii ofertă'!$P$5:$P$1004)/P296)</f>
        <v/>
      </c>
      <c r="S296" s="27" t="str">
        <f t="shared" ca="1" si="9"/>
        <v/>
      </c>
      <c r="T296" s="28" t="str">
        <f>IF(B296="","",TRIM(IF(COUNTIF($B$5:$B$504,B296)&gt;1,"Număr dublat. ","")&amp;IF(N(P296)=0,"Oferta nu are linii. ","")&amp;IF(M296="","Completează ce NU include oferta. ","")&amp;IF(AND(ISNUMBER(R296),R296&lt;MarjaMin),"Marjă totală sub minim. ","")&amp;IF(COUNTIFS('Linii ofertă'!$B$5:$B$1004,B296,'Linii ofertă'!$R$5:$R$1004,"Marjă*")&gt;0,"Are linii cu marjă sub minim. ","")&amp;IF(AND(S296="Expirată"),"Valabilitatea a expirat: reconfirmă prețurile. ","")))</f>
        <v/>
      </c>
    </row>
    <row r="297" spans="2:20" x14ac:dyDescent="0.2">
      <c r="B297" s="20"/>
      <c r="C297" s="21"/>
      <c r="D297" s="22"/>
      <c r="E297" s="22"/>
      <c r="F297" s="22"/>
      <c r="G297" s="20"/>
      <c r="H297" s="23" t="str">
        <f t="shared" si="8"/>
        <v/>
      </c>
      <c r="I297" s="22"/>
      <c r="J297" s="22"/>
      <c r="K297" s="24"/>
      <c r="L297" s="22"/>
      <c r="M297" s="22"/>
      <c r="N297" s="20"/>
      <c r="O297" s="21"/>
      <c r="P297" s="25" t="str">
        <f>IF(B297="","",SUMIF('Linii ofertă'!$B$5:$B$1004,B297,'Linii ofertă'!$J$5:$J$1004))</f>
        <v/>
      </c>
      <c r="Q297" s="25" t="str">
        <f>IF(B297="","",SUMIF('Linii ofertă'!$B$5:$B$1004,B297,'Linii ofertă'!$M$5:$M$1004))</f>
        <v/>
      </c>
      <c r="R297" s="26" t="str">
        <f>IF(OR(B297="",N(P297)=0),"",SUMIF('Linii ofertă'!$B$5:$B$1004,B297,'Linii ofertă'!$P$5:$P$1004)/P297)</f>
        <v/>
      </c>
      <c r="S297" s="27" t="str">
        <f t="shared" ca="1" si="9"/>
        <v/>
      </c>
      <c r="T297" s="28" t="str">
        <f>IF(B297="","",TRIM(IF(COUNTIF($B$5:$B$504,B297)&gt;1,"Număr dublat. ","")&amp;IF(N(P297)=0,"Oferta nu are linii. ","")&amp;IF(M297="","Completează ce NU include oferta. ","")&amp;IF(AND(ISNUMBER(R297),R297&lt;MarjaMin),"Marjă totală sub minim. ","")&amp;IF(COUNTIFS('Linii ofertă'!$B$5:$B$1004,B297,'Linii ofertă'!$R$5:$R$1004,"Marjă*")&gt;0,"Are linii cu marjă sub minim. ","")&amp;IF(AND(S297="Expirată"),"Valabilitatea a expirat: reconfirmă prețurile. ","")))</f>
        <v/>
      </c>
    </row>
    <row r="298" spans="2:20" x14ac:dyDescent="0.2">
      <c r="B298" s="20"/>
      <c r="C298" s="21"/>
      <c r="D298" s="22"/>
      <c r="E298" s="22"/>
      <c r="F298" s="22"/>
      <c r="G298" s="20"/>
      <c r="H298" s="23" t="str">
        <f t="shared" si="8"/>
        <v/>
      </c>
      <c r="I298" s="22"/>
      <c r="J298" s="22"/>
      <c r="K298" s="24"/>
      <c r="L298" s="22"/>
      <c r="M298" s="22"/>
      <c r="N298" s="20"/>
      <c r="O298" s="21"/>
      <c r="P298" s="25" t="str">
        <f>IF(B298="","",SUMIF('Linii ofertă'!$B$5:$B$1004,B298,'Linii ofertă'!$J$5:$J$1004))</f>
        <v/>
      </c>
      <c r="Q298" s="25" t="str">
        <f>IF(B298="","",SUMIF('Linii ofertă'!$B$5:$B$1004,B298,'Linii ofertă'!$M$5:$M$1004))</f>
        <v/>
      </c>
      <c r="R298" s="26" t="str">
        <f>IF(OR(B298="",N(P298)=0),"",SUMIF('Linii ofertă'!$B$5:$B$1004,B298,'Linii ofertă'!$P$5:$P$1004)/P298)</f>
        <v/>
      </c>
      <c r="S298" s="27" t="str">
        <f t="shared" ca="1" si="9"/>
        <v/>
      </c>
      <c r="T298" s="28" t="str">
        <f>IF(B298="","",TRIM(IF(COUNTIF($B$5:$B$504,B298)&gt;1,"Număr dublat. ","")&amp;IF(N(P298)=0,"Oferta nu are linii. ","")&amp;IF(M298="","Completează ce NU include oferta. ","")&amp;IF(AND(ISNUMBER(R298),R298&lt;MarjaMin),"Marjă totală sub minim. ","")&amp;IF(COUNTIFS('Linii ofertă'!$B$5:$B$1004,B298,'Linii ofertă'!$R$5:$R$1004,"Marjă*")&gt;0,"Are linii cu marjă sub minim. ","")&amp;IF(AND(S298="Expirată"),"Valabilitatea a expirat: reconfirmă prețurile. ","")))</f>
        <v/>
      </c>
    </row>
    <row r="299" spans="2:20" x14ac:dyDescent="0.2">
      <c r="B299" s="20"/>
      <c r="C299" s="21"/>
      <c r="D299" s="22"/>
      <c r="E299" s="22"/>
      <c r="F299" s="22"/>
      <c r="G299" s="20"/>
      <c r="H299" s="23" t="str">
        <f t="shared" si="8"/>
        <v/>
      </c>
      <c r="I299" s="22"/>
      <c r="J299" s="22"/>
      <c r="K299" s="24"/>
      <c r="L299" s="22"/>
      <c r="M299" s="22"/>
      <c r="N299" s="20"/>
      <c r="O299" s="21"/>
      <c r="P299" s="25" t="str">
        <f>IF(B299="","",SUMIF('Linii ofertă'!$B$5:$B$1004,B299,'Linii ofertă'!$J$5:$J$1004))</f>
        <v/>
      </c>
      <c r="Q299" s="25" t="str">
        <f>IF(B299="","",SUMIF('Linii ofertă'!$B$5:$B$1004,B299,'Linii ofertă'!$M$5:$M$1004))</f>
        <v/>
      </c>
      <c r="R299" s="26" t="str">
        <f>IF(OR(B299="",N(P299)=0),"",SUMIF('Linii ofertă'!$B$5:$B$1004,B299,'Linii ofertă'!$P$5:$P$1004)/P299)</f>
        <v/>
      </c>
      <c r="S299" s="27" t="str">
        <f t="shared" ca="1" si="9"/>
        <v/>
      </c>
      <c r="T299" s="28" t="str">
        <f>IF(B299="","",TRIM(IF(COUNTIF($B$5:$B$504,B299)&gt;1,"Număr dublat. ","")&amp;IF(N(P299)=0,"Oferta nu are linii. ","")&amp;IF(M299="","Completează ce NU include oferta. ","")&amp;IF(AND(ISNUMBER(R299),R299&lt;MarjaMin),"Marjă totală sub minim. ","")&amp;IF(COUNTIFS('Linii ofertă'!$B$5:$B$1004,B299,'Linii ofertă'!$R$5:$R$1004,"Marjă*")&gt;0,"Are linii cu marjă sub minim. ","")&amp;IF(AND(S299="Expirată"),"Valabilitatea a expirat: reconfirmă prețurile. ","")))</f>
        <v/>
      </c>
    </row>
    <row r="300" spans="2:20" x14ac:dyDescent="0.2">
      <c r="B300" s="20"/>
      <c r="C300" s="21"/>
      <c r="D300" s="22"/>
      <c r="E300" s="22"/>
      <c r="F300" s="22"/>
      <c r="G300" s="20"/>
      <c r="H300" s="23" t="str">
        <f t="shared" si="8"/>
        <v/>
      </c>
      <c r="I300" s="22"/>
      <c r="J300" s="22"/>
      <c r="K300" s="24"/>
      <c r="L300" s="22"/>
      <c r="M300" s="22"/>
      <c r="N300" s="20"/>
      <c r="O300" s="21"/>
      <c r="P300" s="25" t="str">
        <f>IF(B300="","",SUMIF('Linii ofertă'!$B$5:$B$1004,B300,'Linii ofertă'!$J$5:$J$1004))</f>
        <v/>
      </c>
      <c r="Q300" s="25" t="str">
        <f>IF(B300="","",SUMIF('Linii ofertă'!$B$5:$B$1004,B300,'Linii ofertă'!$M$5:$M$1004))</f>
        <v/>
      </c>
      <c r="R300" s="26" t="str">
        <f>IF(OR(B300="",N(P300)=0),"",SUMIF('Linii ofertă'!$B$5:$B$1004,B300,'Linii ofertă'!$P$5:$P$1004)/P300)</f>
        <v/>
      </c>
      <c r="S300" s="27" t="str">
        <f t="shared" ca="1" si="9"/>
        <v/>
      </c>
      <c r="T300" s="28" t="str">
        <f>IF(B300="","",TRIM(IF(COUNTIF($B$5:$B$504,B300)&gt;1,"Număr dublat. ","")&amp;IF(N(P300)=0,"Oferta nu are linii. ","")&amp;IF(M300="","Completează ce NU include oferta. ","")&amp;IF(AND(ISNUMBER(R300),R300&lt;MarjaMin),"Marjă totală sub minim. ","")&amp;IF(COUNTIFS('Linii ofertă'!$B$5:$B$1004,B300,'Linii ofertă'!$R$5:$R$1004,"Marjă*")&gt;0,"Are linii cu marjă sub minim. ","")&amp;IF(AND(S300="Expirată"),"Valabilitatea a expirat: reconfirmă prețurile. ","")))</f>
        <v/>
      </c>
    </row>
    <row r="301" spans="2:20" x14ac:dyDescent="0.2">
      <c r="B301" s="20"/>
      <c r="C301" s="21"/>
      <c r="D301" s="22"/>
      <c r="E301" s="22"/>
      <c r="F301" s="22"/>
      <c r="G301" s="20"/>
      <c r="H301" s="23" t="str">
        <f t="shared" si="8"/>
        <v/>
      </c>
      <c r="I301" s="22"/>
      <c r="J301" s="22"/>
      <c r="K301" s="24"/>
      <c r="L301" s="22"/>
      <c r="M301" s="22"/>
      <c r="N301" s="20"/>
      <c r="O301" s="21"/>
      <c r="P301" s="25" t="str">
        <f>IF(B301="","",SUMIF('Linii ofertă'!$B$5:$B$1004,B301,'Linii ofertă'!$J$5:$J$1004))</f>
        <v/>
      </c>
      <c r="Q301" s="25" t="str">
        <f>IF(B301="","",SUMIF('Linii ofertă'!$B$5:$B$1004,B301,'Linii ofertă'!$M$5:$M$1004))</f>
        <v/>
      </c>
      <c r="R301" s="26" t="str">
        <f>IF(OR(B301="",N(P301)=0),"",SUMIF('Linii ofertă'!$B$5:$B$1004,B301,'Linii ofertă'!$P$5:$P$1004)/P301)</f>
        <v/>
      </c>
      <c r="S301" s="27" t="str">
        <f t="shared" ca="1" si="9"/>
        <v/>
      </c>
      <c r="T301" s="28" t="str">
        <f>IF(B301="","",TRIM(IF(COUNTIF($B$5:$B$504,B301)&gt;1,"Număr dublat. ","")&amp;IF(N(P301)=0,"Oferta nu are linii. ","")&amp;IF(M301="","Completează ce NU include oferta. ","")&amp;IF(AND(ISNUMBER(R301),R301&lt;MarjaMin),"Marjă totală sub minim. ","")&amp;IF(COUNTIFS('Linii ofertă'!$B$5:$B$1004,B301,'Linii ofertă'!$R$5:$R$1004,"Marjă*")&gt;0,"Are linii cu marjă sub minim. ","")&amp;IF(AND(S301="Expirată"),"Valabilitatea a expirat: reconfirmă prețurile. ","")))</f>
        <v/>
      </c>
    </row>
    <row r="302" spans="2:20" x14ac:dyDescent="0.2">
      <c r="B302" s="20"/>
      <c r="C302" s="21"/>
      <c r="D302" s="22"/>
      <c r="E302" s="22"/>
      <c r="F302" s="22"/>
      <c r="G302" s="20"/>
      <c r="H302" s="23" t="str">
        <f t="shared" si="8"/>
        <v/>
      </c>
      <c r="I302" s="22"/>
      <c r="J302" s="22"/>
      <c r="K302" s="24"/>
      <c r="L302" s="22"/>
      <c r="M302" s="22"/>
      <c r="N302" s="20"/>
      <c r="O302" s="21"/>
      <c r="P302" s="25" t="str">
        <f>IF(B302="","",SUMIF('Linii ofertă'!$B$5:$B$1004,B302,'Linii ofertă'!$J$5:$J$1004))</f>
        <v/>
      </c>
      <c r="Q302" s="25" t="str">
        <f>IF(B302="","",SUMIF('Linii ofertă'!$B$5:$B$1004,B302,'Linii ofertă'!$M$5:$M$1004))</f>
        <v/>
      </c>
      <c r="R302" s="26" t="str">
        <f>IF(OR(B302="",N(P302)=0),"",SUMIF('Linii ofertă'!$B$5:$B$1004,B302,'Linii ofertă'!$P$5:$P$1004)/P302)</f>
        <v/>
      </c>
      <c r="S302" s="27" t="str">
        <f t="shared" ca="1" si="9"/>
        <v/>
      </c>
      <c r="T302" s="28" t="str">
        <f>IF(B302="","",TRIM(IF(COUNTIF($B$5:$B$504,B302)&gt;1,"Număr dublat. ","")&amp;IF(N(P302)=0,"Oferta nu are linii. ","")&amp;IF(M302="","Completează ce NU include oferta. ","")&amp;IF(AND(ISNUMBER(R302),R302&lt;MarjaMin),"Marjă totală sub minim. ","")&amp;IF(COUNTIFS('Linii ofertă'!$B$5:$B$1004,B302,'Linii ofertă'!$R$5:$R$1004,"Marjă*")&gt;0,"Are linii cu marjă sub minim. ","")&amp;IF(AND(S302="Expirată"),"Valabilitatea a expirat: reconfirmă prețurile. ","")))</f>
        <v/>
      </c>
    </row>
    <row r="303" spans="2:20" x14ac:dyDescent="0.2">
      <c r="B303" s="20"/>
      <c r="C303" s="21"/>
      <c r="D303" s="22"/>
      <c r="E303" s="22"/>
      <c r="F303" s="22"/>
      <c r="G303" s="20"/>
      <c r="H303" s="23" t="str">
        <f t="shared" si="8"/>
        <v/>
      </c>
      <c r="I303" s="22"/>
      <c r="J303" s="22"/>
      <c r="K303" s="24"/>
      <c r="L303" s="22"/>
      <c r="M303" s="22"/>
      <c r="N303" s="20"/>
      <c r="O303" s="21"/>
      <c r="P303" s="25" t="str">
        <f>IF(B303="","",SUMIF('Linii ofertă'!$B$5:$B$1004,B303,'Linii ofertă'!$J$5:$J$1004))</f>
        <v/>
      </c>
      <c r="Q303" s="25" t="str">
        <f>IF(B303="","",SUMIF('Linii ofertă'!$B$5:$B$1004,B303,'Linii ofertă'!$M$5:$M$1004))</f>
        <v/>
      </c>
      <c r="R303" s="26" t="str">
        <f>IF(OR(B303="",N(P303)=0),"",SUMIF('Linii ofertă'!$B$5:$B$1004,B303,'Linii ofertă'!$P$5:$P$1004)/P303)</f>
        <v/>
      </c>
      <c r="S303" s="27" t="str">
        <f t="shared" ca="1" si="9"/>
        <v/>
      </c>
      <c r="T303" s="28" t="str">
        <f>IF(B303="","",TRIM(IF(COUNTIF($B$5:$B$504,B303)&gt;1,"Număr dublat. ","")&amp;IF(N(P303)=0,"Oferta nu are linii. ","")&amp;IF(M303="","Completează ce NU include oferta. ","")&amp;IF(AND(ISNUMBER(R303),R303&lt;MarjaMin),"Marjă totală sub minim. ","")&amp;IF(COUNTIFS('Linii ofertă'!$B$5:$B$1004,B303,'Linii ofertă'!$R$5:$R$1004,"Marjă*")&gt;0,"Are linii cu marjă sub minim. ","")&amp;IF(AND(S303="Expirată"),"Valabilitatea a expirat: reconfirmă prețurile. ","")))</f>
        <v/>
      </c>
    </row>
    <row r="304" spans="2:20" x14ac:dyDescent="0.2">
      <c r="B304" s="20"/>
      <c r="C304" s="21"/>
      <c r="D304" s="22"/>
      <c r="E304" s="22"/>
      <c r="F304" s="22"/>
      <c r="G304" s="20"/>
      <c r="H304" s="23" t="str">
        <f t="shared" si="8"/>
        <v/>
      </c>
      <c r="I304" s="22"/>
      <c r="J304" s="22"/>
      <c r="K304" s="24"/>
      <c r="L304" s="22"/>
      <c r="M304" s="22"/>
      <c r="N304" s="20"/>
      <c r="O304" s="21"/>
      <c r="P304" s="25" t="str">
        <f>IF(B304="","",SUMIF('Linii ofertă'!$B$5:$B$1004,B304,'Linii ofertă'!$J$5:$J$1004))</f>
        <v/>
      </c>
      <c r="Q304" s="25" t="str">
        <f>IF(B304="","",SUMIF('Linii ofertă'!$B$5:$B$1004,B304,'Linii ofertă'!$M$5:$M$1004))</f>
        <v/>
      </c>
      <c r="R304" s="26" t="str">
        <f>IF(OR(B304="",N(P304)=0),"",SUMIF('Linii ofertă'!$B$5:$B$1004,B304,'Linii ofertă'!$P$5:$P$1004)/P304)</f>
        <v/>
      </c>
      <c r="S304" s="27" t="str">
        <f t="shared" ca="1" si="9"/>
        <v/>
      </c>
      <c r="T304" s="28" t="str">
        <f>IF(B304="","",TRIM(IF(COUNTIF($B$5:$B$504,B304)&gt;1,"Număr dublat. ","")&amp;IF(N(P304)=0,"Oferta nu are linii. ","")&amp;IF(M304="","Completează ce NU include oferta. ","")&amp;IF(AND(ISNUMBER(R304),R304&lt;MarjaMin),"Marjă totală sub minim. ","")&amp;IF(COUNTIFS('Linii ofertă'!$B$5:$B$1004,B304,'Linii ofertă'!$R$5:$R$1004,"Marjă*")&gt;0,"Are linii cu marjă sub minim. ","")&amp;IF(AND(S304="Expirată"),"Valabilitatea a expirat: reconfirmă prețurile. ","")))</f>
        <v/>
      </c>
    </row>
    <row r="305" spans="2:20" x14ac:dyDescent="0.2">
      <c r="B305" s="20"/>
      <c r="C305" s="21"/>
      <c r="D305" s="22"/>
      <c r="E305" s="22"/>
      <c r="F305" s="22"/>
      <c r="G305" s="20"/>
      <c r="H305" s="23" t="str">
        <f t="shared" si="8"/>
        <v/>
      </c>
      <c r="I305" s="22"/>
      <c r="J305" s="22"/>
      <c r="K305" s="24"/>
      <c r="L305" s="22"/>
      <c r="M305" s="22"/>
      <c r="N305" s="20"/>
      <c r="O305" s="21"/>
      <c r="P305" s="25" t="str">
        <f>IF(B305="","",SUMIF('Linii ofertă'!$B$5:$B$1004,B305,'Linii ofertă'!$J$5:$J$1004))</f>
        <v/>
      </c>
      <c r="Q305" s="25" t="str">
        <f>IF(B305="","",SUMIF('Linii ofertă'!$B$5:$B$1004,B305,'Linii ofertă'!$M$5:$M$1004))</f>
        <v/>
      </c>
      <c r="R305" s="26" t="str">
        <f>IF(OR(B305="",N(P305)=0),"",SUMIF('Linii ofertă'!$B$5:$B$1004,B305,'Linii ofertă'!$P$5:$P$1004)/P305)</f>
        <v/>
      </c>
      <c r="S305" s="27" t="str">
        <f t="shared" ca="1" si="9"/>
        <v/>
      </c>
      <c r="T305" s="28" t="str">
        <f>IF(B305="","",TRIM(IF(COUNTIF($B$5:$B$504,B305)&gt;1,"Număr dublat. ","")&amp;IF(N(P305)=0,"Oferta nu are linii. ","")&amp;IF(M305="","Completează ce NU include oferta. ","")&amp;IF(AND(ISNUMBER(R305),R305&lt;MarjaMin),"Marjă totală sub minim. ","")&amp;IF(COUNTIFS('Linii ofertă'!$B$5:$B$1004,B305,'Linii ofertă'!$R$5:$R$1004,"Marjă*")&gt;0,"Are linii cu marjă sub minim. ","")&amp;IF(AND(S305="Expirată"),"Valabilitatea a expirat: reconfirmă prețurile. ","")))</f>
        <v/>
      </c>
    </row>
    <row r="306" spans="2:20" x14ac:dyDescent="0.2">
      <c r="B306" s="20"/>
      <c r="C306" s="21"/>
      <c r="D306" s="22"/>
      <c r="E306" s="22"/>
      <c r="F306" s="22"/>
      <c r="G306" s="20"/>
      <c r="H306" s="23" t="str">
        <f t="shared" si="8"/>
        <v/>
      </c>
      <c r="I306" s="22"/>
      <c r="J306" s="22"/>
      <c r="K306" s="24"/>
      <c r="L306" s="22"/>
      <c r="M306" s="22"/>
      <c r="N306" s="20"/>
      <c r="O306" s="21"/>
      <c r="P306" s="25" t="str">
        <f>IF(B306="","",SUMIF('Linii ofertă'!$B$5:$B$1004,B306,'Linii ofertă'!$J$5:$J$1004))</f>
        <v/>
      </c>
      <c r="Q306" s="25" t="str">
        <f>IF(B306="","",SUMIF('Linii ofertă'!$B$5:$B$1004,B306,'Linii ofertă'!$M$5:$M$1004))</f>
        <v/>
      </c>
      <c r="R306" s="26" t="str">
        <f>IF(OR(B306="",N(P306)=0),"",SUMIF('Linii ofertă'!$B$5:$B$1004,B306,'Linii ofertă'!$P$5:$P$1004)/P306)</f>
        <v/>
      </c>
      <c r="S306" s="27" t="str">
        <f t="shared" ca="1" si="9"/>
        <v/>
      </c>
      <c r="T306" s="28" t="str">
        <f>IF(B306="","",TRIM(IF(COUNTIF($B$5:$B$504,B306)&gt;1,"Număr dublat. ","")&amp;IF(N(P306)=0,"Oferta nu are linii. ","")&amp;IF(M306="","Completează ce NU include oferta. ","")&amp;IF(AND(ISNUMBER(R306),R306&lt;MarjaMin),"Marjă totală sub minim. ","")&amp;IF(COUNTIFS('Linii ofertă'!$B$5:$B$1004,B306,'Linii ofertă'!$R$5:$R$1004,"Marjă*")&gt;0,"Are linii cu marjă sub minim. ","")&amp;IF(AND(S306="Expirată"),"Valabilitatea a expirat: reconfirmă prețurile. ","")))</f>
        <v/>
      </c>
    </row>
    <row r="307" spans="2:20" x14ac:dyDescent="0.2">
      <c r="B307" s="20"/>
      <c r="C307" s="21"/>
      <c r="D307" s="22"/>
      <c r="E307" s="22"/>
      <c r="F307" s="22"/>
      <c r="G307" s="20"/>
      <c r="H307" s="23" t="str">
        <f t="shared" si="8"/>
        <v/>
      </c>
      <c r="I307" s="22"/>
      <c r="J307" s="22"/>
      <c r="K307" s="24"/>
      <c r="L307" s="22"/>
      <c r="M307" s="22"/>
      <c r="N307" s="20"/>
      <c r="O307" s="21"/>
      <c r="P307" s="25" t="str">
        <f>IF(B307="","",SUMIF('Linii ofertă'!$B$5:$B$1004,B307,'Linii ofertă'!$J$5:$J$1004))</f>
        <v/>
      </c>
      <c r="Q307" s="25" t="str">
        <f>IF(B307="","",SUMIF('Linii ofertă'!$B$5:$B$1004,B307,'Linii ofertă'!$M$5:$M$1004))</f>
        <v/>
      </c>
      <c r="R307" s="26" t="str">
        <f>IF(OR(B307="",N(P307)=0),"",SUMIF('Linii ofertă'!$B$5:$B$1004,B307,'Linii ofertă'!$P$5:$P$1004)/P307)</f>
        <v/>
      </c>
      <c r="S307" s="27" t="str">
        <f t="shared" ca="1" si="9"/>
        <v/>
      </c>
      <c r="T307" s="28" t="str">
        <f>IF(B307="","",TRIM(IF(COUNTIF($B$5:$B$504,B307)&gt;1,"Număr dublat. ","")&amp;IF(N(P307)=0,"Oferta nu are linii. ","")&amp;IF(M307="","Completează ce NU include oferta. ","")&amp;IF(AND(ISNUMBER(R307),R307&lt;MarjaMin),"Marjă totală sub minim. ","")&amp;IF(COUNTIFS('Linii ofertă'!$B$5:$B$1004,B307,'Linii ofertă'!$R$5:$R$1004,"Marjă*")&gt;0,"Are linii cu marjă sub minim. ","")&amp;IF(AND(S307="Expirată"),"Valabilitatea a expirat: reconfirmă prețurile. ","")))</f>
        <v/>
      </c>
    </row>
    <row r="308" spans="2:20" x14ac:dyDescent="0.2">
      <c r="B308" s="20"/>
      <c r="C308" s="21"/>
      <c r="D308" s="22"/>
      <c r="E308" s="22"/>
      <c r="F308" s="22"/>
      <c r="G308" s="20"/>
      <c r="H308" s="23" t="str">
        <f t="shared" si="8"/>
        <v/>
      </c>
      <c r="I308" s="22"/>
      <c r="J308" s="22"/>
      <c r="K308" s="24"/>
      <c r="L308" s="22"/>
      <c r="M308" s="22"/>
      <c r="N308" s="20"/>
      <c r="O308" s="21"/>
      <c r="P308" s="25" t="str">
        <f>IF(B308="","",SUMIF('Linii ofertă'!$B$5:$B$1004,B308,'Linii ofertă'!$J$5:$J$1004))</f>
        <v/>
      </c>
      <c r="Q308" s="25" t="str">
        <f>IF(B308="","",SUMIF('Linii ofertă'!$B$5:$B$1004,B308,'Linii ofertă'!$M$5:$M$1004))</f>
        <v/>
      </c>
      <c r="R308" s="26" t="str">
        <f>IF(OR(B308="",N(P308)=0),"",SUMIF('Linii ofertă'!$B$5:$B$1004,B308,'Linii ofertă'!$P$5:$P$1004)/P308)</f>
        <v/>
      </c>
      <c r="S308" s="27" t="str">
        <f t="shared" ca="1" si="9"/>
        <v/>
      </c>
      <c r="T308" s="28" t="str">
        <f>IF(B308="","",TRIM(IF(COUNTIF($B$5:$B$504,B308)&gt;1,"Număr dublat. ","")&amp;IF(N(P308)=0,"Oferta nu are linii. ","")&amp;IF(M308="","Completează ce NU include oferta. ","")&amp;IF(AND(ISNUMBER(R308),R308&lt;MarjaMin),"Marjă totală sub minim. ","")&amp;IF(COUNTIFS('Linii ofertă'!$B$5:$B$1004,B308,'Linii ofertă'!$R$5:$R$1004,"Marjă*")&gt;0,"Are linii cu marjă sub minim. ","")&amp;IF(AND(S308="Expirată"),"Valabilitatea a expirat: reconfirmă prețurile. ","")))</f>
        <v/>
      </c>
    </row>
    <row r="309" spans="2:20" x14ac:dyDescent="0.2">
      <c r="B309" s="20"/>
      <c r="C309" s="21"/>
      <c r="D309" s="22"/>
      <c r="E309" s="22"/>
      <c r="F309" s="22"/>
      <c r="G309" s="20"/>
      <c r="H309" s="23" t="str">
        <f t="shared" si="8"/>
        <v/>
      </c>
      <c r="I309" s="22"/>
      <c r="J309" s="22"/>
      <c r="K309" s="24"/>
      <c r="L309" s="22"/>
      <c r="M309" s="22"/>
      <c r="N309" s="20"/>
      <c r="O309" s="21"/>
      <c r="P309" s="25" t="str">
        <f>IF(B309="","",SUMIF('Linii ofertă'!$B$5:$B$1004,B309,'Linii ofertă'!$J$5:$J$1004))</f>
        <v/>
      </c>
      <c r="Q309" s="25" t="str">
        <f>IF(B309="","",SUMIF('Linii ofertă'!$B$5:$B$1004,B309,'Linii ofertă'!$M$5:$M$1004))</f>
        <v/>
      </c>
      <c r="R309" s="26" t="str">
        <f>IF(OR(B309="",N(P309)=0),"",SUMIF('Linii ofertă'!$B$5:$B$1004,B309,'Linii ofertă'!$P$5:$P$1004)/P309)</f>
        <v/>
      </c>
      <c r="S309" s="27" t="str">
        <f t="shared" ca="1" si="9"/>
        <v/>
      </c>
      <c r="T309" s="28" t="str">
        <f>IF(B309="","",TRIM(IF(COUNTIF($B$5:$B$504,B309)&gt;1,"Număr dublat. ","")&amp;IF(N(P309)=0,"Oferta nu are linii. ","")&amp;IF(M309="","Completează ce NU include oferta. ","")&amp;IF(AND(ISNUMBER(R309),R309&lt;MarjaMin),"Marjă totală sub minim. ","")&amp;IF(COUNTIFS('Linii ofertă'!$B$5:$B$1004,B309,'Linii ofertă'!$R$5:$R$1004,"Marjă*")&gt;0,"Are linii cu marjă sub minim. ","")&amp;IF(AND(S309="Expirată"),"Valabilitatea a expirat: reconfirmă prețurile. ","")))</f>
        <v/>
      </c>
    </row>
    <row r="310" spans="2:20" x14ac:dyDescent="0.2">
      <c r="B310" s="20"/>
      <c r="C310" s="21"/>
      <c r="D310" s="22"/>
      <c r="E310" s="22"/>
      <c r="F310" s="22"/>
      <c r="G310" s="20"/>
      <c r="H310" s="23" t="str">
        <f t="shared" si="8"/>
        <v/>
      </c>
      <c r="I310" s="22"/>
      <c r="J310" s="22"/>
      <c r="K310" s="24"/>
      <c r="L310" s="22"/>
      <c r="M310" s="22"/>
      <c r="N310" s="20"/>
      <c r="O310" s="21"/>
      <c r="P310" s="25" t="str">
        <f>IF(B310="","",SUMIF('Linii ofertă'!$B$5:$B$1004,B310,'Linii ofertă'!$J$5:$J$1004))</f>
        <v/>
      </c>
      <c r="Q310" s="25" t="str">
        <f>IF(B310="","",SUMIF('Linii ofertă'!$B$5:$B$1004,B310,'Linii ofertă'!$M$5:$M$1004))</f>
        <v/>
      </c>
      <c r="R310" s="26" t="str">
        <f>IF(OR(B310="",N(P310)=0),"",SUMIF('Linii ofertă'!$B$5:$B$1004,B310,'Linii ofertă'!$P$5:$P$1004)/P310)</f>
        <v/>
      </c>
      <c r="S310" s="27" t="str">
        <f t="shared" ca="1" si="9"/>
        <v/>
      </c>
      <c r="T310" s="28" t="str">
        <f>IF(B310="","",TRIM(IF(COUNTIF($B$5:$B$504,B310)&gt;1,"Număr dublat. ","")&amp;IF(N(P310)=0,"Oferta nu are linii. ","")&amp;IF(M310="","Completează ce NU include oferta. ","")&amp;IF(AND(ISNUMBER(R310),R310&lt;MarjaMin),"Marjă totală sub minim. ","")&amp;IF(COUNTIFS('Linii ofertă'!$B$5:$B$1004,B310,'Linii ofertă'!$R$5:$R$1004,"Marjă*")&gt;0,"Are linii cu marjă sub minim. ","")&amp;IF(AND(S310="Expirată"),"Valabilitatea a expirat: reconfirmă prețurile. ","")))</f>
        <v/>
      </c>
    </row>
    <row r="311" spans="2:20" x14ac:dyDescent="0.2">
      <c r="B311" s="20"/>
      <c r="C311" s="21"/>
      <c r="D311" s="22"/>
      <c r="E311" s="22"/>
      <c r="F311" s="22"/>
      <c r="G311" s="20"/>
      <c r="H311" s="23" t="str">
        <f t="shared" si="8"/>
        <v/>
      </c>
      <c r="I311" s="22"/>
      <c r="J311" s="22"/>
      <c r="K311" s="24"/>
      <c r="L311" s="22"/>
      <c r="M311" s="22"/>
      <c r="N311" s="20"/>
      <c r="O311" s="21"/>
      <c r="P311" s="25" t="str">
        <f>IF(B311="","",SUMIF('Linii ofertă'!$B$5:$B$1004,B311,'Linii ofertă'!$J$5:$J$1004))</f>
        <v/>
      </c>
      <c r="Q311" s="25" t="str">
        <f>IF(B311="","",SUMIF('Linii ofertă'!$B$5:$B$1004,B311,'Linii ofertă'!$M$5:$M$1004))</f>
        <v/>
      </c>
      <c r="R311" s="26" t="str">
        <f>IF(OR(B311="",N(P311)=0),"",SUMIF('Linii ofertă'!$B$5:$B$1004,B311,'Linii ofertă'!$P$5:$P$1004)/P311)</f>
        <v/>
      </c>
      <c r="S311" s="27" t="str">
        <f t="shared" ca="1" si="9"/>
        <v/>
      </c>
      <c r="T311" s="28" t="str">
        <f>IF(B311="","",TRIM(IF(COUNTIF($B$5:$B$504,B311)&gt;1,"Număr dublat. ","")&amp;IF(N(P311)=0,"Oferta nu are linii. ","")&amp;IF(M311="","Completează ce NU include oferta. ","")&amp;IF(AND(ISNUMBER(R311),R311&lt;MarjaMin),"Marjă totală sub minim. ","")&amp;IF(COUNTIFS('Linii ofertă'!$B$5:$B$1004,B311,'Linii ofertă'!$R$5:$R$1004,"Marjă*")&gt;0,"Are linii cu marjă sub minim. ","")&amp;IF(AND(S311="Expirată"),"Valabilitatea a expirat: reconfirmă prețurile. ","")))</f>
        <v/>
      </c>
    </row>
    <row r="312" spans="2:20" x14ac:dyDescent="0.2">
      <c r="B312" s="20"/>
      <c r="C312" s="21"/>
      <c r="D312" s="22"/>
      <c r="E312" s="22"/>
      <c r="F312" s="22"/>
      <c r="G312" s="20"/>
      <c r="H312" s="23" t="str">
        <f t="shared" si="8"/>
        <v/>
      </c>
      <c r="I312" s="22"/>
      <c r="J312" s="22"/>
      <c r="K312" s="24"/>
      <c r="L312" s="22"/>
      <c r="M312" s="22"/>
      <c r="N312" s="20"/>
      <c r="O312" s="21"/>
      <c r="P312" s="25" t="str">
        <f>IF(B312="","",SUMIF('Linii ofertă'!$B$5:$B$1004,B312,'Linii ofertă'!$J$5:$J$1004))</f>
        <v/>
      </c>
      <c r="Q312" s="25" t="str">
        <f>IF(B312="","",SUMIF('Linii ofertă'!$B$5:$B$1004,B312,'Linii ofertă'!$M$5:$M$1004))</f>
        <v/>
      </c>
      <c r="R312" s="26" t="str">
        <f>IF(OR(B312="",N(P312)=0),"",SUMIF('Linii ofertă'!$B$5:$B$1004,B312,'Linii ofertă'!$P$5:$P$1004)/P312)</f>
        <v/>
      </c>
      <c r="S312" s="27" t="str">
        <f t="shared" ca="1" si="9"/>
        <v/>
      </c>
      <c r="T312" s="28" t="str">
        <f>IF(B312="","",TRIM(IF(COUNTIF($B$5:$B$504,B312)&gt;1,"Număr dublat. ","")&amp;IF(N(P312)=0,"Oferta nu are linii. ","")&amp;IF(M312="","Completează ce NU include oferta. ","")&amp;IF(AND(ISNUMBER(R312),R312&lt;MarjaMin),"Marjă totală sub minim. ","")&amp;IF(COUNTIFS('Linii ofertă'!$B$5:$B$1004,B312,'Linii ofertă'!$R$5:$R$1004,"Marjă*")&gt;0,"Are linii cu marjă sub minim. ","")&amp;IF(AND(S312="Expirată"),"Valabilitatea a expirat: reconfirmă prețurile. ","")))</f>
        <v/>
      </c>
    </row>
    <row r="313" spans="2:20" x14ac:dyDescent="0.2">
      <c r="B313" s="20"/>
      <c r="C313" s="21"/>
      <c r="D313" s="22"/>
      <c r="E313" s="22"/>
      <c r="F313" s="22"/>
      <c r="G313" s="20"/>
      <c r="H313" s="23" t="str">
        <f t="shared" si="8"/>
        <v/>
      </c>
      <c r="I313" s="22"/>
      <c r="J313" s="22"/>
      <c r="K313" s="24"/>
      <c r="L313" s="22"/>
      <c r="M313" s="22"/>
      <c r="N313" s="20"/>
      <c r="O313" s="21"/>
      <c r="P313" s="25" t="str">
        <f>IF(B313="","",SUMIF('Linii ofertă'!$B$5:$B$1004,B313,'Linii ofertă'!$J$5:$J$1004))</f>
        <v/>
      </c>
      <c r="Q313" s="25" t="str">
        <f>IF(B313="","",SUMIF('Linii ofertă'!$B$5:$B$1004,B313,'Linii ofertă'!$M$5:$M$1004))</f>
        <v/>
      </c>
      <c r="R313" s="26" t="str">
        <f>IF(OR(B313="",N(P313)=0),"",SUMIF('Linii ofertă'!$B$5:$B$1004,B313,'Linii ofertă'!$P$5:$P$1004)/P313)</f>
        <v/>
      </c>
      <c r="S313" s="27" t="str">
        <f t="shared" ca="1" si="9"/>
        <v/>
      </c>
      <c r="T313" s="28" t="str">
        <f>IF(B313="","",TRIM(IF(COUNTIF($B$5:$B$504,B313)&gt;1,"Număr dublat. ","")&amp;IF(N(P313)=0,"Oferta nu are linii. ","")&amp;IF(M313="","Completează ce NU include oferta. ","")&amp;IF(AND(ISNUMBER(R313),R313&lt;MarjaMin),"Marjă totală sub minim. ","")&amp;IF(COUNTIFS('Linii ofertă'!$B$5:$B$1004,B313,'Linii ofertă'!$R$5:$R$1004,"Marjă*")&gt;0,"Are linii cu marjă sub minim. ","")&amp;IF(AND(S313="Expirată"),"Valabilitatea a expirat: reconfirmă prețurile. ","")))</f>
        <v/>
      </c>
    </row>
    <row r="314" spans="2:20" x14ac:dyDescent="0.2">
      <c r="B314" s="20"/>
      <c r="C314" s="21"/>
      <c r="D314" s="22"/>
      <c r="E314" s="22"/>
      <c r="F314" s="22"/>
      <c r="G314" s="20"/>
      <c r="H314" s="23" t="str">
        <f t="shared" si="8"/>
        <v/>
      </c>
      <c r="I314" s="22"/>
      <c r="J314" s="22"/>
      <c r="K314" s="24"/>
      <c r="L314" s="22"/>
      <c r="M314" s="22"/>
      <c r="N314" s="20"/>
      <c r="O314" s="21"/>
      <c r="P314" s="25" t="str">
        <f>IF(B314="","",SUMIF('Linii ofertă'!$B$5:$B$1004,B314,'Linii ofertă'!$J$5:$J$1004))</f>
        <v/>
      </c>
      <c r="Q314" s="25" t="str">
        <f>IF(B314="","",SUMIF('Linii ofertă'!$B$5:$B$1004,B314,'Linii ofertă'!$M$5:$M$1004))</f>
        <v/>
      </c>
      <c r="R314" s="26" t="str">
        <f>IF(OR(B314="",N(P314)=0),"",SUMIF('Linii ofertă'!$B$5:$B$1004,B314,'Linii ofertă'!$P$5:$P$1004)/P314)</f>
        <v/>
      </c>
      <c r="S314" s="27" t="str">
        <f t="shared" ca="1" si="9"/>
        <v/>
      </c>
      <c r="T314" s="28" t="str">
        <f>IF(B314="","",TRIM(IF(COUNTIF($B$5:$B$504,B314)&gt;1,"Număr dublat. ","")&amp;IF(N(P314)=0,"Oferta nu are linii. ","")&amp;IF(M314="","Completează ce NU include oferta. ","")&amp;IF(AND(ISNUMBER(R314),R314&lt;MarjaMin),"Marjă totală sub minim. ","")&amp;IF(COUNTIFS('Linii ofertă'!$B$5:$B$1004,B314,'Linii ofertă'!$R$5:$R$1004,"Marjă*")&gt;0,"Are linii cu marjă sub minim. ","")&amp;IF(AND(S314="Expirată"),"Valabilitatea a expirat: reconfirmă prețurile. ","")))</f>
        <v/>
      </c>
    </row>
    <row r="315" spans="2:20" x14ac:dyDescent="0.2">
      <c r="B315" s="20"/>
      <c r="C315" s="21"/>
      <c r="D315" s="22"/>
      <c r="E315" s="22"/>
      <c r="F315" s="22"/>
      <c r="G315" s="20"/>
      <c r="H315" s="23" t="str">
        <f t="shared" si="8"/>
        <v/>
      </c>
      <c r="I315" s="22"/>
      <c r="J315" s="22"/>
      <c r="K315" s="24"/>
      <c r="L315" s="22"/>
      <c r="M315" s="22"/>
      <c r="N315" s="20"/>
      <c r="O315" s="21"/>
      <c r="P315" s="25" t="str">
        <f>IF(B315="","",SUMIF('Linii ofertă'!$B$5:$B$1004,B315,'Linii ofertă'!$J$5:$J$1004))</f>
        <v/>
      </c>
      <c r="Q315" s="25" t="str">
        <f>IF(B315="","",SUMIF('Linii ofertă'!$B$5:$B$1004,B315,'Linii ofertă'!$M$5:$M$1004))</f>
        <v/>
      </c>
      <c r="R315" s="26" t="str">
        <f>IF(OR(B315="",N(P315)=0),"",SUMIF('Linii ofertă'!$B$5:$B$1004,B315,'Linii ofertă'!$P$5:$P$1004)/P315)</f>
        <v/>
      </c>
      <c r="S315" s="27" t="str">
        <f t="shared" ca="1" si="9"/>
        <v/>
      </c>
      <c r="T315" s="28" t="str">
        <f>IF(B315="","",TRIM(IF(COUNTIF($B$5:$B$504,B315)&gt;1,"Număr dublat. ","")&amp;IF(N(P315)=0,"Oferta nu are linii. ","")&amp;IF(M315="","Completează ce NU include oferta. ","")&amp;IF(AND(ISNUMBER(R315),R315&lt;MarjaMin),"Marjă totală sub minim. ","")&amp;IF(COUNTIFS('Linii ofertă'!$B$5:$B$1004,B315,'Linii ofertă'!$R$5:$R$1004,"Marjă*")&gt;0,"Are linii cu marjă sub minim. ","")&amp;IF(AND(S315="Expirată"),"Valabilitatea a expirat: reconfirmă prețurile. ","")))</f>
        <v/>
      </c>
    </row>
    <row r="316" spans="2:20" x14ac:dyDescent="0.2">
      <c r="B316" s="20"/>
      <c r="C316" s="21"/>
      <c r="D316" s="22"/>
      <c r="E316" s="22"/>
      <c r="F316" s="22"/>
      <c r="G316" s="20"/>
      <c r="H316" s="23" t="str">
        <f t="shared" si="8"/>
        <v/>
      </c>
      <c r="I316" s="22"/>
      <c r="J316" s="22"/>
      <c r="K316" s="24"/>
      <c r="L316" s="22"/>
      <c r="M316" s="22"/>
      <c r="N316" s="20"/>
      <c r="O316" s="21"/>
      <c r="P316" s="25" t="str">
        <f>IF(B316="","",SUMIF('Linii ofertă'!$B$5:$B$1004,B316,'Linii ofertă'!$J$5:$J$1004))</f>
        <v/>
      </c>
      <c r="Q316" s="25" t="str">
        <f>IF(B316="","",SUMIF('Linii ofertă'!$B$5:$B$1004,B316,'Linii ofertă'!$M$5:$M$1004))</f>
        <v/>
      </c>
      <c r="R316" s="26" t="str">
        <f>IF(OR(B316="",N(P316)=0),"",SUMIF('Linii ofertă'!$B$5:$B$1004,B316,'Linii ofertă'!$P$5:$P$1004)/P316)</f>
        <v/>
      </c>
      <c r="S316" s="27" t="str">
        <f t="shared" ca="1" si="9"/>
        <v/>
      </c>
      <c r="T316" s="28" t="str">
        <f>IF(B316="","",TRIM(IF(COUNTIF($B$5:$B$504,B316)&gt;1,"Număr dublat. ","")&amp;IF(N(P316)=0,"Oferta nu are linii. ","")&amp;IF(M316="","Completează ce NU include oferta. ","")&amp;IF(AND(ISNUMBER(R316),R316&lt;MarjaMin),"Marjă totală sub minim. ","")&amp;IF(COUNTIFS('Linii ofertă'!$B$5:$B$1004,B316,'Linii ofertă'!$R$5:$R$1004,"Marjă*")&gt;0,"Are linii cu marjă sub minim. ","")&amp;IF(AND(S316="Expirată"),"Valabilitatea a expirat: reconfirmă prețurile. ","")))</f>
        <v/>
      </c>
    </row>
    <row r="317" spans="2:20" x14ac:dyDescent="0.2">
      <c r="B317" s="20"/>
      <c r="C317" s="21"/>
      <c r="D317" s="22"/>
      <c r="E317" s="22"/>
      <c r="F317" s="22"/>
      <c r="G317" s="20"/>
      <c r="H317" s="23" t="str">
        <f t="shared" si="8"/>
        <v/>
      </c>
      <c r="I317" s="22"/>
      <c r="J317" s="22"/>
      <c r="K317" s="24"/>
      <c r="L317" s="22"/>
      <c r="M317" s="22"/>
      <c r="N317" s="20"/>
      <c r="O317" s="21"/>
      <c r="P317" s="25" t="str">
        <f>IF(B317="","",SUMIF('Linii ofertă'!$B$5:$B$1004,B317,'Linii ofertă'!$J$5:$J$1004))</f>
        <v/>
      </c>
      <c r="Q317" s="25" t="str">
        <f>IF(B317="","",SUMIF('Linii ofertă'!$B$5:$B$1004,B317,'Linii ofertă'!$M$5:$M$1004))</f>
        <v/>
      </c>
      <c r="R317" s="26" t="str">
        <f>IF(OR(B317="",N(P317)=0),"",SUMIF('Linii ofertă'!$B$5:$B$1004,B317,'Linii ofertă'!$P$5:$P$1004)/P317)</f>
        <v/>
      </c>
      <c r="S317" s="27" t="str">
        <f t="shared" ca="1" si="9"/>
        <v/>
      </c>
      <c r="T317" s="28" t="str">
        <f>IF(B317="","",TRIM(IF(COUNTIF($B$5:$B$504,B317)&gt;1,"Număr dublat. ","")&amp;IF(N(P317)=0,"Oferta nu are linii. ","")&amp;IF(M317="","Completează ce NU include oferta. ","")&amp;IF(AND(ISNUMBER(R317),R317&lt;MarjaMin),"Marjă totală sub minim. ","")&amp;IF(COUNTIFS('Linii ofertă'!$B$5:$B$1004,B317,'Linii ofertă'!$R$5:$R$1004,"Marjă*")&gt;0,"Are linii cu marjă sub minim. ","")&amp;IF(AND(S317="Expirată"),"Valabilitatea a expirat: reconfirmă prețurile. ","")))</f>
        <v/>
      </c>
    </row>
    <row r="318" spans="2:20" x14ac:dyDescent="0.2">
      <c r="B318" s="20"/>
      <c r="C318" s="21"/>
      <c r="D318" s="22"/>
      <c r="E318" s="22"/>
      <c r="F318" s="22"/>
      <c r="G318" s="20"/>
      <c r="H318" s="23" t="str">
        <f t="shared" si="8"/>
        <v/>
      </c>
      <c r="I318" s="22"/>
      <c r="J318" s="22"/>
      <c r="K318" s="24"/>
      <c r="L318" s="22"/>
      <c r="M318" s="22"/>
      <c r="N318" s="20"/>
      <c r="O318" s="21"/>
      <c r="P318" s="25" t="str">
        <f>IF(B318="","",SUMIF('Linii ofertă'!$B$5:$B$1004,B318,'Linii ofertă'!$J$5:$J$1004))</f>
        <v/>
      </c>
      <c r="Q318" s="25" t="str">
        <f>IF(B318="","",SUMIF('Linii ofertă'!$B$5:$B$1004,B318,'Linii ofertă'!$M$5:$M$1004))</f>
        <v/>
      </c>
      <c r="R318" s="26" t="str">
        <f>IF(OR(B318="",N(P318)=0),"",SUMIF('Linii ofertă'!$B$5:$B$1004,B318,'Linii ofertă'!$P$5:$P$1004)/P318)</f>
        <v/>
      </c>
      <c r="S318" s="27" t="str">
        <f t="shared" ca="1" si="9"/>
        <v/>
      </c>
      <c r="T318" s="28" t="str">
        <f>IF(B318="","",TRIM(IF(COUNTIF($B$5:$B$504,B318)&gt;1,"Număr dublat. ","")&amp;IF(N(P318)=0,"Oferta nu are linii. ","")&amp;IF(M318="","Completează ce NU include oferta. ","")&amp;IF(AND(ISNUMBER(R318),R318&lt;MarjaMin),"Marjă totală sub minim. ","")&amp;IF(COUNTIFS('Linii ofertă'!$B$5:$B$1004,B318,'Linii ofertă'!$R$5:$R$1004,"Marjă*")&gt;0,"Are linii cu marjă sub minim. ","")&amp;IF(AND(S318="Expirată"),"Valabilitatea a expirat: reconfirmă prețurile. ","")))</f>
        <v/>
      </c>
    </row>
    <row r="319" spans="2:20" x14ac:dyDescent="0.2">
      <c r="B319" s="20"/>
      <c r="C319" s="21"/>
      <c r="D319" s="22"/>
      <c r="E319" s="22"/>
      <c r="F319" s="22"/>
      <c r="G319" s="20"/>
      <c r="H319" s="23" t="str">
        <f t="shared" si="8"/>
        <v/>
      </c>
      <c r="I319" s="22"/>
      <c r="J319" s="22"/>
      <c r="K319" s="24"/>
      <c r="L319" s="22"/>
      <c r="M319" s="22"/>
      <c r="N319" s="20"/>
      <c r="O319" s="21"/>
      <c r="P319" s="25" t="str">
        <f>IF(B319="","",SUMIF('Linii ofertă'!$B$5:$B$1004,B319,'Linii ofertă'!$J$5:$J$1004))</f>
        <v/>
      </c>
      <c r="Q319" s="25" t="str">
        <f>IF(B319="","",SUMIF('Linii ofertă'!$B$5:$B$1004,B319,'Linii ofertă'!$M$5:$M$1004))</f>
        <v/>
      </c>
      <c r="R319" s="26" t="str">
        <f>IF(OR(B319="",N(P319)=0),"",SUMIF('Linii ofertă'!$B$5:$B$1004,B319,'Linii ofertă'!$P$5:$P$1004)/P319)</f>
        <v/>
      </c>
      <c r="S319" s="27" t="str">
        <f t="shared" ca="1" si="9"/>
        <v/>
      </c>
      <c r="T319" s="28" t="str">
        <f>IF(B319="","",TRIM(IF(COUNTIF($B$5:$B$504,B319)&gt;1,"Număr dublat. ","")&amp;IF(N(P319)=0,"Oferta nu are linii. ","")&amp;IF(M319="","Completează ce NU include oferta. ","")&amp;IF(AND(ISNUMBER(R319),R319&lt;MarjaMin),"Marjă totală sub minim. ","")&amp;IF(COUNTIFS('Linii ofertă'!$B$5:$B$1004,B319,'Linii ofertă'!$R$5:$R$1004,"Marjă*")&gt;0,"Are linii cu marjă sub minim. ","")&amp;IF(AND(S319="Expirată"),"Valabilitatea a expirat: reconfirmă prețurile. ","")))</f>
        <v/>
      </c>
    </row>
    <row r="320" spans="2:20" x14ac:dyDescent="0.2">
      <c r="B320" s="20"/>
      <c r="C320" s="21"/>
      <c r="D320" s="22"/>
      <c r="E320" s="22"/>
      <c r="F320" s="22"/>
      <c r="G320" s="20"/>
      <c r="H320" s="23" t="str">
        <f t="shared" si="8"/>
        <v/>
      </c>
      <c r="I320" s="22"/>
      <c r="J320" s="22"/>
      <c r="K320" s="24"/>
      <c r="L320" s="22"/>
      <c r="M320" s="22"/>
      <c r="N320" s="20"/>
      <c r="O320" s="21"/>
      <c r="P320" s="25" t="str">
        <f>IF(B320="","",SUMIF('Linii ofertă'!$B$5:$B$1004,B320,'Linii ofertă'!$J$5:$J$1004))</f>
        <v/>
      </c>
      <c r="Q320" s="25" t="str">
        <f>IF(B320="","",SUMIF('Linii ofertă'!$B$5:$B$1004,B320,'Linii ofertă'!$M$5:$M$1004))</f>
        <v/>
      </c>
      <c r="R320" s="26" t="str">
        <f>IF(OR(B320="",N(P320)=0),"",SUMIF('Linii ofertă'!$B$5:$B$1004,B320,'Linii ofertă'!$P$5:$P$1004)/P320)</f>
        <v/>
      </c>
      <c r="S320" s="27" t="str">
        <f t="shared" ca="1" si="9"/>
        <v/>
      </c>
      <c r="T320" s="28" t="str">
        <f>IF(B320="","",TRIM(IF(COUNTIF($B$5:$B$504,B320)&gt;1,"Număr dublat. ","")&amp;IF(N(P320)=0,"Oferta nu are linii. ","")&amp;IF(M320="","Completează ce NU include oferta. ","")&amp;IF(AND(ISNUMBER(R320),R320&lt;MarjaMin),"Marjă totală sub minim. ","")&amp;IF(COUNTIFS('Linii ofertă'!$B$5:$B$1004,B320,'Linii ofertă'!$R$5:$R$1004,"Marjă*")&gt;0,"Are linii cu marjă sub minim. ","")&amp;IF(AND(S320="Expirată"),"Valabilitatea a expirat: reconfirmă prețurile. ","")))</f>
        <v/>
      </c>
    </row>
    <row r="321" spans="2:20" x14ac:dyDescent="0.2">
      <c r="B321" s="20"/>
      <c r="C321" s="21"/>
      <c r="D321" s="22"/>
      <c r="E321" s="22"/>
      <c r="F321" s="22"/>
      <c r="G321" s="20"/>
      <c r="H321" s="23" t="str">
        <f t="shared" si="8"/>
        <v/>
      </c>
      <c r="I321" s="22"/>
      <c r="J321" s="22"/>
      <c r="K321" s="24"/>
      <c r="L321" s="22"/>
      <c r="M321" s="22"/>
      <c r="N321" s="20"/>
      <c r="O321" s="21"/>
      <c r="P321" s="25" t="str">
        <f>IF(B321="","",SUMIF('Linii ofertă'!$B$5:$B$1004,B321,'Linii ofertă'!$J$5:$J$1004))</f>
        <v/>
      </c>
      <c r="Q321" s="25" t="str">
        <f>IF(B321="","",SUMIF('Linii ofertă'!$B$5:$B$1004,B321,'Linii ofertă'!$M$5:$M$1004))</f>
        <v/>
      </c>
      <c r="R321" s="26" t="str">
        <f>IF(OR(B321="",N(P321)=0),"",SUMIF('Linii ofertă'!$B$5:$B$1004,B321,'Linii ofertă'!$P$5:$P$1004)/P321)</f>
        <v/>
      </c>
      <c r="S321" s="27" t="str">
        <f t="shared" ca="1" si="9"/>
        <v/>
      </c>
      <c r="T321" s="28" t="str">
        <f>IF(B321="","",TRIM(IF(COUNTIF($B$5:$B$504,B321)&gt;1,"Număr dublat. ","")&amp;IF(N(P321)=0,"Oferta nu are linii. ","")&amp;IF(M321="","Completează ce NU include oferta. ","")&amp;IF(AND(ISNUMBER(R321),R321&lt;MarjaMin),"Marjă totală sub minim. ","")&amp;IF(COUNTIFS('Linii ofertă'!$B$5:$B$1004,B321,'Linii ofertă'!$R$5:$R$1004,"Marjă*")&gt;0,"Are linii cu marjă sub minim. ","")&amp;IF(AND(S321="Expirată"),"Valabilitatea a expirat: reconfirmă prețurile. ","")))</f>
        <v/>
      </c>
    </row>
    <row r="322" spans="2:20" x14ac:dyDescent="0.2">
      <c r="B322" s="20"/>
      <c r="C322" s="21"/>
      <c r="D322" s="22"/>
      <c r="E322" s="22"/>
      <c r="F322" s="22"/>
      <c r="G322" s="20"/>
      <c r="H322" s="23" t="str">
        <f t="shared" si="8"/>
        <v/>
      </c>
      <c r="I322" s="22"/>
      <c r="J322" s="22"/>
      <c r="K322" s="24"/>
      <c r="L322" s="22"/>
      <c r="M322" s="22"/>
      <c r="N322" s="20"/>
      <c r="O322" s="21"/>
      <c r="P322" s="25" t="str">
        <f>IF(B322="","",SUMIF('Linii ofertă'!$B$5:$B$1004,B322,'Linii ofertă'!$J$5:$J$1004))</f>
        <v/>
      </c>
      <c r="Q322" s="25" t="str">
        <f>IF(B322="","",SUMIF('Linii ofertă'!$B$5:$B$1004,B322,'Linii ofertă'!$M$5:$M$1004))</f>
        <v/>
      </c>
      <c r="R322" s="26" t="str">
        <f>IF(OR(B322="",N(P322)=0),"",SUMIF('Linii ofertă'!$B$5:$B$1004,B322,'Linii ofertă'!$P$5:$P$1004)/P322)</f>
        <v/>
      </c>
      <c r="S322" s="27" t="str">
        <f t="shared" ca="1" si="9"/>
        <v/>
      </c>
      <c r="T322" s="28" t="str">
        <f>IF(B322="","",TRIM(IF(COUNTIF($B$5:$B$504,B322)&gt;1,"Număr dublat. ","")&amp;IF(N(P322)=0,"Oferta nu are linii. ","")&amp;IF(M322="","Completează ce NU include oferta. ","")&amp;IF(AND(ISNUMBER(R322),R322&lt;MarjaMin),"Marjă totală sub minim. ","")&amp;IF(COUNTIFS('Linii ofertă'!$B$5:$B$1004,B322,'Linii ofertă'!$R$5:$R$1004,"Marjă*")&gt;0,"Are linii cu marjă sub minim. ","")&amp;IF(AND(S322="Expirată"),"Valabilitatea a expirat: reconfirmă prețurile. ","")))</f>
        <v/>
      </c>
    </row>
    <row r="323" spans="2:20" x14ac:dyDescent="0.2">
      <c r="B323" s="20"/>
      <c r="C323" s="21"/>
      <c r="D323" s="22"/>
      <c r="E323" s="22"/>
      <c r="F323" s="22"/>
      <c r="G323" s="20"/>
      <c r="H323" s="23" t="str">
        <f t="shared" si="8"/>
        <v/>
      </c>
      <c r="I323" s="22"/>
      <c r="J323" s="22"/>
      <c r="K323" s="24"/>
      <c r="L323" s="22"/>
      <c r="M323" s="22"/>
      <c r="N323" s="20"/>
      <c r="O323" s="21"/>
      <c r="P323" s="25" t="str">
        <f>IF(B323="","",SUMIF('Linii ofertă'!$B$5:$B$1004,B323,'Linii ofertă'!$J$5:$J$1004))</f>
        <v/>
      </c>
      <c r="Q323" s="25" t="str">
        <f>IF(B323="","",SUMIF('Linii ofertă'!$B$5:$B$1004,B323,'Linii ofertă'!$M$5:$M$1004))</f>
        <v/>
      </c>
      <c r="R323" s="26" t="str">
        <f>IF(OR(B323="",N(P323)=0),"",SUMIF('Linii ofertă'!$B$5:$B$1004,B323,'Linii ofertă'!$P$5:$P$1004)/P323)</f>
        <v/>
      </c>
      <c r="S323" s="27" t="str">
        <f t="shared" ca="1" si="9"/>
        <v/>
      </c>
      <c r="T323" s="28" t="str">
        <f>IF(B323="","",TRIM(IF(COUNTIF($B$5:$B$504,B323)&gt;1,"Număr dublat. ","")&amp;IF(N(P323)=0,"Oferta nu are linii. ","")&amp;IF(M323="","Completează ce NU include oferta. ","")&amp;IF(AND(ISNUMBER(R323),R323&lt;MarjaMin),"Marjă totală sub minim. ","")&amp;IF(COUNTIFS('Linii ofertă'!$B$5:$B$1004,B323,'Linii ofertă'!$R$5:$R$1004,"Marjă*")&gt;0,"Are linii cu marjă sub minim. ","")&amp;IF(AND(S323="Expirată"),"Valabilitatea a expirat: reconfirmă prețurile. ","")))</f>
        <v/>
      </c>
    </row>
    <row r="324" spans="2:20" x14ac:dyDescent="0.2">
      <c r="B324" s="20"/>
      <c r="C324" s="21"/>
      <c r="D324" s="22"/>
      <c r="E324" s="22"/>
      <c r="F324" s="22"/>
      <c r="G324" s="20"/>
      <c r="H324" s="23" t="str">
        <f t="shared" si="8"/>
        <v/>
      </c>
      <c r="I324" s="22"/>
      <c r="J324" s="22"/>
      <c r="K324" s="24"/>
      <c r="L324" s="22"/>
      <c r="M324" s="22"/>
      <c r="N324" s="20"/>
      <c r="O324" s="21"/>
      <c r="P324" s="25" t="str">
        <f>IF(B324="","",SUMIF('Linii ofertă'!$B$5:$B$1004,B324,'Linii ofertă'!$J$5:$J$1004))</f>
        <v/>
      </c>
      <c r="Q324" s="25" t="str">
        <f>IF(B324="","",SUMIF('Linii ofertă'!$B$5:$B$1004,B324,'Linii ofertă'!$M$5:$M$1004))</f>
        <v/>
      </c>
      <c r="R324" s="26" t="str">
        <f>IF(OR(B324="",N(P324)=0),"",SUMIF('Linii ofertă'!$B$5:$B$1004,B324,'Linii ofertă'!$P$5:$P$1004)/P324)</f>
        <v/>
      </c>
      <c r="S324" s="27" t="str">
        <f t="shared" ca="1" si="9"/>
        <v/>
      </c>
      <c r="T324" s="28" t="str">
        <f>IF(B324="","",TRIM(IF(COUNTIF($B$5:$B$504,B324)&gt;1,"Număr dublat. ","")&amp;IF(N(P324)=0,"Oferta nu are linii. ","")&amp;IF(M324="","Completează ce NU include oferta. ","")&amp;IF(AND(ISNUMBER(R324),R324&lt;MarjaMin),"Marjă totală sub minim. ","")&amp;IF(COUNTIFS('Linii ofertă'!$B$5:$B$1004,B324,'Linii ofertă'!$R$5:$R$1004,"Marjă*")&gt;0,"Are linii cu marjă sub minim. ","")&amp;IF(AND(S324="Expirată"),"Valabilitatea a expirat: reconfirmă prețurile. ","")))</f>
        <v/>
      </c>
    </row>
    <row r="325" spans="2:20" x14ac:dyDescent="0.2">
      <c r="B325" s="20"/>
      <c r="C325" s="21"/>
      <c r="D325" s="22"/>
      <c r="E325" s="22"/>
      <c r="F325" s="22"/>
      <c r="G325" s="20"/>
      <c r="H325" s="23" t="str">
        <f t="shared" ref="H325:H388" si="10">IF(OR(B325="",C325=""),"",C325+IF(G325="",ValImpl,G325))</f>
        <v/>
      </c>
      <c r="I325" s="22"/>
      <c r="J325" s="22"/>
      <c r="K325" s="24"/>
      <c r="L325" s="22"/>
      <c r="M325" s="22"/>
      <c r="N325" s="20"/>
      <c r="O325" s="21"/>
      <c r="P325" s="25" t="str">
        <f>IF(B325="","",SUMIF('Linii ofertă'!$B$5:$B$1004,B325,'Linii ofertă'!$J$5:$J$1004))</f>
        <v/>
      </c>
      <c r="Q325" s="25" t="str">
        <f>IF(B325="","",SUMIF('Linii ofertă'!$B$5:$B$1004,B325,'Linii ofertă'!$M$5:$M$1004))</f>
        <v/>
      </c>
      <c r="R325" s="26" t="str">
        <f>IF(OR(B325="",N(P325)=0),"",SUMIF('Linii ofertă'!$B$5:$B$1004,B325,'Linii ofertă'!$P$5:$P$1004)/P325)</f>
        <v/>
      </c>
      <c r="S325" s="27" t="str">
        <f t="shared" ref="S325:S388" ca="1" si="11">IF(B325="","",IF(AND(OR(N325="Trimisă",N325="În lucru"),ISNUMBER(H325),TODAY()&gt;H325),"Expirată",IF(N325="","În lucru",N325)))</f>
        <v/>
      </c>
      <c r="T325" s="28" t="str">
        <f>IF(B325="","",TRIM(IF(COUNTIF($B$5:$B$504,B325)&gt;1,"Număr dublat. ","")&amp;IF(N(P325)=0,"Oferta nu are linii. ","")&amp;IF(M325="","Completează ce NU include oferta. ","")&amp;IF(AND(ISNUMBER(R325),R325&lt;MarjaMin),"Marjă totală sub minim. ","")&amp;IF(COUNTIFS('Linii ofertă'!$B$5:$B$1004,B325,'Linii ofertă'!$R$5:$R$1004,"Marjă*")&gt;0,"Are linii cu marjă sub minim. ","")&amp;IF(AND(S325="Expirată"),"Valabilitatea a expirat: reconfirmă prețurile. ","")))</f>
        <v/>
      </c>
    </row>
    <row r="326" spans="2:20" x14ac:dyDescent="0.2">
      <c r="B326" s="20"/>
      <c r="C326" s="21"/>
      <c r="D326" s="22"/>
      <c r="E326" s="22"/>
      <c r="F326" s="22"/>
      <c r="G326" s="20"/>
      <c r="H326" s="23" t="str">
        <f t="shared" si="10"/>
        <v/>
      </c>
      <c r="I326" s="22"/>
      <c r="J326" s="22"/>
      <c r="K326" s="24"/>
      <c r="L326" s="22"/>
      <c r="M326" s="22"/>
      <c r="N326" s="20"/>
      <c r="O326" s="21"/>
      <c r="P326" s="25" t="str">
        <f>IF(B326="","",SUMIF('Linii ofertă'!$B$5:$B$1004,B326,'Linii ofertă'!$J$5:$J$1004))</f>
        <v/>
      </c>
      <c r="Q326" s="25" t="str">
        <f>IF(B326="","",SUMIF('Linii ofertă'!$B$5:$B$1004,B326,'Linii ofertă'!$M$5:$M$1004))</f>
        <v/>
      </c>
      <c r="R326" s="26" t="str">
        <f>IF(OR(B326="",N(P326)=0),"",SUMIF('Linii ofertă'!$B$5:$B$1004,B326,'Linii ofertă'!$P$5:$P$1004)/P326)</f>
        <v/>
      </c>
      <c r="S326" s="27" t="str">
        <f t="shared" ca="1" si="11"/>
        <v/>
      </c>
      <c r="T326" s="28" t="str">
        <f>IF(B326="","",TRIM(IF(COUNTIF($B$5:$B$504,B326)&gt;1,"Număr dublat. ","")&amp;IF(N(P326)=0,"Oferta nu are linii. ","")&amp;IF(M326="","Completează ce NU include oferta. ","")&amp;IF(AND(ISNUMBER(R326),R326&lt;MarjaMin),"Marjă totală sub minim. ","")&amp;IF(COUNTIFS('Linii ofertă'!$B$5:$B$1004,B326,'Linii ofertă'!$R$5:$R$1004,"Marjă*")&gt;0,"Are linii cu marjă sub minim. ","")&amp;IF(AND(S326="Expirată"),"Valabilitatea a expirat: reconfirmă prețurile. ","")))</f>
        <v/>
      </c>
    </row>
    <row r="327" spans="2:20" x14ac:dyDescent="0.2">
      <c r="B327" s="20"/>
      <c r="C327" s="21"/>
      <c r="D327" s="22"/>
      <c r="E327" s="22"/>
      <c r="F327" s="22"/>
      <c r="G327" s="20"/>
      <c r="H327" s="23" t="str">
        <f t="shared" si="10"/>
        <v/>
      </c>
      <c r="I327" s="22"/>
      <c r="J327" s="22"/>
      <c r="K327" s="24"/>
      <c r="L327" s="22"/>
      <c r="M327" s="22"/>
      <c r="N327" s="20"/>
      <c r="O327" s="21"/>
      <c r="P327" s="25" t="str">
        <f>IF(B327="","",SUMIF('Linii ofertă'!$B$5:$B$1004,B327,'Linii ofertă'!$J$5:$J$1004))</f>
        <v/>
      </c>
      <c r="Q327" s="25" t="str">
        <f>IF(B327="","",SUMIF('Linii ofertă'!$B$5:$B$1004,B327,'Linii ofertă'!$M$5:$M$1004))</f>
        <v/>
      </c>
      <c r="R327" s="26" t="str">
        <f>IF(OR(B327="",N(P327)=0),"",SUMIF('Linii ofertă'!$B$5:$B$1004,B327,'Linii ofertă'!$P$5:$P$1004)/P327)</f>
        <v/>
      </c>
      <c r="S327" s="27" t="str">
        <f t="shared" ca="1" si="11"/>
        <v/>
      </c>
      <c r="T327" s="28" t="str">
        <f>IF(B327="","",TRIM(IF(COUNTIF($B$5:$B$504,B327)&gt;1,"Număr dublat. ","")&amp;IF(N(P327)=0,"Oferta nu are linii. ","")&amp;IF(M327="","Completează ce NU include oferta. ","")&amp;IF(AND(ISNUMBER(R327),R327&lt;MarjaMin),"Marjă totală sub minim. ","")&amp;IF(COUNTIFS('Linii ofertă'!$B$5:$B$1004,B327,'Linii ofertă'!$R$5:$R$1004,"Marjă*")&gt;0,"Are linii cu marjă sub minim. ","")&amp;IF(AND(S327="Expirată"),"Valabilitatea a expirat: reconfirmă prețurile. ","")))</f>
        <v/>
      </c>
    </row>
    <row r="328" spans="2:20" x14ac:dyDescent="0.2">
      <c r="B328" s="20"/>
      <c r="C328" s="21"/>
      <c r="D328" s="22"/>
      <c r="E328" s="22"/>
      <c r="F328" s="22"/>
      <c r="G328" s="20"/>
      <c r="H328" s="23" t="str">
        <f t="shared" si="10"/>
        <v/>
      </c>
      <c r="I328" s="22"/>
      <c r="J328" s="22"/>
      <c r="K328" s="24"/>
      <c r="L328" s="22"/>
      <c r="M328" s="22"/>
      <c r="N328" s="20"/>
      <c r="O328" s="21"/>
      <c r="P328" s="25" t="str">
        <f>IF(B328="","",SUMIF('Linii ofertă'!$B$5:$B$1004,B328,'Linii ofertă'!$J$5:$J$1004))</f>
        <v/>
      </c>
      <c r="Q328" s="25" t="str">
        <f>IF(B328="","",SUMIF('Linii ofertă'!$B$5:$B$1004,B328,'Linii ofertă'!$M$5:$M$1004))</f>
        <v/>
      </c>
      <c r="R328" s="26" t="str">
        <f>IF(OR(B328="",N(P328)=0),"",SUMIF('Linii ofertă'!$B$5:$B$1004,B328,'Linii ofertă'!$P$5:$P$1004)/P328)</f>
        <v/>
      </c>
      <c r="S328" s="27" t="str">
        <f t="shared" ca="1" si="11"/>
        <v/>
      </c>
      <c r="T328" s="28" t="str">
        <f>IF(B328="","",TRIM(IF(COUNTIF($B$5:$B$504,B328)&gt;1,"Număr dublat. ","")&amp;IF(N(P328)=0,"Oferta nu are linii. ","")&amp;IF(M328="","Completează ce NU include oferta. ","")&amp;IF(AND(ISNUMBER(R328),R328&lt;MarjaMin),"Marjă totală sub minim. ","")&amp;IF(COUNTIFS('Linii ofertă'!$B$5:$B$1004,B328,'Linii ofertă'!$R$5:$R$1004,"Marjă*")&gt;0,"Are linii cu marjă sub minim. ","")&amp;IF(AND(S328="Expirată"),"Valabilitatea a expirat: reconfirmă prețurile. ","")))</f>
        <v/>
      </c>
    </row>
    <row r="329" spans="2:20" x14ac:dyDescent="0.2">
      <c r="B329" s="20"/>
      <c r="C329" s="21"/>
      <c r="D329" s="22"/>
      <c r="E329" s="22"/>
      <c r="F329" s="22"/>
      <c r="G329" s="20"/>
      <c r="H329" s="23" t="str">
        <f t="shared" si="10"/>
        <v/>
      </c>
      <c r="I329" s="22"/>
      <c r="J329" s="22"/>
      <c r="K329" s="24"/>
      <c r="L329" s="22"/>
      <c r="M329" s="22"/>
      <c r="N329" s="20"/>
      <c r="O329" s="21"/>
      <c r="P329" s="25" t="str">
        <f>IF(B329="","",SUMIF('Linii ofertă'!$B$5:$B$1004,B329,'Linii ofertă'!$J$5:$J$1004))</f>
        <v/>
      </c>
      <c r="Q329" s="25" t="str">
        <f>IF(B329="","",SUMIF('Linii ofertă'!$B$5:$B$1004,B329,'Linii ofertă'!$M$5:$M$1004))</f>
        <v/>
      </c>
      <c r="R329" s="26" t="str">
        <f>IF(OR(B329="",N(P329)=0),"",SUMIF('Linii ofertă'!$B$5:$B$1004,B329,'Linii ofertă'!$P$5:$P$1004)/P329)</f>
        <v/>
      </c>
      <c r="S329" s="27" t="str">
        <f t="shared" ca="1" si="11"/>
        <v/>
      </c>
      <c r="T329" s="28" t="str">
        <f>IF(B329="","",TRIM(IF(COUNTIF($B$5:$B$504,B329)&gt;1,"Număr dublat. ","")&amp;IF(N(P329)=0,"Oferta nu are linii. ","")&amp;IF(M329="","Completează ce NU include oferta. ","")&amp;IF(AND(ISNUMBER(R329),R329&lt;MarjaMin),"Marjă totală sub minim. ","")&amp;IF(COUNTIFS('Linii ofertă'!$B$5:$B$1004,B329,'Linii ofertă'!$R$5:$R$1004,"Marjă*")&gt;0,"Are linii cu marjă sub minim. ","")&amp;IF(AND(S329="Expirată"),"Valabilitatea a expirat: reconfirmă prețurile. ","")))</f>
        <v/>
      </c>
    </row>
    <row r="330" spans="2:20" x14ac:dyDescent="0.2">
      <c r="B330" s="20"/>
      <c r="C330" s="21"/>
      <c r="D330" s="22"/>
      <c r="E330" s="22"/>
      <c r="F330" s="22"/>
      <c r="G330" s="20"/>
      <c r="H330" s="23" t="str">
        <f t="shared" si="10"/>
        <v/>
      </c>
      <c r="I330" s="22"/>
      <c r="J330" s="22"/>
      <c r="K330" s="24"/>
      <c r="L330" s="22"/>
      <c r="M330" s="22"/>
      <c r="N330" s="20"/>
      <c r="O330" s="21"/>
      <c r="P330" s="25" t="str">
        <f>IF(B330="","",SUMIF('Linii ofertă'!$B$5:$B$1004,B330,'Linii ofertă'!$J$5:$J$1004))</f>
        <v/>
      </c>
      <c r="Q330" s="25" t="str">
        <f>IF(B330="","",SUMIF('Linii ofertă'!$B$5:$B$1004,B330,'Linii ofertă'!$M$5:$M$1004))</f>
        <v/>
      </c>
      <c r="R330" s="26" t="str">
        <f>IF(OR(B330="",N(P330)=0),"",SUMIF('Linii ofertă'!$B$5:$B$1004,B330,'Linii ofertă'!$P$5:$P$1004)/P330)</f>
        <v/>
      </c>
      <c r="S330" s="27" t="str">
        <f t="shared" ca="1" si="11"/>
        <v/>
      </c>
      <c r="T330" s="28" t="str">
        <f>IF(B330="","",TRIM(IF(COUNTIF($B$5:$B$504,B330)&gt;1,"Număr dublat. ","")&amp;IF(N(P330)=0,"Oferta nu are linii. ","")&amp;IF(M330="","Completează ce NU include oferta. ","")&amp;IF(AND(ISNUMBER(R330),R330&lt;MarjaMin),"Marjă totală sub minim. ","")&amp;IF(COUNTIFS('Linii ofertă'!$B$5:$B$1004,B330,'Linii ofertă'!$R$5:$R$1004,"Marjă*")&gt;0,"Are linii cu marjă sub minim. ","")&amp;IF(AND(S330="Expirată"),"Valabilitatea a expirat: reconfirmă prețurile. ","")))</f>
        <v/>
      </c>
    </row>
    <row r="331" spans="2:20" x14ac:dyDescent="0.2">
      <c r="B331" s="20"/>
      <c r="C331" s="21"/>
      <c r="D331" s="22"/>
      <c r="E331" s="22"/>
      <c r="F331" s="22"/>
      <c r="G331" s="20"/>
      <c r="H331" s="23" t="str">
        <f t="shared" si="10"/>
        <v/>
      </c>
      <c r="I331" s="22"/>
      <c r="J331" s="22"/>
      <c r="K331" s="24"/>
      <c r="L331" s="22"/>
      <c r="M331" s="22"/>
      <c r="N331" s="20"/>
      <c r="O331" s="21"/>
      <c r="P331" s="25" t="str">
        <f>IF(B331="","",SUMIF('Linii ofertă'!$B$5:$B$1004,B331,'Linii ofertă'!$J$5:$J$1004))</f>
        <v/>
      </c>
      <c r="Q331" s="25" t="str">
        <f>IF(B331="","",SUMIF('Linii ofertă'!$B$5:$B$1004,B331,'Linii ofertă'!$M$5:$M$1004))</f>
        <v/>
      </c>
      <c r="R331" s="26" t="str">
        <f>IF(OR(B331="",N(P331)=0),"",SUMIF('Linii ofertă'!$B$5:$B$1004,B331,'Linii ofertă'!$P$5:$P$1004)/P331)</f>
        <v/>
      </c>
      <c r="S331" s="27" t="str">
        <f t="shared" ca="1" si="11"/>
        <v/>
      </c>
      <c r="T331" s="28" t="str">
        <f>IF(B331="","",TRIM(IF(COUNTIF($B$5:$B$504,B331)&gt;1,"Număr dublat. ","")&amp;IF(N(P331)=0,"Oferta nu are linii. ","")&amp;IF(M331="","Completează ce NU include oferta. ","")&amp;IF(AND(ISNUMBER(R331),R331&lt;MarjaMin),"Marjă totală sub minim. ","")&amp;IF(COUNTIFS('Linii ofertă'!$B$5:$B$1004,B331,'Linii ofertă'!$R$5:$R$1004,"Marjă*")&gt;0,"Are linii cu marjă sub minim. ","")&amp;IF(AND(S331="Expirată"),"Valabilitatea a expirat: reconfirmă prețurile. ","")))</f>
        <v/>
      </c>
    </row>
    <row r="332" spans="2:20" x14ac:dyDescent="0.2">
      <c r="B332" s="20"/>
      <c r="C332" s="21"/>
      <c r="D332" s="22"/>
      <c r="E332" s="22"/>
      <c r="F332" s="22"/>
      <c r="G332" s="20"/>
      <c r="H332" s="23" t="str">
        <f t="shared" si="10"/>
        <v/>
      </c>
      <c r="I332" s="22"/>
      <c r="J332" s="22"/>
      <c r="K332" s="24"/>
      <c r="L332" s="22"/>
      <c r="M332" s="22"/>
      <c r="N332" s="20"/>
      <c r="O332" s="21"/>
      <c r="P332" s="25" t="str">
        <f>IF(B332="","",SUMIF('Linii ofertă'!$B$5:$B$1004,B332,'Linii ofertă'!$J$5:$J$1004))</f>
        <v/>
      </c>
      <c r="Q332" s="25" t="str">
        <f>IF(B332="","",SUMIF('Linii ofertă'!$B$5:$B$1004,B332,'Linii ofertă'!$M$5:$M$1004))</f>
        <v/>
      </c>
      <c r="R332" s="26" t="str">
        <f>IF(OR(B332="",N(P332)=0),"",SUMIF('Linii ofertă'!$B$5:$B$1004,B332,'Linii ofertă'!$P$5:$P$1004)/P332)</f>
        <v/>
      </c>
      <c r="S332" s="27" t="str">
        <f t="shared" ca="1" si="11"/>
        <v/>
      </c>
      <c r="T332" s="28" t="str">
        <f>IF(B332="","",TRIM(IF(COUNTIF($B$5:$B$504,B332)&gt;1,"Număr dublat. ","")&amp;IF(N(P332)=0,"Oferta nu are linii. ","")&amp;IF(M332="","Completează ce NU include oferta. ","")&amp;IF(AND(ISNUMBER(R332),R332&lt;MarjaMin),"Marjă totală sub minim. ","")&amp;IF(COUNTIFS('Linii ofertă'!$B$5:$B$1004,B332,'Linii ofertă'!$R$5:$R$1004,"Marjă*")&gt;0,"Are linii cu marjă sub minim. ","")&amp;IF(AND(S332="Expirată"),"Valabilitatea a expirat: reconfirmă prețurile. ","")))</f>
        <v/>
      </c>
    </row>
    <row r="333" spans="2:20" x14ac:dyDescent="0.2">
      <c r="B333" s="20"/>
      <c r="C333" s="21"/>
      <c r="D333" s="22"/>
      <c r="E333" s="22"/>
      <c r="F333" s="22"/>
      <c r="G333" s="20"/>
      <c r="H333" s="23" t="str">
        <f t="shared" si="10"/>
        <v/>
      </c>
      <c r="I333" s="22"/>
      <c r="J333" s="22"/>
      <c r="K333" s="24"/>
      <c r="L333" s="22"/>
      <c r="M333" s="22"/>
      <c r="N333" s="20"/>
      <c r="O333" s="21"/>
      <c r="P333" s="25" t="str">
        <f>IF(B333="","",SUMIF('Linii ofertă'!$B$5:$B$1004,B333,'Linii ofertă'!$J$5:$J$1004))</f>
        <v/>
      </c>
      <c r="Q333" s="25" t="str">
        <f>IF(B333="","",SUMIF('Linii ofertă'!$B$5:$B$1004,B333,'Linii ofertă'!$M$5:$M$1004))</f>
        <v/>
      </c>
      <c r="R333" s="26" t="str">
        <f>IF(OR(B333="",N(P333)=0),"",SUMIF('Linii ofertă'!$B$5:$B$1004,B333,'Linii ofertă'!$P$5:$P$1004)/P333)</f>
        <v/>
      </c>
      <c r="S333" s="27" t="str">
        <f t="shared" ca="1" si="11"/>
        <v/>
      </c>
      <c r="T333" s="28" t="str">
        <f>IF(B333="","",TRIM(IF(COUNTIF($B$5:$B$504,B333)&gt;1,"Număr dublat. ","")&amp;IF(N(P333)=0,"Oferta nu are linii. ","")&amp;IF(M333="","Completează ce NU include oferta. ","")&amp;IF(AND(ISNUMBER(R333),R333&lt;MarjaMin),"Marjă totală sub minim. ","")&amp;IF(COUNTIFS('Linii ofertă'!$B$5:$B$1004,B333,'Linii ofertă'!$R$5:$R$1004,"Marjă*")&gt;0,"Are linii cu marjă sub minim. ","")&amp;IF(AND(S333="Expirată"),"Valabilitatea a expirat: reconfirmă prețurile. ","")))</f>
        <v/>
      </c>
    </row>
    <row r="334" spans="2:20" x14ac:dyDescent="0.2">
      <c r="B334" s="20"/>
      <c r="C334" s="21"/>
      <c r="D334" s="22"/>
      <c r="E334" s="22"/>
      <c r="F334" s="22"/>
      <c r="G334" s="20"/>
      <c r="H334" s="23" t="str">
        <f t="shared" si="10"/>
        <v/>
      </c>
      <c r="I334" s="22"/>
      <c r="J334" s="22"/>
      <c r="K334" s="24"/>
      <c r="L334" s="22"/>
      <c r="M334" s="22"/>
      <c r="N334" s="20"/>
      <c r="O334" s="21"/>
      <c r="P334" s="25" t="str">
        <f>IF(B334="","",SUMIF('Linii ofertă'!$B$5:$B$1004,B334,'Linii ofertă'!$J$5:$J$1004))</f>
        <v/>
      </c>
      <c r="Q334" s="25" t="str">
        <f>IF(B334="","",SUMIF('Linii ofertă'!$B$5:$B$1004,B334,'Linii ofertă'!$M$5:$M$1004))</f>
        <v/>
      </c>
      <c r="R334" s="26" t="str">
        <f>IF(OR(B334="",N(P334)=0),"",SUMIF('Linii ofertă'!$B$5:$B$1004,B334,'Linii ofertă'!$P$5:$P$1004)/P334)</f>
        <v/>
      </c>
      <c r="S334" s="27" t="str">
        <f t="shared" ca="1" si="11"/>
        <v/>
      </c>
      <c r="T334" s="28" t="str">
        <f>IF(B334="","",TRIM(IF(COUNTIF($B$5:$B$504,B334)&gt;1,"Număr dublat. ","")&amp;IF(N(P334)=0,"Oferta nu are linii. ","")&amp;IF(M334="","Completează ce NU include oferta. ","")&amp;IF(AND(ISNUMBER(R334),R334&lt;MarjaMin),"Marjă totală sub minim. ","")&amp;IF(COUNTIFS('Linii ofertă'!$B$5:$B$1004,B334,'Linii ofertă'!$R$5:$R$1004,"Marjă*")&gt;0,"Are linii cu marjă sub minim. ","")&amp;IF(AND(S334="Expirată"),"Valabilitatea a expirat: reconfirmă prețurile. ","")))</f>
        <v/>
      </c>
    </row>
    <row r="335" spans="2:20" x14ac:dyDescent="0.2">
      <c r="B335" s="20"/>
      <c r="C335" s="21"/>
      <c r="D335" s="22"/>
      <c r="E335" s="22"/>
      <c r="F335" s="22"/>
      <c r="G335" s="20"/>
      <c r="H335" s="23" t="str">
        <f t="shared" si="10"/>
        <v/>
      </c>
      <c r="I335" s="22"/>
      <c r="J335" s="22"/>
      <c r="K335" s="24"/>
      <c r="L335" s="22"/>
      <c r="M335" s="22"/>
      <c r="N335" s="20"/>
      <c r="O335" s="21"/>
      <c r="P335" s="25" t="str">
        <f>IF(B335="","",SUMIF('Linii ofertă'!$B$5:$B$1004,B335,'Linii ofertă'!$J$5:$J$1004))</f>
        <v/>
      </c>
      <c r="Q335" s="25" t="str">
        <f>IF(B335="","",SUMIF('Linii ofertă'!$B$5:$B$1004,B335,'Linii ofertă'!$M$5:$M$1004))</f>
        <v/>
      </c>
      <c r="R335" s="26" t="str">
        <f>IF(OR(B335="",N(P335)=0),"",SUMIF('Linii ofertă'!$B$5:$B$1004,B335,'Linii ofertă'!$P$5:$P$1004)/P335)</f>
        <v/>
      </c>
      <c r="S335" s="27" t="str">
        <f t="shared" ca="1" si="11"/>
        <v/>
      </c>
      <c r="T335" s="28" t="str">
        <f>IF(B335="","",TRIM(IF(COUNTIF($B$5:$B$504,B335)&gt;1,"Număr dublat. ","")&amp;IF(N(P335)=0,"Oferta nu are linii. ","")&amp;IF(M335="","Completează ce NU include oferta. ","")&amp;IF(AND(ISNUMBER(R335),R335&lt;MarjaMin),"Marjă totală sub minim. ","")&amp;IF(COUNTIFS('Linii ofertă'!$B$5:$B$1004,B335,'Linii ofertă'!$R$5:$R$1004,"Marjă*")&gt;0,"Are linii cu marjă sub minim. ","")&amp;IF(AND(S335="Expirată"),"Valabilitatea a expirat: reconfirmă prețurile. ","")))</f>
        <v/>
      </c>
    </row>
    <row r="336" spans="2:20" x14ac:dyDescent="0.2">
      <c r="B336" s="20"/>
      <c r="C336" s="21"/>
      <c r="D336" s="22"/>
      <c r="E336" s="22"/>
      <c r="F336" s="22"/>
      <c r="G336" s="20"/>
      <c r="H336" s="23" t="str">
        <f t="shared" si="10"/>
        <v/>
      </c>
      <c r="I336" s="22"/>
      <c r="J336" s="22"/>
      <c r="K336" s="24"/>
      <c r="L336" s="22"/>
      <c r="M336" s="22"/>
      <c r="N336" s="20"/>
      <c r="O336" s="21"/>
      <c r="P336" s="25" t="str">
        <f>IF(B336="","",SUMIF('Linii ofertă'!$B$5:$B$1004,B336,'Linii ofertă'!$J$5:$J$1004))</f>
        <v/>
      </c>
      <c r="Q336" s="25" t="str">
        <f>IF(B336="","",SUMIF('Linii ofertă'!$B$5:$B$1004,B336,'Linii ofertă'!$M$5:$M$1004))</f>
        <v/>
      </c>
      <c r="R336" s="26" t="str">
        <f>IF(OR(B336="",N(P336)=0),"",SUMIF('Linii ofertă'!$B$5:$B$1004,B336,'Linii ofertă'!$P$5:$P$1004)/P336)</f>
        <v/>
      </c>
      <c r="S336" s="27" t="str">
        <f t="shared" ca="1" si="11"/>
        <v/>
      </c>
      <c r="T336" s="28" t="str">
        <f>IF(B336="","",TRIM(IF(COUNTIF($B$5:$B$504,B336)&gt;1,"Număr dublat. ","")&amp;IF(N(P336)=0,"Oferta nu are linii. ","")&amp;IF(M336="","Completează ce NU include oferta. ","")&amp;IF(AND(ISNUMBER(R336),R336&lt;MarjaMin),"Marjă totală sub minim. ","")&amp;IF(COUNTIFS('Linii ofertă'!$B$5:$B$1004,B336,'Linii ofertă'!$R$5:$R$1004,"Marjă*")&gt;0,"Are linii cu marjă sub minim. ","")&amp;IF(AND(S336="Expirată"),"Valabilitatea a expirat: reconfirmă prețurile. ","")))</f>
        <v/>
      </c>
    </row>
    <row r="337" spans="2:20" x14ac:dyDescent="0.2">
      <c r="B337" s="20"/>
      <c r="C337" s="21"/>
      <c r="D337" s="22"/>
      <c r="E337" s="22"/>
      <c r="F337" s="22"/>
      <c r="G337" s="20"/>
      <c r="H337" s="23" t="str">
        <f t="shared" si="10"/>
        <v/>
      </c>
      <c r="I337" s="22"/>
      <c r="J337" s="22"/>
      <c r="K337" s="24"/>
      <c r="L337" s="22"/>
      <c r="M337" s="22"/>
      <c r="N337" s="20"/>
      <c r="O337" s="21"/>
      <c r="P337" s="25" t="str">
        <f>IF(B337="","",SUMIF('Linii ofertă'!$B$5:$B$1004,B337,'Linii ofertă'!$J$5:$J$1004))</f>
        <v/>
      </c>
      <c r="Q337" s="25" t="str">
        <f>IF(B337="","",SUMIF('Linii ofertă'!$B$5:$B$1004,B337,'Linii ofertă'!$M$5:$M$1004))</f>
        <v/>
      </c>
      <c r="R337" s="26" t="str">
        <f>IF(OR(B337="",N(P337)=0),"",SUMIF('Linii ofertă'!$B$5:$B$1004,B337,'Linii ofertă'!$P$5:$P$1004)/P337)</f>
        <v/>
      </c>
      <c r="S337" s="27" t="str">
        <f t="shared" ca="1" si="11"/>
        <v/>
      </c>
      <c r="T337" s="28" t="str">
        <f>IF(B337="","",TRIM(IF(COUNTIF($B$5:$B$504,B337)&gt;1,"Număr dublat. ","")&amp;IF(N(P337)=0,"Oferta nu are linii. ","")&amp;IF(M337="","Completează ce NU include oferta. ","")&amp;IF(AND(ISNUMBER(R337),R337&lt;MarjaMin),"Marjă totală sub minim. ","")&amp;IF(COUNTIFS('Linii ofertă'!$B$5:$B$1004,B337,'Linii ofertă'!$R$5:$R$1004,"Marjă*")&gt;0,"Are linii cu marjă sub minim. ","")&amp;IF(AND(S337="Expirată"),"Valabilitatea a expirat: reconfirmă prețurile. ","")))</f>
        <v/>
      </c>
    </row>
    <row r="338" spans="2:20" x14ac:dyDescent="0.2">
      <c r="B338" s="20"/>
      <c r="C338" s="21"/>
      <c r="D338" s="22"/>
      <c r="E338" s="22"/>
      <c r="F338" s="22"/>
      <c r="G338" s="20"/>
      <c r="H338" s="23" t="str">
        <f t="shared" si="10"/>
        <v/>
      </c>
      <c r="I338" s="22"/>
      <c r="J338" s="22"/>
      <c r="K338" s="24"/>
      <c r="L338" s="22"/>
      <c r="M338" s="22"/>
      <c r="N338" s="20"/>
      <c r="O338" s="21"/>
      <c r="P338" s="25" t="str">
        <f>IF(B338="","",SUMIF('Linii ofertă'!$B$5:$B$1004,B338,'Linii ofertă'!$J$5:$J$1004))</f>
        <v/>
      </c>
      <c r="Q338" s="25" t="str">
        <f>IF(B338="","",SUMIF('Linii ofertă'!$B$5:$B$1004,B338,'Linii ofertă'!$M$5:$M$1004))</f>
        <v/>
      </c>
      <c r="R338" s="26" t="str">
        <f>IF(OR(B338="",N(P338)=0),"",SUMIF('Linii ofertă'!$B$5:$B$1004,B338,'Linii ofertă'!$P$5:$P$1004)/P338)</f>
        <v/>
      </c>
      <c r="S338" s="27" t="str">
        <f t="shared" ca="1" si="11"/>
        <v/>
      </c>
      <c r="T338" s="28" t="str">
        <f>IF(B338="","",TRIM(IF(COUNTIF($B$5:$B$504,B338)&gt;1,"Număr dublat. ","")&amp;IF(N(P338)=0,"Oferta nu are linii. ","")&amp;IF(M338="","Completează ce NU include oferta. ","")&amp;IF(AND(ISNUMBER(R338),R338&lt;MarjaMin),"Marjă totală sub minim. ","")&amp;IF(COUNTIFS('Linii ofertă'!$B$5:$B$1004,B338,'Linii ofertă'!$R$5:$R$1004,"Marjă*")&gt;0,"Are linii cu marjă sub minim. ","")&amp;IF(AND(S338="Expirată"),"Valabilitatea a expirat: reconfirmă prețurile. ","")))</f>
        <v/>
      </c>
    </row>
    <row r="339" spans="2:20" x14ac:dyDescent="0.2">
      <c r="B339" s="20"/>
      <c r="C339" s="21"/>
      <c r="D339" s="22"/>
      <c r="E339" s="22"/>
      <c r="F339" s="22"/>
      <c r="G339" s="20"/>
      <c r="H339" s="23" t="str">
        <f t="shared" si="10"/>
        <v/>
      </c>
      <c r="I339" s="22"/>
      <c r="J339" s="22"/>
      <c r="K339" s="24"/>
      <c r="L339" s="22"/>
      <c r="M339" s="22"/>
      <c r="N339" s="20"/>
      <c r="O339" s="21"/>
      <c r="P339" s="25" t="str">
        <f>IF(B339="","",SUMIF('Linii ofertă'!$B$5:$B$1004,B339,'Linii ofertă'!$J$5:$J$1004))</f>
        <v/>
      </c>
      <c r="Q339" s="25" t="str">
        <f>IF(B339="","",SUMIF('Linii ofertă'!$B$5:$B$1004,B339,'Linii ofertă'!$M$5:$M$1004))</f>
        <v/>
      </c>
      <c r="R339" s="26" t="str">
        <f>IF(OR(B339="",N(P339)=0),"",SUMIF('Linii ofertă'!$B$5:$B$1004,B339,'Linii ofertă'!$P$5:$P$1004)/P339)</f>
        <v/>
      </c>
      <c r="S339" s="27" t="str">
        <f t="shared" ca="1" si="11"/>
        <v/>
      </c>
      <c r="T339" s="28" t="str">
        <f>IF(B339="","",TRIM(IF(COUNTIF($B$5:$B$504,B339)&gt;1,"Număr dublat. ","")&amp;IF(N(P339)=0,"Oferta nu are linii. ","")&amp;IF(M339="","Completează ce NU include oferta. ","")&amp;IF(AND(ISNUMBER(R339),R339&lt;MarjaMin),"Marjă totală sub minim. ","")&amp;IF(COUNTIFS('Linii ofertă'!$B$5:$B$1004,B339,'Linii ofertă'!$R$5:$R$1004,"Marjă*")&gt;0,"Are linii cu marjă sub minim. ","")&amp;IF(AND(S339="Expirată"),"Valabilitatea a expirat: reconfirmă prețurile. ","")))</f>
        <v/>
      </c>
    </row>
    <row r="340" spans="2:20" x14ac:dyDescent="0.2">
      <c r="B340" s="20"/>
      <c r="C340" s="21"/>
      <c r="D340" s="22"/>
      <c r="E340" s="22"/>
      <c r="F340" s="22"/>
      <c r="G340" s="20"/>
      <c r="H340" s="23" t="str">
        <f t="shared" si="10"/>
        <v/>
      </c>
      <c r="I340" s="22"/>
      <c r="J340" s="22"/>
      <c r="K340" s="24"/>
      <c r="L340" s="22"/>
      <c r="M340" s="22"/>
      <c r="N340" s="20"/>
      <c r="O340" s="21"/>
      <c r="P340" s="25" t="str">
        <f>IF(B340="","",SUMIF('Linii ofertă'!$B$5:$B$1004,B340,'Linii ofertă'!$J$5:$J$1004))</f>
        <v/>
      </c>
      <c r="Q340" s="25" t="str">
        <f>IF(B340="","",SUMIF('Linii ofertă'!$B$5:$B$1004,B340,'Linii ofertă'!$M$5:$M$1004))</f>
        <v/>
      </c>
      <c r="R340" s="26" t="str">
        <f>IF(OR(B340="",N(P340)=0),"",SUMIF('Linii ofertă'!$B$5:$B$1004,B340,'Linii ofertă'!$P$5:$P$1004)/P340)</f>
        <v/>
      </c>
      <c r="S340" s="27" t="str">
        <f t="shared" ca="1" si="11"/>
        <v/>
      </c>
      <c r="T340" s="28" t="str">
        <f>IF(B340="","",TRIM(IF(COUNTIF($B$5:$B$504,B340)&gt;1,"Număr dublat. ","")&amp;IF(N(P340)=0,"Oferta nu are linii. ","")&amp;IF(M340="","Completează ce NU include oferta. ","")&amp;IF(AND(ISNUMBER(R340),R340&lt;MarjaMin),"Marjă totală sub minim. ","")&amp;IF(COUNTIFS('Linii ofertă'!$B$5:$B$1004,B340,'Linii ofertă'!$R$5:$R$1004,"Marjă*")&gt;0,"Are linii cu marjă sub minim. ","")&amp;IF(AND(S340="Expirată"),"Valabilitatea a expirat: reconfirmă prețurile. ","")))</f>
        <v/>
      </c>
    </row>
    <row r="341" spans="2:20" x14ac:dyDescent="0.2">
      <c r="B341" s="20"/>
      <c r="C341" s="21"/>
      <c r="D341" s="22"/>
      <c r="E341" s="22"/>
      <c r="F341" s="22"/>
      <c r="G341" s="20"/>
      <c r="H341" s="23" t="str">
        <f t="shared" si="10"/>
        <v/>
      </c>
      <c r="I341" s="22"/>
      <c r="J341" s="22"/>
      <c r="K341" s="24"/>
      <c r="L341" s="22"/>
      <c r="M341" s="22"/>
      <c r="N341" s="20"/>
      <c r="O341" s="21"/>
      <c r="P341" s="25" t="str">
        <f>IF(B341="","",SUMIF('Linii ofertă'!$B$5:$B$1004,B341,'Linii ofertă'!$J$5:$J$1004))</f>
        <v/>
      </c>
      <c r="Q341" s="25" t="str">
        <f>IF(B341="","",SUMIF('Linii ofertă'!$B$5:$B$1004,B341,'Linii ofertă'!$M$5:$M$1004))</f>
        <v/>
      </c>
      <c r="R341" s="26" t="str">
        <f>IF(OR(B341="",N(P341)=0),"",SUMIF('Linii ofertă'!$B$5:$B$1004,B341,'Linii ofertă'!$P$5:$P$1004)/P341)</f>
        <v/>
      </c>
      <c r="S341" s="27" t="str">
        <f t="shared" ca="1" si="11"/>
        <v/>
      </c>
      <c r="T341" s="28" t="str">
        <f>IF(B341="","",TRIM(IF(COUNTIF($B$5:$B$504,B341)&gt;1,"Număr dublat. ","")&amp;IF(N(P341)=0,"Oferta nu are linii. ","")&amp;IF(M341="","Completează ce NU include oferta. ","")&amp;IF(AND(ISNUMBER(R341),R341&lt;MarjaMin),"Marjă totală sub minim. ","")&amp;IF(COUNTIFS('Linii ofertă'!$B$5:$B$1004,B341,'Linii ofertă'!$R$5:$R$1004,"Marjă*")&gt;0,"Are linii cu marjă sub minim. ","")&amp;IF(AND(S341="Expirată"),"Valabilitatea a expirat: reconfirmă prețurile. ","")))</f>
        <v/>
      </c>
    </row>
    <row r="342" spans="2:20" x14ac:dyDescent="0.2">
      <c r="B342" s="20"/>
      <c r="C342" s="21"/>
      <c r="D342" s="22"/>
      <c r="E342" s="22"/>
      <c r="F342" s="22"/>
      <c r="G342" s="20"/>
      <c r="H342" s="23" t="str">
        <f t="shared" si="10"/>
        <v/>
      </c>
      <c r="I342" s="22"/>
      <c r="J342" s="22"/>
      <c r="K342" s="24"/>
      <c r="L342" s="22"/>
      <c r="M342" s="22"/>
      <c r="N342" s="20"/>
      <c r="O342" s="21"/>
      <c r="P342" s="25" t="str">
        <f>IF(B342="","",SUMIF('Linii ofertă'!$B$5:$B$1004,B342,'Linii ofertă'!$J$5:$J$1004))</f>
        <v/>
      </c>
      <c r="Q342" s="25" t="str">
        <f>IF(B342="","",SUMIF('Linii ofertă'!$B$5:$B$1004,B342,'Linii ofertă'!$M$5:$M$1004))</f>
        <v/>
      </c>
      <c r="R342" s="26" t="str">
        <f>IF(OR(B342="",N(P342)=0),"",SUMIF('Linii ofertă'!$B$5:$B$1004,B342,'Linii ofertă'!$P$5:$P$1004)/P342)</f>
        <v/>
      </c>
      <c r="S342" s="27" t="str">
        <f t="shared" ca="1" si="11"/>
        <v/>
      </c>
      <c r="T342" s="28" t="str">
        <f>IF(B342="","",TRIM(IF(COUNTIF($B$5:$B$504,B342)&gt;1,"Număr dublat. ","")&amp;IF(N(P342)=0,"Oferta nu are linii. ","")&amp;IF(M342="","Completează ce NU include oferta. ","")&amp;IF(AND(ISNUMBER(R342),R342&lt;MarjaMin),"Marjă totală sub minim. ","")&amp;IF(COUNTIFS('Linii ofertă'!$B$5:$B$1004,B342,'Linii ofertă'!$R$5:$R$1004,"Marjă*")&gt;0,"Are linii cu marjă sub minim. ","")&amp;IF(AND(S342="Expirată"),"Valabilitatea a expirat: reconfirmă prețurile. ","")))</f>
        <v/>
      </c>
    </row>
    <row r="343" spans="2:20" x14ac:dyDescent="0.2">
      <c r="B343" s="20"/>
      <c r="C343" s="21"/>
      <c r="D343" s="22"/>
      <c r="E343" s="22"/>
      <c r="F343" s="22"/>
      <c r="G343" s="20"/>
      <c r="H343" s="23" t="str">
        <f t="shared" si="10"/>
        <v/>
      </c>
      <c r="I343" s="22"/>
      <c r="J343" s="22"/>
      <c r="K343" s="24"/>
      <c r="L343" s="22"/>
      <c r="M343" s="22"/>
      <c r="N343" s="20"/>
      <c r="O343" s="21"/>
      <c r="P343" s="25" t="str">
        <f>IF(B343="","",SUMIF('Linii ofertă'!$B$5:$B$1004,B343,'Linii ofertă'!$J$5:$J$1004))</f>
        <v/>
      </c>
      <c r="Q343" s="25" t="str">
        <f>IF(B343="","",SUMIF('Linii ofertă'!$B$5:$B$1004,B343,'Linii ofertă'!$M$5:$M$1004))</f>
        <v/>
      </c>
      <c r="R343" s="26" t="str">
        <f>IF(OR(B343="",N(P343)=0),"",SUMIF('Linii ofertă'!$B$5:$B$1004,B343,'Linii ofertă'!$P$5:$P$1004)/P343)</f>
        <v/>
      </c>
      <c r="S343" s="27" t="str">
        <f t="shared" ca="1" si="11"/>
        <v/>
      </c>
      <c r="T343" s="28" t="str">
        <f>IF(B343="","",TRIM(IF(COUNTIF($B$5:$B$504,B343)&gt;1,"Număr dublat. ","")&amp;IF(N(P343)=0,"Oferta nu are linii. ","")&amp;IF(M343="","Completează ce NU include oferta. ","")&amp;IF(AND(ISNUMBER(R343),R343&lt;MarjaMin),"Marjă totală sub minim. ","")&amp;IF(COUNTIFS('Linii ofertă'!$B$5:$B$1004,B343,'Linii ofertă'!$R$5:$R$1004,"Marjă*")&gt;0,"Are linii cu marjă sub minim. ","")&amp;IF(AND(S343="Expirată"),"Valabilitatea a expirat: reconfirmă prețurile. ","")))</f>
        <v/>
      </c>
    </row>
    <row r="344" spans="2:20" x14ac:dyDescent="0.2">
      <c r="B344" s="20"/>
      <c r="C344" s="21"/>
      <c r="D344" s="22"/>
      <c r="E344" s="22"/>
      <c r="F344" s="22"/>
      <c r="G344" s="20"/>
      <c r="H344" s="23" t="str">
        <f t="shared" si="10"/>
        <v/>
      </c>
      <c r="I344" s="22"/>
      <c r="J344" s="22"/>
      <c r="K344" s="24"/>
      <c r="L344" s="22"/>
      <c r="M344" s="22"/>
      <c r="N344" s="20"/>
      <c r="O344" s="21"/>
      <c r="P344" s="25" t="str">
        <f>IF(B344="","",SUMIF('Linii ofertă'!$B$5:$B$1004,B344,'Linii ofertă'!$J$5:$J$1004))</f>
        <v/>
      </c>
      <c r="Q344" s="25" t="str">
        <f>IF(B344="","",SUMIF('Linii ofertă'!$B$5:$B$1004,B344,'Linii ofertă'!$M$5:$M$1004))</f>
        <v/>
      </c>
      <c r="R344" s="26" t="str">
        <f>IF(OR(B344="",N(P344)=0),"",SUMIF('Linii ofertă'!$B$5:$B$1004,B344,'Linii ofertă'!$P$5:$P$1004)/P344)</f>
        <v/>
      </c>
      <c r="S344" s="27" t="str">
        <f t="shared" ca="1" si="11"/>
        <v/>
      </c>
      <c r="T344" s="28" t="str">
        <f>IF(B344="","",TRIM(IF(COUNTIF($B$5:$B$504,B344)&gt;1,"Număr dublat. ","")&amp;IF(N(P344)=0,"Oferta nu are linii. ","")&amp;IF(M344="","Completează ce NU include oferta. ","")&amp;IF(AND(ISNUMBER(R344),R344&lt;MarjaMin),"Marjă totală sub minim. ","")&amp;IF(COUNTIFS('Linii ofertă'!$B$5:$B$1004,B344,'Linii ofertă'!$R$5:$R$1004,"Marjă*")&gt;0,"Are linii cu marjă sub minim. ","")&amp;IF(AND(S344="Expirată"),"Valabilitatea a expirat: reconfirmă prețurile. ","")))</f>
        <v/>
      </c>
    </row>
    <row r="345" spans="2:20" x14ac:dyDescent="0.2">
      <c r="B345" s="20"/>
      <c r="C345" s="21"/>
      <c r="D345" s="22"/>
      <c r="E345" s="22"/>
      <c r="F345" s="22"/>
      <c r="G345" s="20"/>
      <c r="H345" s="23" t="str">
        <f t="shared" si="10"/>
        <v/>
      </c>
      <c r="I345" s="22"/>
      <c r="J345" s="22"/>
      <c r="K345" s="24"/>
      <c r="L345" s="22"/>
      <c r="M345" s="22"/>
      <c r="N345" s="20"/>
      <c r="O345" s="21"/>
      <c r="P345" s="25" t="str">
        <f>IF(B345="","",SUMIF('Linii ofertă'!$B$5:$B$1004,B345,'Linii ofertă'!$J$5:$J$1004))</f>
        <v/>
      </c>
      <c r="Q345" s="25" t="str">
        <f>IF(B345="","",SUMIF('Linii ofertă'!$B$5:$B$1004,B345,'Linii ofertă'!$M$5:$M$1004))</f>
        <v/>
      </c>
      <c r="R345" s="26" t="str">
        <f>IF(OR(B345="",N(P345)=0),"",SUMIF('Linii ofertă'!$B$5:$B$1004,B345,'Linii ofertă'!$P$5:$P$1004)/P345)</f>
        <v/>
      </c>
      <c r="S345" s="27" t="str">
        <f t="shared" ca="1" si="11"/>
        <v/>
      </c>
      <c r="T345" s="28" t="str">
        <f>IF(B345="","",TRIM(IF(COUNTIF($B$5:$B$504,B345)&gt;1,"Număr dublat. ","")&amp;IF(N(P345)=0,"Oferta nu are linii. ","")&amp;IF(M345="","Completează ce NU include oferta. ","")&amp;IF(AND(ISNUMBER(R345),R345&lt;MarjaMin),"Marjă totală sub minim. ","")&amp;IF(COUNTIFS('Linii ofertă'!$B$5:$B$1004,B345,'Linii ofertă'!$R$5:$R$1004,"Marjă*")&gt;0,"Are linii cu marjă sub minim. ","")&amp;IF(AND(S345="Expirată"),"Valabilitatea a expirat: reconfirmă prețurile. ","")))</f>
        <v/>
      </c>
    </row>
    <row r="346" spans="2:20" x14ac:dyDescent="0.2">
      <c r="B346" s="20"/>
      <c r="C346" s="21"/>
      <c r="D346" s="22"/>
      <c r="E346" s="22"/>
      <c r="F346" s="22"/>
      <c r="G346" s="20"/>
      <c r="H346" s="23" t="str">
        <f t="shared" si="10"/>
        <v/>
      </c>
      <c r="I346" s="22"/>
      <c r="J346" s="22"/>
      <c r="K346" s="24"/>
      <c r="L346" s="22"/>
      <c r="M346" s="22"/>
      <c r="N346" s="20"/>
      <c r="O346" s="21"/>
      <c r="P346" s="25" t="str">
        <f>IF(B346="","",SUMIF('Linii ofertă'!$B$5:$B$1004,B346,'Linii ofertă'!$J$5:$J$1004))</f>
        <v/>
      </c>
      <c r="Q346" s="25" t="str">
        <f>IF(B346="","",SUMIF('Linii ofertă'!$B$5:$B$1004,B346,'Linii ofertă'!$M$5:$M$1004))</f>
        <v/>
      </c>
      <c r="R346" s="26" t="str">
        <f>IF(OR(B346="",N(P346)=0),"",SUMIF('Linii ofertă'!$B$5:$B$1004,B346,'Linii ofertă'!$P$5:$P$1004)/P346)</f>
        <v/>
      </c>
      <c r="S346" s="27" t="str">
        <f t="shared" ca="1" si="11"/>
        <v/>
      </c>
      <c r="T346" s="28" t="str">
        <f>IF(B346="","",TRIM(IF(COUNTIF($B$5:$B$504,B346)&gt;1,"Număr dublat. ","")&amp;IF(N(P346)=0,"Oferta nu are linii. ","")&amp;IF(M346="","Completează ce NU include oferta. ","")&amp;IF(AND(ISNUMBER(R346),R346&lt;MarjaMin),"Marjă totală sub minim. ","")&amp;IF(COUNTIFS('Linii ofertă'!$B$5:$B$1004,B346,'Linii ofertă'!$R$5:$R$1004,"Marjă*")&gt;0,"Are linii cu marjă sub minim. ","")&amp;IF(AND(S346="Expirată"),"Valabilitatea a expirat: reconfirmă prețurile. ","")))</f>
        <v/>
      </c>
    </row>
    <row r="347" spans="2:20" x14ac:dyDescent="0.2">
      <c r="B347" s="20"/>
      <c r="C347" s="21"/>
      <c r="D347" s="22"/>
      <c r="E347" s="22"/>
      <c r="F347" s="22"/>
      <c r="G347" s="20"/>
      <c r="H347" s="23" t="str">
        <f t="shared" si="10"/>
        <v/>
      </c>
      <c r="I347" s="22"/>
      <c r="J347" s="22"/>
      <c r="K347" s="24"/>
      <c r="L347" s="22"/>
      <c r="M347" s="22"/>
      <c r="N347" s="20"/>
      <c r="O347" s="21"/>
      <c r="P347" s="25" t="str">
        <f>IF(B347="","",SUMIF('Linii ofertă'!$B$5:$B$1004,B347,'Linii ofertă'!$J$5:$J$1004))</f>
        <v/>
      </c>
      <c r="Q347" s="25" t="str">
        <f>IF(B347="","",SUMIF('Linii ofertă'!$B$5:$B$1004,B347,'Linii ofertă'!$M$5:$M$1004))</f>
        <v/>
      </c>
      <c r="R347" s="26" t="str">
        <f>IF(OR(B347="",N(P347)=0),"",SUMIF('Linii ofertă'!$B$5:$B$1004,B347,'Linii ofertă'!$P$5:$P$1004)/P347)</f>
        <v/>
      </c>
      <c r="S347" s="27" t="str">
        <f t="shared" ca="1" si="11"/>
        <v/>
      </c>
      <c r="T347" s="28" t="str">
        <f>IF(B347="","",TRIM(IF(COUNTIF($B$5:$B$504,B347)&gt;1,"Număr dublat. ","")&amp;IF(N(P347)=0,"Oferta nu are linii. ","")&amp;IF(M347="","Completează ce NU include oferta. ","")&amp;IF(AND(ISNUMBER(R347),R347&lt;MarjaMin),"Marjă totală sub minim. ","")&amp;IF(COUNTIFS('Linii ofertă'!$B$5:$B$1004,B347,'Linii ofertă'!$R$5:$R$1004,"Marjă*")&gt;0,"Are linii cu marjă sub minim. ","")&amp;IF(AND(S347="Expirată"),"Valabilitatea a expirat: reconfirmă prețurile. ","")))</f>
        <v/>
      </c>
    </row>
    <row r="348" spans="2:20" x14ac:dyDescent="0.2">
      <c r="B348" s="20"/>
      <c r="C348" s="21"/>
      <c r="D348" s="22"/>
      <c r="E348" s="22"/>
      <c r="F348" s="22"/>
      <c r="G348" s="20"/>
      <c r="H348" s="23" t="str">
        <f t="shared" si="10"/>
        <v/>
      </c>
      <c r="I348" s="22"/>
      <c r="J348" s="22"/>
      <c r="K348" s="24"/>
      <c r="L348" s="22"/>
      <c r="M348" s="22"/>
      <c r="N348" s="20"/>
      <c r="O348" s="21"/>
      <c r="P348" s="25" t="str">
        <f>IF(B348="","",SUMIF('Linii ofertă'!$B$5:$B$1004,B348,'Linii ofertă'!$J$5:$J$1004))</f>
        <v/>
      </c>
      <c r="Q348" s="25" t="str">
        <f>IF(B348="","",SUMIF('Linii ofertă'!$B$5:$B$1004,B348,'Linii ofertă'!$M$5:$M$1004))</f>
        <v/>
      </c>
      <c r="R348" s="26" t="str">
        <f>IF(OR(B348="",N(P348)=0),"",SUMIF('Linii ofertă'!$B$5:$B$1004,B348,'Linii ofertă'!$P$5:$P$1004)/P348)</f>
        <v/>
      </c>
      <c r="S348" s="27" t="str">
        <f t="shared" ca="1" si="11"/>
        <v/>
      </c>
      <c r="T348" s="28" t="str">
        <f>IF(B348="","",TRIM(IF(COUNTIF($B$5:$B$504,B348)&gt;1,"Număr dublat. ","")&amp;IF(N(P348)=0,"Oferta nu are linii. ","")&amp;IF(M348="","Completează ce NU include oferta. ","")&amp;IF(AND(ISNUMBER(R348),R348&lt;MarjaMin),"Marjă totală sub minim. ","")&amp;IF(COUNTIFS('Linii ofertă'!$B$5:$B$1004,B348,'Linii ofertă'!$R$5:$R$1004,"Marjă*")&gt;0,"Are linii cu marjă sub minim. ","")&amp;IF(AND(S348="Expirată"),"Valabilitatea a expirat: reconfirmă prețurile. ","")))</f>
        <v/>
      </c>
    </row>
    <row r="349" spans="2:20" x14ac:dyDescent="0.2">
      <c r="B349" s="20"/>
      <c r="C349" s="21"/>
      <c r="D349" s="22"/>
      <c r="E349" s="22"/>
      <c r="F349" s="22"/>
      <c r="G349" s="20"/>
      <c r="H349" s="23" t="str">
        <f t="shared" si="10"/>
        <v/>
      </c>
      <c r="I349" s="22"/>
      <c r="J349" s="22"/>
      <c r="K349" s="24"/>
      <c r="L349" s="22"/>
      <c r="M349" s="22"/>
      <c r="N349" s="20"/>
      <c r="O349" s="21"/>
      <c r="P349" s="25" t="str">
        <f>IF(B349="","",SUMIF('Linii ofertă'!$B$5:$B$1004,B349,'Linii ofertă'!$J$5:$J$1004))</f>
        <v/>
      </c>
      <c r="Q349" s="25" t="str">
        <f>IF(B349="","",SUMIF('Linii ofertă'!$B$5:$B$1004,B349,'Linii ofertă'!$M$5:$M$1004))</f>
        <v/>
      </c>
      <c r="R349" s="26" t="str">
        <f>IF(OR(B349="",N(P349)=0),"",SUMIF('Linii ofertă'!$B$5:$B$1004,B349,'Linii ofertă'!$P$5:$P$1004)/P349)</f>
        <v/>
      </c>
      <c r="S349" s="27" t="str">
        <f t="shared" ca="1" si="11"/>
        <v/>
      </c>
      <c r="T349" s="28" t="str">
        <f>IF(B349="","",TRIM(IF(COUNTIF($B$5:$B$504,B349)&gt;1,"Număr dublat. ","")&amp;IF(N(P349)=0,"Oferta nu are linii. ","")&amp;IF(M349="","Completează ce NU include oferta. ","")&amp;IF(AND(ISNUMBER(R349),R349&lt;MarjaMin),"Marjă totală sub minim. ","")&amp;IF(COUNTIFS('Linii ofertă'!$B$5:$B$1004,B349,'Linii ofertă'!$R$5:$R$1004,"Marjă*")&gt;0,"Are linii cu marjă sub minim. ","")&amp;IF(AND(S349="Expirată"),"Valabilitatea a expirat: reconfirmă prețurile. ","")))</f>
        <v/>
      </c>
    </row>
    <row r="350" spans="2:20" x14ac:dyDescent="0.2">
      <c r="B350" s="20"/>
      <c r="C350" s="21"/>
      <c r="D350" s="22"/>
      <c r="E350" s="22"/>
      <c r="F350" s="22"/>
      <c r="G350" s="20"/>
      <c r="H350" s="23" t="str">
        <f t="shared" si="10"/>
        <v/>
      </c>
      <c r="I350" s="22"/>
      <c r="J350" s="22"/>
      <c r="K350" s="24"/>
      <c r="L350" s="22"/>
      <c r="M350" s="22"/>
      <c r="N350" s="20"/>
      <c r="O350" s="21"/>
      <c r="P350" s="25" t="str">
        <f>IF(B350="","",SUMIF('Linii ofertă'!$B$5:$B$1004,B350,'Linii ofertă'!$J$5:$J$1004))</f>
        <v/>
      </c>
      <c r="Q350" s="25" t="str">
        <f>IF(B350="","",SUMIF('Linii ofertă'!$B$5:$B$1004,B350,'Linii ofertă'!$M$5:$M$1004))</f>
        <v/>
      </c>
      <c r="R350" s="26" t="str">
        <f>IF(OR(B350="",N(P350)=0),"",SUMIF('Linii ofertă'!$B$5:$B$1004,B350,'Linii ofertă'!$P$5:$P$1004)/P350)</f>
        <v/>
      </c>
      <c r="S350" s="27" t="str">
        <f t="shared" ca="1" si="11"/>
        <v/>
      </c>
      <c r="T350" s="28" t="str">
        <f>IF(B350="","",TRIM(IF(COUNTIF($B$5:$B$504,B350)&gt;1,"Număr dublat. ","")&amp;IF(N(P350)=0,"Oferta nu are linii. ","")&amp;IF(M350="","Completează ce NU include oferta. ","")&amp;IF(AND(ISNUMBER(R350),R350&lt;MarjaMin),"Marjă totală sub minim. ","")&amp;IF(COUNTIFS('Linii ofertă'!$B$5:$B$1004,B350,'Linii ofertă'!$R$5:$R$1004,"Marjă*")&gt;0,"Are linii cu marjă sub minim. ","")&amp;IF(AND(S350="Expirată"),"Valabilitatea a expirat: reconfirmă prețurile. ","")))</f>
        <v/>
      </c>
    </row>
    <row r="351" spans="2:20" x14ac:dyDescent="0.2">
      <c r="B351" s="20"/>
      <c r="C351" s="21"/>
      <c r="D351" s="22"/>
      <c r="E351" s="22"/>
      <c r="F351" s="22"/>
      <c r="G351" s="20"/>
      <c r="H351" s="23" t="str">
        <f t="shared" si="10"/>
        <v/>
      </c>
      <c r="I351" s="22"/>
      <c r="J351" s="22"/>
      <c r="K351" s="24"/>
      <c r="L351" s="22"/>
      <c r="M351" s="22"/>
      <c r="N351" s="20"/>
      <c r="O351" s="21"/>
      <c r="P351" s="25" t="str">
        <f>IF(B351="","",SUMIF('Linii ofertă'!$B$5:$B$1004,B351,'Linii ofertă'!$J$5:$J$1004))</f>
        <v/>
      </c>
      <c r="Q351" s="25" t="str">
        <f>IF(B351="","",SUMIF('Linii ofertă'!$B$5:$B$1004,B351,'Linii ofertă'!$M$5:$M$1004))</f>
        <v/>
      </c>
      <c r="R351" s="26" t="str">
        <f>IF(OR(B351="",N(P351)=0),"",SUMIF('Linii ofertă'!$B$5:$B$1004,B351,'Linii ofertă'!$P$5:$P$1004)/P351)</f>
        <v/>
      </c>
      <c r="S351" s="27" t="str">
        <f t="shared" ca="1" si="11"/>
        <v/>
      </c>
      <c r="T351" s="28" t="str">
        <f>IF(B351="","",TRIM(IF(COUNTIF($B$5:$B$504,B351)&gt;1,"Număr dublat. ","")&amp;IF(N(P351)=0,"Oferta nu are linii. ","")&amp;IF(M351="","Completează ce NU include oferta. ","")&amp;IF(AND(ISNUMBER(R351),R351&lt;MarjaMin),"Marjă totală sub minim. ","")&amp;IF(COUNTIFS('Linii ofertă'!$B$5:$B$1004,B351,'Linii ofertă'!$R$5:$R$1004,"Marjă*")&gt;0,"Are linii cu marjă sub minim. ","")&amp;IF(AND(S351="Expirată"),"Valabilitatea a expirat: reconfirmă prețurile. ","")))</f>
        <v/>
      </c>
    </row>
    <row r="352" spans="2:20" x14ac:dyDescent="0.2">
      <c r="B352" s="20"/>
      <c r="C352" s="21"/>
      <c r="D352" s="22"/>
      <c r="E352" s="22"/>
      <c r="F352" s="22"/>
      <c r="G352" s="20"/>
      <c r="H352" s="23" t="str">
        <f t="shared" si="10"/>
        <v/>
      </c>
      <c r="I352" s="22"/>
      <c r="J352" s="22"/>
      <c r="K352" s="24"/>
      <c r="L352" s="22"/>
      <c r="M352" s="22"/>
      <c r="N352" s="20"/>
      <c r="O352" s="21"/>
      <c r="P352" s="25" t="str">
        <f>IF(B352="","",SUMIF('Linii ofertă'!$B$5:$B$1004,B352,'Linii ofertă'!$J$5:$J$1004))</f>
        <v/>
      </c>
      <c r="Q352" s="25" t="str">
        <f>IF(B352="","",SUMIF('Linii ofertă'!$B$5:$B$1004,B352,'Linii ofertă'!$M$5:$M$1004))</f>
        <v/>
      </c>
      <c r="R352" s="26" t="str">
        <f>IF(OR(B352="",N(P352)=0),"",SUMIF('Linii ofertă'!$B$5:$B$1004,B352,'Linii ofertă'!$P$5:$P$1004)/P352)</f>
        <v/>
      </c>
      <c r="S352" s="27" t="str">
        <f t="shared" ca="1" si="11"/>
        <v/>
      </c>
      <c r="T352" s="28" t="str">
        <f>IF(B352="","",TRIM(IF(COUNTIF($B$5:$B$504,B352)&gt;1,"Număr dublat. ","")&amp;IF(N(P352)=0,"Oferta nu are linii. ","")&amp;IF(M352="","Completează ce NU include oferta. ","")&amp;IF(AND(ISNUMBER(R352),R352&lt;MarjaMin),"Marjă totală sub minim. ","")&amp;IF(COUNTIFS('Linii ofertă'!$B$5:$B$1004,B352,'Linii ofertă'!$R$5:$R$1004,"Marjă*")&gt;0,"Are linii cu marjă sub minim. ","")&amp;IF(AND(S352="Expirată"),"Valabilitatea a expirat: reconfirmă prețurile. ","")))</f>
        <v/>
      </c>
    </row>
    <row r="353" spans="2:20" x14ac:dyDescent="0.2">
      <c r="B353" s="20"/>
      <c r="C353" s="21"/>
      <c r="D353" s="22"/>
      <c r="E353" s="22"/>
      <c r="F353" s="22"/>
      <c r="G353" s="20"/>
      <c r="H353" s="23" t="str">
        <f t="shared" si="10"/>
        <v/>
      </c>
      <c r="I353" s="22"/>
      <c r="J353" s="22"/>
      <c r="K353" s="24"/>
      <c r="L353" s="22"/>
      <c r="M353" s="22"/>
      <c r="N353" s="20"/>
      <c r="O353" s="21"/>
      <c r="P353" s="25" t="str">
        <f>IF(B353="","",SUMIF('Linii ofertă'!$B$5:$B$1004,B353,'Linii ofertă'!$J$5:$J$1004))</f>
        <v/>
      </c>
      <c r="Q353" s="25" t="str">
        <f>IF(B353="","",SUMIF('Linii ofertă'!$B$5:$B$1004,B353,'Linii ofertă'!$M$5:$M$1004))</f>
        <v/>
      </c>
      <c r="R353" s="26" t="str">
        <f>IF(OR(B353="",N(P353)=0),"",SUMIF('Linii ofertă'!$B$5:$B$1004,B353,'Linii ofertă'!$P$5:$P$1004)/P353)</f>
        <v/>
      </c>
      <c r="S353" s="27" t="str">
        <f t="shared" ca="1" si="11"/>
        <v/>
      </c>
      <c r="T353" s="28" t="str">
        <f>IF(B353="","",TRIM(IF(COUNTIF($B$5:$B$504,B353)&gt;1,"Număr dublat. ","")&amp;IF(N(P353)=0,"Oferta nu are linii. ","")&amp;IF(M353="","Completează ce NU include oferta. ","")&amp;IF(AND(ISNUMBER(R353),R353&lt;MarjaMin),"Marjă totală sub minim. ","")&amp;IF(COUNTIFS('Linii ofertă'!$B$5:$B$1004,B353,'Linii ofertă'!$R$5:$R$1004,"Marjă*")&gt;0,"Are linii cu marjă sub minim. ","")&amp;IF(AND(S353="Expirată"),"Valabilitatea a expirat: reconfirmă prețurile. ","")))</f>
        <v/>
      </c>
    </row>
    <row r="354" spans="2:20" x14ac:dyDescent="0.2">
      <c r="B354" s="20"/>
      <c r="C354" s="21"/>
      <c r="D354" s="22"/>
      <c r="E354" s="22"/>
      <c r="F354" s="22"/>
      <c r="G354" s="20"/>
      <c r="H354" s="23" t="str">
        <f t="shared" si="10"/>
        <v/>
      </c>
      <c r="I354" s="22"/>
      <c r="J354" s="22"/>
      <c r="K354" s="24"/>
      <c r="L354" s="22"/>
      <c r="M354" s="22"/>
      <c r="N354" s="20"/>
      <c r="O354" s="21"/>
      <c r="P354" s="25" t="str">
        <f>IF(B354="","",SUMIF('Linii ofertă'!$B$5:$B$1004,B354,'Linii ofertă'!$J$5:$J$1004))</f>
        <v/>
      </c>
      <c r="Q354" s="25" t="str">
        <f>IF(B354="","",SUMIF('Linii ofertă'!$B$5:$B$1004,B354,'Linii ofertă'!$M$5:$M$1004))</f>
        <v/>
      </c>
      <c r="R354" s="26" t="str">
        <f>IF(OR(B354="",N(P354)=0),"",SUMIF('Linii ofertă'!$B$5:$B$1004,B354,'Linii ofertă'!$P$5:$P$1004)/P354)</f>
        <v/>
      </c>
      <c r="S354" s="27" t="str">
        <f t="shared" ca="1" si="11"/>
        <v/>
      </c>
      <c r="T354" s="28" t="str">
        <f>IF(B354="","",TRIM(IF(COUNTIF($B$5:$B$504,B354)&gt;1,"Număr dublat. ","")&amp;IF(N(P354)=0,"Oferta nu are linii. ","")&amp;IF(M354="","Completează ce NU include oferta. ","")&amp;IF(AND(ISNUMBER(R354),R354&lt;MarjaMin),"Marjă totală sub minim. ","")&amp;IF(COUNTIFS('Linii ofertă'!$B$5:$B$1004,B354,'Linii ofertă'!$R$5:$R$1004,"Marjă*")&gt;0,"Are linii cu marjă sub minim. ","")&amp;IF(AND(S354="Expirată"),"Valabilitatea a expirat: reconfirmă prețurile. ","")))</f>
        <v/>
      </c>
    </row>
    <row r="355" spans="2:20" x14ac:dyDescent="0.2">
      <c r="B355" s="20"/>
      <c r="C355" s="21"/>
      <c r="D355" s="22"/>
      <c r="E355" s="22"/>
      <c r="F355" s="22"/>
      <c r="G355" s="20"/>
      <c r="H355" s="23" t="str">
        <f t="shared" si="10"/>
        <v/>
      </c>
      <c r="I355" s="22"/>
      <c r="J355" s="22"/>
      <c r="K355" s="24"/>
      <c r="L355" s="22"/>
      <c r="M355" s="22"/>
      <c r="N355" s="20"/>
      <c r="O355" s="21"/>
      <c r="P355" s="25" t="str">
        <f>IF(B355="","",SUMIF('Linii ofertă'!$B$5:$B$1004,B355,'Linii ofertă'!$J$5:$J$1004))</f>
        <v/>
      </c>
      <c r="Q355" s="25" t="str">
        <f>IF(B355="","",SUMIF('Linii ofertă'!$B$5:$B$1004,B355,'Linii ofertă'!$M$5:$M$1004))</f>
        <v/>
      </c>
      <c r="R355" s="26" t="str">
        <f>IF(OR(B355="",N(P355)=0),"",SUMIF('Linii ofertă'!$B$5:$B$1004,B355,'Linii ofertă'!$P$5:$P$1004)/P355)</f>
        <v/>
      </c>
      <c r="S355" s="27" t="str">
        <f t="shared" ca="1" si="11"/>
        <v/>
      </c>
      <c r="T355" s="28" t="str">
        <f>IF(B355="","",TRIM(IF(COUNTIF($B$5:$B$504,B355)&gt;1,"Număr dublat. ","")&amp;IF(N(P355)=0,"Oferta nu are linii. ","")&amp;IF(M355="","Completează ce NU include oferta. ","")&amp;IF(AND(ISNUMBER(R355),R355&lt;MarjaMin),"Marjă totală sub minim. ","")&amp;IF(COUNTIFS('Linii ofertă'!$B$5:$B$1004,B355,'Linii ofertă'!$R$5:$R$1004,"Marjă*")&gt;0,"Are linii cu marjă sub minim. ","")&amp;IF(AND(S355="Expirată"),"Valabilitatea a expirat: reconfirmă prețurile. ","")))</f>
        <v/>
      </c>
    </row>
    <row r="356" spans="2:20" x14ac:dyDescent="0.2">
      <c r="B356" s="20"/>
      <c r="C356" s="21"/>
      <c r="D356" s="22"/>
      <c r="E356" s="22"/>
      <c r="F356" s="22"/>
      <c r="G356" s="20"/>
      <c r="H356" s="23" t="str">
        <f t="shared" si="10"/>
        <v/>
      </c>
      <c r="I356" s="22"/>
      <c r="J356" s="22"/>
      <c r="K356" s="24"/>
      <c r="L356" s="22"/>
      <c r="M356" s="22"/>
      <c r="N356" s="20"/>
      <c r="O356" s="21"/>
      <c r="P356" s="25" t="str">
        <f>IF(B356="","",SUMIF('Linii ofertă'!$B$5:$B$1004,B356,'Linii ofertă'!$J$5:$J$1004))</f>
        <v/>
      </c>
      <c r="Q356" s="25" t="str">
        <f>IF(B356="","",SUMIF('Linii ofertă'!$B$5:$B$1004,B356,'Linii ofertă'!$M$5:$M$1004))</f>
        <v/>
      </c>
      <c r="R356" s="26" t="str">
        <f>IF(OR(B356="",N(P356)=0),"",SUMIF('Linii ofertă'!$B$5:$B$1004,B356,'Linii ofertă'!$P$5:$P$1004)/P356)</f>
        <v/>
      </c>
      <c r="S356" s="27" t="str">
        <f t="shared" ca="1" si="11"/>
        <v/>
      </c>
      <c r="T356" s="28" t="str">
        <f>IF(B356="","",TRIM(IF(COUNTIF($B$5:$B$504,B356)&gt;1,"Număr dublat. ","")&amp;IF(N(P356)=0,"Oferta nu are linii. ","")&amp;IF(M356="","Completează ce NU include oferta. ","")&amp;IF(AND(ISNUMBER(R356),R356&lt;MarjaMin),"Marjă totală sub minim. ","")&amp;IF(COUNTIFS('Linii ofertă'!$B$5:$B$1004,B356,'Linii ofertă'!$R$5:$R$1004,"Marjă*")&gt;0,"Are linii cu marjă sub minim. ","")&amp;IF(AND(S356="Expirată"),"Valabilitatea a expirat: reconfirmă prețurile. ","")))</f>
        <v/>
      </c>
    </row>
    <row r="357" spans="2:20" x14ac:dyDescent="0.2">
      <c r="B357" s="20"/>
      <c r="C357" s="21"/>
      <c r="D357" s="22"/>
      <c r="E357" s="22"/>
      <c r="F357" s="22"/>
      <c r="G357" s="20"/>
      <c r="H357" s="23" t="str">
        <f t="shared" si="10"/>
        <v/>
      </c>
      <c r="I357" s="22"/>
      <c r="J357" s="22"/>
      <c r="K357" s="24"/>
      <c r="L357" s="22"/>
      <c r="M357" s="22"/>
      <c r="N357" s="20"/>
      <c r="O357" s="21"/>
      <c r="P357" s="25" t="str">
        <f>IF(B357="","",SUMIF('Linii ofertă'!$B$5:$B$1004,B357,'Linii ofertă'!$J$5:$J$1004))</f>
        <v/>
      </c>
      <c r="Q357" s="25" t="str">
        <f>IF(B357="","",SUMIF('Linii ofertă'!$B$5:$B$1004,B357,'Linii ofertă'!$M$5:$M$1004))</f>
        <v/>
      </c>
      <c r="R357" s="26" t="str">
        <f>IF(OR(B357="",N(P357)=0),"",SUMIF('Linii ofertă'!$B$5:$B$1004,B357,'Linii ofertă'!$P$5:$P$1004)/P357)</f>
        <v/>
      </c>
      <c r="S357" s="27" t="str">
        <f t="shared" ca="1" si="11"/>
        <v/>
      </c>
      <c r="T357" s="28" t="str">
        <f>IF(B357="","",TRIM(IF(COUNTIF($B$5:$B$504,B357)&gt;1,"Număr dublat. ","")&amp;IF(N(P357)=0,"Oferta nu are linii. ","")&amp;IF(M357="","Completează ce NU include oferta. ","")&amp;IF(AND(ISNUMBER(R357),R357&lt;MarjaMin),"Marjă totală sub minim. ","")&amp;IF(COUNTIFS('Linii ofertă'!$B$5:$B$1004,B357,'Linii ofertă'!$R$5:$R$1004,"Marjă*")&gt;0,"Are linii cu marjă sub minim. ","")&amp;IF(AND(S357="Expirată"),"Valabilitatea a expirat: reconfirmă prețurile. ","")))</f>
        <v/>
      </c>
    </row>
    <row r="358" spans="2:20" x14ac:dyDescent="0.2">
      <c r="B358" s="20"/>
      <c r="C358" s="21"/>
      <c r="D358" s="22"/>
      <c r="E358" s="22"/>
      <c r="F358" s="22"/>
      <c r="G358" s="20"/>
      <c r="H358" s="23" t="str">
        <f t="shared" si="10"/>
        <v/>
      </c>
      <c r="I358" s="22"/>
      <c r="J358" s="22"/>
      <c r="K358" s="24"/>
      <c r="L358" s="22"/>
      <c r="M358" s="22"/>
      <c r="N358" s="20"/>
      <c r="O358" s="21"/>
      <c r="P358" s="25" t="str">
        <f>IF(B358="","",SUMIF('Linii ofertă'!$B$5:$B$1004,B358,'Linii ofertă'!$J$5:$J$1004))</f>
        <v/>
      </c>
      <c r="Q358" s="25" t="str">
        <f>IF(B358="","",SUMIF('Linii ofertă'!$B$5:$B$1004,B358,'Linii ofertă'!$M$5:$M$1004))</f>
        <v/>
      </c>
      <c r="R358" s="26" t="str">
        <f>IF(OR(B358="",N(P358)=0),"",SUMIF('Linii ofertă'!$B$5:$B$1004,B358,'Linii ofertă'!$P$5:$P$1004)/P358)</f>
        <v/>
      </c>
      <c r="S358" s="27" t="str">
        <f t="shared" ca="1" si="11"/>
        <v/>
      </c>
      <c r="T358" s="28" t="str">
        <f>IF(B358="","",TRIM(IF(COUNTIF($B$5:$B$504,B358)&gt;1,"Număr dublat. ","")&amp;IF(N(P358)=0,"Oferta nu are linii. ","")&amp;IF(M358="","Completează ce NU include oferta. ","")&amp;IF(AND(ISNUMBER(R358),R358&lt;MarjaMin),"Marjă totală sub minim. ","")&amp;IF(COUNTIFS('Linii ofertă'!$B$5:$B$1004,B358,'Linii ofertă'!$R$5:$R$1004,"Marjă*")&gt;0,"Are linii cu marjă sub minim. ","")&amp;IF(AND(S358="Expirată"),"Valabilitatea a expirat: reconfirmă prețurile. ","")))</f>
        <v/>
      </c>
    </row>
    <row r="359" spans="2:20" x14ac:dyDescent="0.2">
      <c r="B359" s="20"/>
      <c r="C359" s="21"/>
      <c r="D359" s="22"/>
      <c r="E359" s="22"/>
      <c r="F359" s="22"/>
      <c r="G359" s="20"/>
      <c r="H359" s="23" t="str">
        <f t="shared" si="10"/>
        <v/>
      </c>
      <c r="I359" s="22"/>
      <c r="J359" s="22"/>
      <c r="K359" s="24"/>
      <c r="L359" s="22"/>
      <c r="M359" s="22"/>
      <c r="N359" s="20"/>
      <c r="O359" s="21"/>
      <c r="P359" s="25" t="str">
        <f>IF(B359="","",SUMIF('Linii ofertă'!$B$5:$B$1004,B359,'Linii ofertă'!$J$5:$J$1004))</f>
        <v/>
      </c>
      <c r="Q359" s="25" t="str">
        <f>IF(B359="","",SUMIF('Linii ofertă'!$B$5:$B$1004,B359,'Linii ofertă'!$M$5:$M$1004))</f>
        <v/>
      </c>
      <c r="R359" s="26" t="str">
        <f>IF(OR(B359="",N(P359)=0),"",SUMIF('Linii ofertă'!$B$5:$B$1004,B359,'Linii ofertă'!$P$5:$P$1004)/P359)</f>
        <v/>
      </c>
      <c r="S359" s="27" t="str">
        <f t="shared" ca="1" si="11"/>
        <v/>
      </c>
      <c r="T359" s="28" t="str">
        <f>IF(B359="","",TRIM(IF(COUNTIF($B$5:$B$504,B359)&gt;1,"Număr dublat. ","")&amp;IF(N(P359)=0,"Oferta nu are linii. ","")&amp;IF(M359="","Completează ce NU include oferta. ","")&amp;IF(AND(ISNUMBER(R359),R359&lt;MarjaMin),"Marjă totală sub minim. ","")&amp;IF(COUNTIFS('Linii ofertă'!$B$5:$B$1004,B359,'Linii ofertă'!$R$5:$R$1004,"Marjă*")&gt;0,"Are linii cu marjă sub minim. ","")&amp;IF(AND(S359="Expirată"),"Valabilitatea a expirat: reconfirmă prețurile. ","")))</f>
        <v/>
      </c>
    </row>
    <row r="360" spans="2:20" x14ac:dyDescent="0.2">
      <c r="B360" s="20"/>
      <c r="C360" s="21"/>
      <c r="D360" s="22"/>
      <c r="E360" s="22"/>
      <c r="F360" s="22"/>
      <c r="G360" s="20"/>
      <c r="H360" s="23" t="str">
        <f t="shared" si="10"/>
        <v/>
      </c>
      <c r="I360" s="22"/>
      <c r="J360" s="22"/>
      <c r="K360" s="24"/>
      <c r="L360" s="22"/>
      <c r="M360" s="22"/>
      <c r="N360" s="20"/>
      <c r="O360" s="21"/>
      <c r="P360" s="25" t="str">
        <f>IF(B360="","",SUMIF('Linii ofertă'!$B$5:$B$1004,B360,'Linii ofertă'!$J$5:$J$1004))</f>
        <v/>
      </c>
      <c r="Q360" s="25" t="str">
        <f>IF(B360="","",SUMIF('Linii ofertă'!$B$5:$B$1004,B360,'Linii ofertă'!$M$5:$M$1004))</f>
        <v/>
      </c>
      <c r="R360" s="26" t="str">
        <f>IF(OR(B360="",N(P360)=0),"",SUMIF('Linii ofertă'!$B$5:$B$1004,B360,'Linii ofertă'!$P$5:$P$1004)/P360)</f>
        <v/>
      </c>
      <c r="S360" s="27" t="str">
        <f t="shared" ca="1" si="11"/>
        <v/>
      </c>
      <c r="T360" s="28" t="str">
        <f>IF(B360="","",TRIM(IF(COUNTIF($B$5:$B$504,B360)&gt;1,"Număr dublat. ","")&amp;IF(N(P360)=0,"Oferta nu are linii. ","")&amp;IF(M360="","Completează ce NU include oferta. ","")&amp;IF(AND(ISNUMBER(R360),R360&lt;MarjaMin),"Marjă totală sub minim. ","")&amp;IF(COUNTIFS('Linii ofertă'!$B$5:$B$1004,B360,'Linii ofertă'!$R$5:$R$1004,"Marjă*")&gt;0,"Are linii cu marjă sub minim. ","")&amp;IF(AND(S360="Expirată"),"Valabilitatea a expirat: reconfirmă prețurile. ","")))</f>
        <v/>
      </c>
    </row>
    <row r="361" spans="2:20" x14ac:dyDescent="0.2">
      <c r="B361" s="20"/>
      <c r="C361" s="21"/>
      <c r="D361" s="22"/>
      <c r="E361" s="22"/>
      <c r="F361" s="22"/>
      <c r="G361" s="20"/>
      <c r="H361" s="23" t="str">
        <f t="shared" si="10"/>
        <v/>
      </c>
      <c r="I361" s="22"/>
      <c r="J361" s="22"/>
      <c r="K361" s="24"/>
      <c r="L361" s="22"/>
      <c r="M361" s="22"/>
      <c r="N361" s="20"/>
      <c r="O361" s="21"/>
      <c r="P361" s="25" t="str">
        <f>IF(B361="","",SUMIF('Linii ofertă'!$B$5:$B$1004,B361,'Linii ofertă'!$J$5:$J$1004))</f>
        <v/>
      </c>
      <c r="Q361" s="25" t="str">
        <f>IF(B361="","",SUMIF('Linii ofertă'!$B$5:$B$1004,B361,'Linii ofertă'!$M$5:$M$1004))</f>
        <v/>
      </c>
      <c r="R361" s="26" t="str">
        <f>IF(OR(B361="",N(P361)=0),"",SUMIF('Linii ofertă'!$B$5:$B$1004,B361,'Linii ofertă'!$P$5:$P$1004)/P361)</f>
        <v/>
      </c>
      <c r="S361" s="27" t="str">
        <f t="shared" ca="1" si="11"/>
        <v/>
      </c>
      <c r="T361" s="28" t="str">
        <f>IF(B361="","",TRIM(IF(COUNTIF($B$5:$B$504,B361)&gt;1,"Număr dublat. ","")&amp;IF(N(P361)=0,"Oferta nu are linii. ","")&amp;IF(M361="","Completează ce NU include oferta. ","")&amp;IF(AND(ISNUMBER(R361),R361&lt;MarjaMin),"Marjă totală sub minim. ","")&amp;IF(COUNTIFS('Linii ofertă'!$B$5:$B$1004,B361,'Linii ofertă'!$R$5:$R$1004,"Marjă*")&gt;0,"Are linii cu marjă sub minim. ","")&amp;IF(AND(S361="Expirată"),"Valabilitatea a expirat: reconfirmă prețurile. ","")))</f>
        <v/>
      </c>
    </row>
    <row r="362" spans="2:20" x14ac:dyDescent="0.2">
      <c r="B362" s="20"/>
      <c r="C362" s="21"/>
      <c r="D362" s="22"/>
      <c r="E362" s="22"/>
      <c r="F362" s="22"/>
      <c r="G362" s="20"/>
      <c r="H362" s="23" t="str">
        <f t="shared" si="10"/>
        <v/>
      </c>
      <c r="I362" s="22"/>
      <c r="J362" s="22"/>
      <c r="K362" s="24"/>
      <c r="L362" s="22"/>
      <c r="M362" s="22"/>
      <c r="N362" s="20"/>
      <c r="O362" s="21"/>
      <c r="P362" s="25" t="str">
        <f>IF(B362="","",SUMIF('Linii ofertă'!$B$5:$B$1004,B362,'Linii ofertă'!$J$5:$J$1004))</f>
        <v/>
      </c>
      <c r="Q362" s="25" t="str">
        <f>IF(B362="","",SUMIF('Linii ofertă'!$B$5:$B$1004,B362,'Linii ofertă'!$M$5:$M$1004))</f>
        <v/>
      </c>
      <c r="R362" s="26" t="str">
        <f>IF(OR(B362="",N(P362)=0),"",SUMIF('Linii ofertă'!$B$5:$B$1004,B362,'Linii ofertă'!$P$5:$P$1004)/P362)</f>
        <v/>
      </c>
      <c r="S362" s="27" t="str">
        <f t="shared" ca="1" si="11"/>
        <v/>
      </c>
      <c r="T362" s="28" t="str">
        <f>IF(B362="","",TRIM(IF(COUNTIF($B$5:$B$504,B362)&gt;1,"Număr dublat. ","")&amp;IF(N(P362)=0,"Oferta nu are linii. ","")&amp;IF(M362="","Completează ce NU include oferta. ","")&amp;IF(AND(ISNUMBER(R362),R362&lt;MarjaMin),"Marjă totală sub minim. ","")&amp;IF(COUNTIFS('Linii ofertă'!$B$5:$B$1004,B362,'Linii ofertă'!$R$5:$R$1004,"Marjă*")&gt;0,"Are linii cu marjă sub minim. ","")&amp;IF(AND(S362="Expirată"),"Valabilitatea a expirat: reconfirmă prețurile. ","")))</f>
        <v/>
      </c>
    </row>
    <row r="363" spans="2:20" x14ac:dyDescent="0.2">
      <c r="B363" s="20"/>
      <c r="C363" s="21"/>
      <c r="D363" s="22"/>
      <c r="E363" s="22"/>
      <c r="F363" s="22"/>
      <c r="G363" s="20"/>
      <c r="H363" s="23" t="str">
        <f t="shared" si="10"/>
        <v/>
      </c>
      <c r="I363" s="22"/>
      <c r="J363" s="22"/>
      <c r="K363" s="24"/>
      <c r="L363" s="22"/>
      <c r="M363" s="22"/>
      <c r="N363" s="20"/>
      <c r="O363" s="21"/>
      <c r="P363" s="25" t="str">
        <f>IF(B363="","",SUMIF('Linii ofertă'!$B$5:$B$1004,B363,'Linii ofertă'!$J$5:$J$1004))</f>
        <v/>
      </c>
      <c r="Q363" s="25" t="str">
        <f>IF(B363="","",SUMIF('Linii ofertă'!$B$5:$B$1004,B363,'Linii ofertă'!$M$5:$M$1004))</f>
        <v/>
      </c>
      <c r="R363" s="26" t="str">
        <f>IF(OR(B363="",N(P363)=0),"",SUMIF('Linii ofertă'!$B$5:$B$1004,B363,'Linii ofertă'!$P$5:$P$1004)/P363)</f>
        <v/>
      </c>
      <c r="S363" s="27" t="str">
        <f t="shared" ca="1" si="11"/>
        <v/>
      </c>
      <c r="T363" s="28" t="str">
        <f>IF(B363="","",TRIM(IF(COUNTIF($B$5:$B$504,B363)&gt;1,"Număr dublat. ","")&amp;IF(N(P363)=0,"Oferta nu are linii. ","")&amp;IF(M363="","Completează ce NU include oferta. ","")&amp;IF(AND(ISNUMBER(R363),R363&lt;MarjaMin),"Marjă totală sub minim. ","")&amp;IF(COUNTIFS('Linii ofertă'!$B$5:$B$1004,B363,'Linii ofertă'!$R$5:$R$1004,"Marjă*")&gt;0,"Are linii cu marjă sub minim. ","")&amp;IF(AND(S363="Expirată"),"Valabilitatea a expirat: reconfirmă prețurile. ","")))</f>
        <v/>
      </c>
    </row>
    <row r="364" spans="2:20" x14ac:dyDescent="0.2">
      <c r="B364" s="20"/>
      <c r="C364" s="21"/>
      <c r="D364" s="22"/>
      <c r="E364" s="22"/>
      <c r="F364" s="22"/>
      <c r="G364" s="20"/>
      <c r="H364" s="23" t="str">
        <f t="shared" si="10"/>
        <v/>
      </c>
      <c r="I364" s="22"/>
      <c r="J364" s="22"/>
      <c r="K364" s="24"/>
      <c r="L364" s="22"/>
      <c r="M364" s="22"/>
      <c r="N364" s="20"/>
      <c r="O364" s="21"/>
      <c r="P364" s="25" t="str">
        <f>IF(B364="","",SUMIF('Linii ofertă'!$B$5:$B$1004,B364,'Linii ofertă'!$J$5:$J$1004))</f>
        <v/>
      </c>
      <c r="Q364" s="25" t="str">
        <f>IF(B364="","",SUMIF('Linii ofertă'!$B$5:$B$1004,B364,'Linii ofertă'!$M$5:$M$1004))</f>
        <v/>
      </c>
      <c r="R364" s="26" t="str">
        <f>IF(OR(B364="",N(P364)=0),"",SUMIF('Linii ofertă'!$B$5:$B$1004,B364,'Linii ofertă'!$P$5:$P$1004)/P364)</f>
        <v/>
      </c>
      <c r="S364" s="27" t="str">
        <f t="shared" ca="1" si="11"/>
        <v/>
      </c>
      <c r="T364" s="28" t="str">
        <f>IF(B364="","",TRIM(IF(COUNTIF($B$5:$B$504,B364)&gt;1,"Număr dublat. ","")&amp;IF(N(P364)=0,"Oferta nu are linii. ","")&amp;IF(M364="","Completează ce NU include oferta. ","")&amp;IF(AND(ISNUMBER(R364),R364&lt;MarjaMin),"Marjă totală sub minim. ","")&amp;IF(COUNTIFS('Linii ofertă'!$B$5:$B$1004,B364,'Linii ofertă'!$R$5:$R$1004,"Marjă*")&gt;0,"Are linii cu marjă sub minim. ","")&amp;IF(AND(S364="Expirată"),"Valabilitatea a expirat: reconfirmă prețurile. ","")))</f>
        <v/>
      </c>
    </row>
    <row r="365" spans="2:20" x14ac:dyDescent="0.2">
      <c r="B365" s="20"/>
      <c r="C365" s="21"/>
      <c r="D365" s="22"/>
      <c r="E365" s="22"/>
      <c r="F365" s="22"/>
      <c r="G365" s="20"/>
      <c r="H365" s="23" t="str">
        <f t="shared" si="10"/>
        <v/>
      </c>
      <c r="I365" s="22"/>
      <c r="J365" s="22"/>
      <c r="K365" s="24"/>
      <c r="L365" s="22"/>
      <c r="M365" s="22"/>
      <c r="N365" s="20"/>
      <c r="O365" s="21"/>
      <c r="P365" s="25" t="str">
        <f>IF(B365="","",SUMIF('Linii ofertă'!$B$5:$B$1004,B365,'Linii ofertă'!$J$5:$J$1004))</f>
        <v/>
      </c>
      <c r="Q365" s="25" t="str">
        <f>IF(B365="","",SUMIF('Linii ofertă'!$B$5:$B$1004,B365,'Linii ofertă'!$M$5:$M$1004))</f>
        <v/>
      </c>
      <c r="R365" s="26" t="str">
        <f>IF(OR(B365="",N(P365)=0),"",SUMIF('Linii ofertă'!$B$5:$B$1004,B365,'Linii ofertă'!$P$5:$P$1004)/P365)</f>
        <v/>
      </c>
      <c r="S365" s="27" t="str">
        <f t="shared" ca="1" si="11"/>
        <v/>
      </c>
      <c r="T365" s="28" t="str">
        <f>IF(B365="","",TRIM(IF(COUNTIF($B$5:$B$504,B365)&gt;1,"Număr dublat. ","")&amp;IF(N(P365)=0,"Oferta nu are linii. ","")&amp;IF(M365="","Completează ce NU include oferta. ","")&amp;IF(AND(ISNUMBER(R365),R365&lt;MarjaMin),"Marjă totală sub minim. ","")&amp;IF(COUNTIFS('Linii ofertă'!$B$5:$B$1004,B365,'Linii ofertă'!$R$5:$R$1004,"Marjă*")&gt;0,"Are linii cu marjă sub minim. ","")&amp;IF(AND(S365="Expirată"),"Valabilitatea a expirat: reconfirmă prețurile. ","")))</f>
        <v/>
      </c>
    </row>
    <row r="366" spans="2:20" x14ac:dyDescent="0.2">
      <c r="B366" s="20"/>
      <c r="C366" s="21"/>
      <c r="D366" s="22"/>
      <c r="E366" s="22"/>
      <c r="F366" s="22"/>
      <c r="G366" s="20"/>
      <c r="H366" s="23" t="str">
        <f t="shared" si="10"/>
        <v/>
      </c>
      <c r="I366" s="22"/>
      <c r="J366" s="22"/>
      <c r="K366" s="24"/>
      <c r="L366" s="22"/>
      <c r="M366" s="22"/>
      <c r="N366" s="20"/>
      <c r="O366" s="21"/>
      <c r="P366" s="25" t="str">
        <f>IF(B366="","",SUMIF('Linii ofertă'!$B$5:$B$1004,B366,'Linii ofertă'!$J$5:$J$1004))</f>
        <v/>
      </c>
      <c r="Q366" s="25" t="str">
        <f>IF(B366="","",SUMIF('Linii ofertă'!$B$5:$B$1004,B366,'Linii ofertă'!$M$5:$M$1004))</f>
        <v/>
      </c>
      <c r="R366" s="26" t="str">
        <f>IF(OR(B366="",N(P366)=0),"",SUMIF('Linii ofertă'!$B$5:$B$1004,B366,'Linii ofertă'!$P$5:$P$1004)/P366)</f>
        <v/>
      </c>
      <c r="S366" s="27" t="str">
        <f t="shared" ca="1" si="11"/>
        <v/>
      </c>
      <c r="T366" s="28" t="str">
        <f>IF(B366="","",TRIM(IF(COUNTIF($B$5:$B$504,B366)&gt;1,"Număr dublat. ","")&amp;IF(N(P366)=0,"Oferta nu are linii. ","")&amp;IF(M366="","Completează ce NU include oferta. ","")&amp;IF(AND(ISNUMBER(R366),R366&lt;MarjaMin),"Marjă totală sub minim. ","")&amp;IF(COUNTIFS('Linii ofertă'!$B$5:$B$1004,B366,'Linii ofertă'!$R$5:$R$1004,"Marjă*")&gt;0,"Are linii cu marjă sub minim. ","")&amp;IF(AND(S366="Expirată"),"Valabilitatea a expirat: reconfirmă prețurile. ","")))</f>
        <v/>
      </c>
    </row>
    <row r="367" spans="2:20" x14ac:dyDescent="0.2">
      <c r="B367" s="20"/>
      <c r="C367" s="21"/>
      <c r="D367" s="22"/>
      <c r="E367" s="22"/>
      <c r="F367" s="22"/>
      <c r="G367" s="20"/>
      <c r="H367" s="23" t="str">
        <f t="shared" si="10"/>
        <v/>
      </c>
      <c r="I367" s="22"/>
      <c r="J367" s="22"/>
      <c r="K367" s="24"/>
      <c r="L367" s="22"/>
      <c r="M367" s="22"/>
      <c r="N367" s="20"/>
      <c r="O367" s="21"/>
      <c r="P367" s="25" t="str">
        <f>IF(B367="","",SUMIF('Linii ofertă'!$B$5:$B$1004,B367,'Linii ofertă'!$J$5:$J$1004))</f>
        <v/>
      </c>
      <c r="Q367" s="25" t="str">
        <f>IF(B367="","",SUMIF('Linii ofertă'!$B$5:$B$1004,B367,'Linii ofertă'!$M$5:$M$1004))</f>
        <v/>
      </c>
      <c r="R367" s="26" t="str">
        <f>IF(OR(B367="",N(P367)=0),"",SUMIF('Linii ofertă'!$B$5:$B$1004,B367,'Linii ofertă'!$P$5:$P$1004)/P367)</f>
        <v/>
      </c>
      <c r="S367" s="27" t="str">
        <f t="shared" ca="1" si="11"/>
        <v/>
      </c>
      <c r="T367" s="28" t="str">
        <f>IF(B367="","",TRIM(IF(COUNTIF($B$5:$B$504,B367)&gt;1,"Număr dublat. ","")&amp;IF(N(P367)=0,"Oferta nu are linii. ","")&amp;IF(M367="","Completează ce NU include oferta. ","")&amp;IF(AND(ISNUMBER(R367),R367&lt;MarjaMin),"Marjă totală sub minim. ","")&amp;IF(COUNTIFS('Linii ofertă'!$B$5:$B$1004,B367,'Linii ofertă'!$R$5:$R$1004,"Marjă*")&gt;0,"Are linii cu marjă sub minim. ","")&amp;IF(AND(S367="Expirată"),"Valabilitatea a expirat: reconfirmă prețurile. ","")))</f>
        <v/>
      </c>
    </row>
    <row r="368" spans="2:20" x14ac:dyDescent="0.2">
      <c r="B368" s="20"/>
      <c r="C368" s="21"/>
      <c r="D368" s="22"/>
      <c r="E368" s="22"/>
      <c r="F368" s="22"/>
      <c r="G368" s="20"/>
      <c r="H368" s="23" t="str">
        <f t="shared" si="10"/>
        <v/>
      </c>
      <c r="I368" s="22"/>
      <c r="J368" s="22"/>
      <c r="K368" s="24"/>
      <c r="L368" s="22"/>
      <c r="M368" s="22"/>
      <c r="N368" s="20"/>
      <c r="O368" s="21"/>
      <c r="P368" s="25" t="str">
        <f>IF(B368="","",SUMIF('Linii ofertă'!$B$5:$B$1004,B368,'Linii ofertă'!$J$5:$J$1004))</f>
        <v/>
      </c>
      <c r="Q368" s="25" t="str">
        <f>IF(B368="","",SUMIF('Linii ofertă'!$B$5:$B$1004,B368,'Linii ofertă'!$M$5:$M$1004))</f>
        <v/>
      </c>
      <c r="R368" s="26" t="str">
        <f>IF(OR(B368="",N(P368)=0),"",SUMIF('Linii ofertă'!$B$5:$B$1004,B368,'Linii ofertă'!$P$5:$P$1004)/P368)</f>
        <v/>
      </c>
      <c r="S368" s="27" t="str">
        <f t="shared" ca="1" si="11"/>
        <v/>
      </c>
      <c r="T368" s="28" t="str">
        <f>IF(B368="","",TRIM(IF(COUNTIF($B$5:$B$504,B368)&gt;1,"Număr dublat. ","")&amp;IF(N(P368)=0,"Oferta nu are linii. ","")&amp;IF(M368="","Completează ce NU include oferta. ","")&amp;IF(AND(ISNUMBER(R368),R368&lt;MarjaMin),"Marjă totală sub minim. ","")&amp;IF(COUNTIFS('Linii ofertă'!$B$5:$B$1004,B368,'Linii ofertă'!$R$5:$R$1004,"Marjă*")&gt;0,"Are linii cu marjă sub minim. ","")&amp;IF(AND(S368="Expirată"),"Valabilitatea a expirat: reconfirmă prețurile. ","")))</f>
        <v/>
      </c>
    </row>
    <row r="369" spans="2:20" x14ac:dyDescent="0.2">
      <c r="B369" s="20"/>
      <c r="C369" s="21"/>
      <c r="D369" s="22"/>
      <c r="E369" s="22"/>
      <c r="F369" s="22"/>
      <c r="G369" s="20"/>
      <c r="H369" s="23" t="str">
        <f t="shared" si="10"/>
        <v/>
      </c>
      <c r="I369" s="22"/>
      <c r="J369" s="22"/>
      <c r="K369" s="24"/>
      <c r="L369" s="22"/>
      <c r="M369" s="22"/>
      <c r="N369" s="20"/>
      <c r="O369" s="21"/>
      <c r="P369" s="25" t="str">
        <f>IF(B369="","",SUMIF('Linii ofertă'!$B$5:$B$1004,B369,'Linii ofertă'!$J$5:$J$1004))</f>
        <v/>
      </c>
      <c r="Q369" s="25" t="str">
        <f>IF(B369="","",SUMIF('Linii ofertă'!$B$5:$B$1004,B369,'Linii ofertă'!$M$5:$M$1004))</f>
        <v/>
      </c>
      <c r="R369" s="26" t="str">
        <f>IF(OR(B369="",N(P369)=0),"",SUMIF('Linii ofertă'!$B$5:$B$1004,B369,'Linii ofertă'!$P$5:$P$1004)/P369)</f>
        <v/>
      </c>
      <c r="S369" s="27" t="str">
        <f t="shared" ca="1" si="11"/>
        <v/>
      </c>
      <c r="T369" s="28" t="str">
        <f>IF(B369="","",TRIM(IF(COUNTIF($B$5:$B$504,B369)&gt;1,"Număr dublat. ","")&amp;IF(N(P369)=0,"Oferta nu are linii. ","")&amp;IF(M369="","Completează ce NU include oferta. ","")&amp;IF(AND(ISNUMBER(R369),R369&lt;MarjaMin),"Marjă totală sub minim. ","")&amp;IF(COUNTIFS('Linii ofertă'!$B$5:$B$1004,B369,'Linii ofertă'!$R$5:$R$1004,"Marjă*")&gt;0,"Are linii cu marjă sub minim. ","")&amp;IF(AND(S369="Expirată"),"Valabilitatea a expirat: reconfirmă prețurile. ","")))</f>
        <v/>
      </c>
    </row>
    <row r="370" spans="2:20" x14ac:dyDescent="0.2">
      <c r="B370" s="20"/>
      <c r="C370" s="21"/>
      <c r="D370" s="22"/>
      <c r="E370" s="22"/>
      <c r="F370" s="22"/>
      <c r="G370" s="20"/>
      <c r="H370" s="23" t="str">
        <f t="shared" si="10"/>
        <v/>
      </c>
      <c r="I370" s="22"/>
      <c r="J370" s="22"/>
      <c r="K370" s="24"/>
      <c r="L370" s="22"/>
      <c r="M370" s="22"/>
      <c r="N370" s="20"/>
      <c r="O370" s="21"/>
      <c r="P370" s="25" t="str">
        <f>IF(B370="","",SUMIF('Linii ofertă'!$B$5:$B$1004,B370,'Linii ofertă'!$J$5:$J$1004))</f>
        <v/>
      </c>
      <c r="Q370" s="25" t="str">
        <f>IF(B370="","",SUMIF('Linii ofertă'!$B$5:$B$1004,B370,'Linii ofertă'!$M$5:$M$1004))</f>
        <v/>
      </c>
      <c r="R370" s="26" t="str">
        <f>IF(OR(B370="",N(P370)=0),"",SUMIF('Linii ofertă'!$B$5:$B$1004,B370,'Linii ofertă'!$P$5:$P$1004)/P370)</f>
        <v/>
      </c>
      <c r="S370" s="27" t="str">
        <f t="shared" ca="1" si="11"/>
        <v/>
      </c>
      <c r="T370" s="28" t="str">
        <f>IF(B370="","",TRIM(IF(COUNTIF($B$5:$B$504,B370)&gt;1,"Număr dublat. ","")&amp;IF(N(P370)=0,"Oferta nu are linii. ","")&amp;IF(M370="","Completează ce NU include oferta. ","")&amp;IF(AND(ISNUMBER(R370),R370&lt;MarjaMin),"Marjă totală sub minim. ","")&amp;IF(COUNTIFS('Linii ofertă'!$B$5:$B$1004,B370,'Linii ofertă'!$R$5:$R$1004,"Marjă*")&gt;0,"Are linii cu marjă sub minim. ","")&amp;IF(AND(S370="Expirată"),"Valabilitatea a expirat: reconfirmă prețurile. ","")))</f>
        <v/>
      </c>
    </row>
    <row r="371" spans="2:20" x14ac:dyDescent="0.2">
      <c r="B371" s="20"/>
      <c r="C371" s="21"/>
      <c r="D371" s="22"/>
      <c r="E371" s="22"/>
      <c r="F371" s="22"/>
      <c r="G371" s="20"/>
      <c r="H371" s="23" t="str">
        <f t="shared" si="10"/>
        <v/>
      </c>
      <c r="I371" s="22"/>
      <c r="J371" s="22"/>
      <c r="K371" s="24"/>
      <c r="L371" s="22"/>
      <c r="M371" s="22"/>
      <c r="N371" s="20"/>
      <c r="O371" s="21"/>
      <c r="P371" s="25" t="str">
        <f>IF(B371="","",SUMIF('Linii ofertă'!$B$5:$B$1004,B371,'Linii ofertă'!$J$5:$J$1004))</f>
        <v/>
      </c>
      <c r="Q371" s="25" t="str">
        <f>IF(B371="","",SUMIF('Linii ofertă'!$B$5:$B$1004,B371,'Linii ofertă'!$M$5:$M$1004))</f>
        <v/>
      </c>
      <c r="R371" s="26" t="str">
        <f>IF(OR(B371="",N(P371)=0),"",SUMIF('Linii ofertă'!$B$5:$B$1004,B371,'Linii ofertă'!$P$5:$P$1004)/P371)</f>
        <v/>
      </c>
      <c r="S371" s="27" t="str">
        <f t="shared" ca="1" si="11"/>
        <v/>
      </c>
      <c r="T371" s="28" t="str">
        <f>IF(B371="","",TRIM(IF(COUNTIF($B$5:$B$504,B371)&gt;1,"Număr dublat. ","")&amp;IF(N(P371)=0,"Oferta nu are linii. ","")&amp;IF(M371="","Completează ce NU include oferta. ","")&amp;IF(AND(ISNUMBER(R371),R371&lt;MarjaMin),"Marjă totală sub minim. ","")&amp;IF(COUNTIFS('Linii ofertă'!$B$5:$B$1004,B371,'Linii ofertă'!$R$5:$R$1004,"Marjă*")&gt;0,"Are linii cu marjă sub minim. ","")&amp;IF(AND(S371="Expirată"),"Valabilitatea a expirat: reconfirmă prețurile. ","")))</f>
        <v/>
      </c>
    </row>
    <row r="372" spans="2:20" x14ac:dyDescent="0.2">
      <c r="B372" s="20"/>
      <c r="C372" s="21"/>
      <c r="D372" s="22"/>
      <c r="E372" s="22"/>
      <c r="F372" s="22"/>
      <c r="G372" s="20"/>
      <c r="H372" s="23" t="str">
        <f t="shared" si="10"/>
        <v/>
      </c>
      <c r="I372" s="22"/>
      <c r="J372" s="22"/>
      <c r="K372" s="24"/>
      <c r="L372" s="22"/>
      <c r="M372" s="22"/>
      <c r="N372" s="20"/>
      <c r="O372" s="21"/>
      <c r="P372" s="25" t="str">
        <f>IF(B372="","",SUMIF('Linii ofertă'!$B$5:$B$1004,B372,'Linii ofertă'!$J$5:$J$1004))</f>
        <v/>
      </c>
      <c r="Q372" s="25" t="str">
        <f>IF(B372="","",SUMIF('Linii ofertă'!$B$5:$B$1004,B372,'Linii ofertă'!$M$5:$M$1004))</f>
        <v/>
      </c>
      <c r="R372" s="26" t="str">
        <f>IF(OR(B372="",N(P372)=0),"",SUMIF('Linii ofertă'!$B$5:$B$1004,B372,'Linii ofertă'!$P$5:$P$1004)/P372)</f>
        <v/>
      </c>
      <c r="S372" s="27" t="str">
        <f t="shared" ca="1" si="11"/>
        <v/>
      </c>
      <c r="T372" s="28" t="str">
        <f>IF(B372="","",TRIM(IF(COUNTIF($B$5:$B$504,B372)&gt;1,"Număr dublat. ","")&amp;IF(N(P372)=0,"Oferta nu are linii. ","")&amp;IF(M372="","Completează ce NU include oferta. ","")&amp;IF(AND(ISNUMBER(R372),R372&lt;MarjaMin),"Marjă totală sub minim. ","")&amp;IF(COUNTIFS('Linii ofertă'!$B$5:$B$1004,B372,'Linii ofertă'!$R$5:$R$1004,"Marjă*")&gt;0,"Are linii cu marjă sub minim. ","")&amp;IF(AND(S372="Expirată"),"Valabilitatea a expirat: reconfirmă prețurile. ","")))</f>
        <v/>
      </c>
    </row>
    <row r="373" spans="2:20" x14ac:dyDescent="0.2">
      <c r="B373" s="20"/>
      <c r="C373" s="21"/>
      <c r="D373" s="22"/>
      <c r="E373" s="22"/>
      <c r="F373" s="22"/>
      <c r="G373" s="20"/>
      <c r="H373" s="23" t="str">
        <f t="shared" si="10"/>
        <v/>
      </c>
      <c r="I373" s="22"/>
      <c r="J373" s="22"/>
      <c r="K373" s="24"/>
      <c r="L373" s="22"/>
      <c r="M373" s="22"/>
      <c r="N373" s="20"/>
      <c r="O373" s="21"/>
      <c r="P373" s="25" t="str">
        <f>IF(B373="","",SUMIF('Linii ofertă'!$B$5:$B$1004,B373,'Linii ofertă'!$J$5:$J$1004))</f>
        <v/>
      </c>
      <c r="Q373" s="25" t="str">
        <f>IF(B373="","",SUMIF('Linii ofertă'!$B$5:$B$1004,B373,'Linii ofertă'!$M$5:$M$1004))</f>
        <v/>
      </c>
      <c r="R373" s="26" t="str">
        <f>IF(OR(B373="",N(P373)=0),"",SUMIF('Linii ofertă'!$B$5:$B$1004,B373,'Linii ofertă'!$P$5:$P$1004)/P373)</f>
        <v/>
      </c>
      <c r="S373" s="27" t="str">
        <f t="shared" ca="1" si="11"/>
        <v/>
      </c>
      <c r="T373" s="28" t="str">
        <f>IF(B373="","",TRIM(IF(COUNTIF($B$5:$B$504,B373)&gt;1,"Număr dublat. ","")&amp;IF(N(P373)=0,"Oferta nu are linii. ","")&amp;IF(M373="","Completează ce NU include oferta. ","")&amp;IF(AND(ISNUMBER(R373),R373&lt;MarjaMin),"Marjă totală sub minim. ","")&amp;IF(COUNTIFS('Linii ofertă'!$B$5:$B$1004,B373,'Linii ofertă'!$R$5:$R$1004,"Marjă*")&gt;0,"Are linii cu marjă sub minim. ","")&amp;IF(AND(S373="Expirată"),"Valabilitatea a expirat: reconfirmă prețurile. ","")))</f>
        <v/>
      </c>
    </row>
    <row r="374" spans="2:20" x14ac:dyDescent="0.2">
      <c r="B374" s="20"/>
      <c r="C374" s="21"/>
      <c r="D374" s="22"/>
      <c r="E374" s="22"/>
      <c r="F374" s="22"/>
      <c r="G374" s="20"/>
      <c r="H374" s="23" t="str">
        <f t="shared" si="10"/>
        <v/>
      </c>
      <c r="I374" s="22"/>
      <c r="J374" s="22"/>
      <c r="K374" s="24"/>
      <c r="L374" s="22"/>
      <c r="M374" s="22"/>
      <c r="N374" s="20"/>
      <c r="O374" s="21"/>
      <c r="P374" s="25" t="str">
        <f>IF(B374="","",SUMIF('Linii ofertă'!$B$5:$B$1004,B374,'Linii ofertă'!$J$5:$J$1004))</f>
        <v/>
      </c>
      <c r="Q374" s="25" t="str">
        <f>IF(B374="","",SUMIF('Linii ofertă'!$B$5:$B$1004,B374,'Linii ofertă'!$M$5:$M$1004))</f>
        <v/>
      </c>
      <c r="R374" s="26" t="str">
        <f>IF(OR(B374="",N(P374)=0),"",SUMIF('Linii ofertă'!$B$5:$B$1004,B374,'Linii ofertă'!$P$5:$P$1004)/P374)</f>
        <v/>
      </c>
      <c r="S374" s="27" t="str">
        <f t="shared" ca="1" si="11"/>
        <v/>
      </c>
      <c r="T374" s="28" t="str">
        <f>IF(B374="","",TRIM(IF(COUNTIF($B$5:$B$504,B374)&gt;1,"Număr dublat. ","")&amp;IF(N(P374)=0,"Oferta nu are linii. ","")&amp;IF(M374="","Completează ce NU include oferta. ","")&amp;IF(AND(ISNUMBER(R374),R374&lt;MarjaMin),"Marjă totală sub minim. ","")&amp;IF(COUNTIFS('Linii ofertă'!$B$5:$B$1004,B374,'Linii ofertă'!$R$5:$R$1004,"Marjă*")&gt;0,"Are linii cu marjă sub minim. ","")&amp;IF(AND(S374="Expirată"),"Valabilitatea a expirat: reconfirmă prețurile. ","")))</f>
        <v/>
      </c>
    </row>
    <row r="375" spans="2:20" x14ac:dyDescent="0.2">
      <c r="B375" s="20"/>
      <c r="C375" s="21"/>
      <c r="D375" s="22"/>
      <c r="E375" s="22"/>
      <c r="F375" s="22"/>
      <c r="G375" s="20"/>
      <c r="H375" s="23" t="str">
        <f t="shared" si="10"/>
        <v/>
      </c>
      <c r="I375" s="22"/>
      <c r="J375" s="22"/>
      <c r="K375" s="24"/>
      <c r="L375" s="22"/>
      <c r="M375" s="22"/>
      <c r="N375" s="20"/>
      <c r="O375" s="21"/>
      <c r="P375" s="25" t="str">
        <f>IF(B375="","",SUMIF('Linii ofertă'!$B$5:$B$1004,B375,'Linii ofertă'!$J$5:$J$1004))</f>
        <v/>
      </c>
      <c r="Q375" s="25" t="str">
        <f>IF(B375="","",SUMIF('Linii ofertă'!$B$5:$B$1004,B375,'Linii ofertă'!$M$5:$M$1004))</f>
        <v/>
      </c>
      <c r="R375" s="26" t="str">
        <f>IF(OR(B375="",N(P375)=0),"",SUMIF('Linii ofertă'!$B$5:$B$1004,B375,'Linii ofertă'!$P$5:$P$1004)/P375)</f>
        <v/>
      </c>
      <c r="S375" s="27" t="str">
        <f t="shared" ca="1" si="11"/>
        <v/>
      </c>
      <c r="T375" s="28" t="str">
        <f>IF(B375="","",TRIM(IF(COUNTIF($B$5:$B$504,B375)&gt;1,"Număr dublat. ","")&amp;IF(N(P375)=0,"Oferta nu are linii. ","")&amp;IF(M375="","Completează ce NU include oferta. ","")&amp;IF(AND(ISNUMBER(R375),R375&lt;MarjaMin),"Marjă totală sub minim. ","")&amp;IF(COUNTIFS('Linii ofertă'!$B$5:$B$1004,B375,'Linii ofertă'!$R$5:$R$1004,"Marjă*")&gt;0,"Are linii cu marjă sub minim. ","")&amp;IF(AND(S375="Expirată"),"Valabilitatea a expirat: reconfirmă prețurile. ","")))</f>
        <v/>
      </c>
    </row>
    <row r="376" spans="2:20" x14ac:dyDescent="0.2">
      <c r="B376" s="20"/>
      <c r="C376" s="21"/>
      <c r="D376" s="22"/>
      <c r="E376" s="22"/>
      <c r="F376" s="22"/>
      <c r="G376" s="20"/>
      <c r="H376" s="23" t="str">
        <f t="shared" si="10"/>
        <v/>
      </c>
      <c r="I376" s="22"/>
      <c r="J376" s="22"/>
      <c r="K376" s="24"/>
      <c r="L376" s="22"/>
      <c r="M376" s="22"/>
      <c r="N376" s="20"/>
      <c r="O376" s="21"/>
      <c r="P376" s="25" t="str">
        <f>IF(B376="","",SUMIF('Linii ofertă'!$B$5:$B$1004,B376,'Linii ofertă'!$J$5:$J$1004))</f>
        <v/>
      </c>
      <c r="Q376" s="25" t="str">
        <f>IF(B376="","",SUMIF('Linii ofertă'!$B$5:$B$1004,B376,'Linii ofertă'!$M$5:$M$1004))</f>
        <v/>
      </c>
      <c r="R376" s="26" t="str">
        <f>IF(OR(B376="",N(P376)=0),"",SUMIF('Linii ofertă'!$B$5:$B$1004,B376,'Linii ofertă'!$P$5:$P$1004)/P376)</f>
        <v/>
      </c>
      <c r="S376" s="27" t="str">
        <f t="shared" ca="1" si="11"/>
        <v/>
      </c>
      <c r="T376" s="28" t="str">
        <f>IF(B376="","",TRIM(IF(COUNTIF($B$5:$B$504,B376)&gt;1,"Număr dublat. ","")&amp;IF(N(P376)=0,"Oferta nu are linii. ","")&amp;IF(M376="","Completează ce NU include oferta. ","")&amp;IF(AND(ISNUMBER(R376),R376&lt;MarjaMin),"Marjă totală sub minim. ","")&amp;IF(COUNTIFS('Linii ofertă'!$B$5:$B$1004,B376,'Linii ofertă'!$R$5:$R$1004,"Marjă*")&gt;0,"Are linii cu marjă sub minim. ","")&amp;IF(AND(S376="Expirată"),"Valabilitatea a expirat: reconfirmă prețurile. ","")))</f>
        <v/>
      </c>
    </row>
    <row r="377" spans="2:20" x14ac:dyDescent="0.2">
      <c r="B377" s="20"/>
      <c r="C377" s="21"/>
      <c r="D377" s="22"/>
      <c r="E377" s="22"/>
      <c r="F377" s="22"/>
      <c r="G377" s="20"/>
      <c r="H377" s="23" t="str">
        <f t="shared" si="10"/>
        <v/>
      </c>
      <c r="I377" s="22"/>
      <c r="J377" s="22"/>
      <c r="K377" s="24"/>
      <c r="L377" s="22"/>
      <c r="M377" s="22"/>
      <c r="N377" s="20"/>
      <c r="O377" s="21"/>
      <c r="P377" s="25" t="str">
        <f>IF(B377="","",SUMIF('Linii ofertă'!$B$5:$B$1004,B377,'Linii ofertă'!$J$5:$J$1004))</f>
        <v/>
      </c>
      <c r="Q377" s="25" t="str">
        <f>IF(B377="","",SUMIF('Linii ofertă'!$B$5:$B$1004,B377,'Linii ofertă'!$M$5:$M$1004))</f>
        <v/>
      </c>
      <c r="R377" s="26" t="str">
        <f>IF(OR(B377="",N(P377)=0),"",SUMIF('Linii ofertă'!$B$5:$B$1004,B377,'Linii ofertă'!$P$5:$P$1004)/P377)</f>
        <v/>
      </c>
      <c r="S377" s="27" t="str">
        <f t="shared" ca="1" si="11"/>
        <v/>
      </c>
      <c r="T377" s="28" t="str">
        <f>IF(B377="","",TRIM(IF(COUNTIF($B$5:$B$504,B377)&gt;1,"Număr dublat. ","")&amp;IF(N(P377)=0,"Oferta nu are linii. ","")&amp;IF(M377="","Completează ce NU include oferta. ","")&amp;IF(AND(ISNUMBER(R377),R377&lt;MarjaMin),"Marjă totală sub minim. ","")&amp;IF(COUNTIFS('Linii ofertă'!$B$5:$B$1004,B377,'Linii ofertă'!$R$5:$R$1004,"Marjă*")&gt;0,"Are linii cu marjă sub minim. ","")&amp;IF(AND(S377="Expirată"),"Valabilitatea a expirat: reconfirmă prețurile. ","")))</f>
        <v/>
      </c>
    </row>
    <row r="378" spans="2:20" x14ac:dyDescent="0.2">
      <c r="B378" s="20"/>
      <c r="C378" s="21"/>
      <c r="D378" s="22"/>
      <c r="E378" s="22"/>
      <c r="F378" s="22"/>
      <c r="G378" s="20"/>
      <c r="H378" s="23" t="str">
        <f t="shared" si="10"/>
        <v/>
      </c>
      <c r="I378" s="22"/>
      <c r="J378" s="22"/>
      <c r="K378" s="24"/>
      <c r="L378" s="22"/>
      <c r="M378" s="22"/>
      <c r="N378" s="20"/>
      <c r="O378" s="21"/>
      <c r="P378" s="25" t="str">
        <f>IF(B378="","",SUMIF('Linii ofertă'!$B$5:$B$1004,B378,'Linii ofertă'!$J$5:$J$1004))</f>
        <v/>
      </c>
      <c r="Q378" s="25" t="str">
        <f>IF(B378="","",SUMIF('Linii ofertă'!$B$5:$B$1004,B378,'Linii ofertă'!$M$5:$M$1004))</f>
        <v/>
      </c>
      <c r="R378" s="26" t="str">
        <f>IF(OR(B378="",N(P378)=0),"",SUMIF('Linii ofertă'!$B$5:$B$1004,B378,'Linii ofertă'!$P$5:$P$1004)/P378)</f>
        <v/>
      </c>
      <c r="S378" s="27" t="str">
        <f t="shared" ca="1" si="11"/>
        <v/>
      </c>
      <c r="T378" s="28" t="str">
        <f>IF(B378="","",TRIM(IF(COUNTIF($B$5:$B$504,B378)&gt;1,"Număr dublat. ","")&amp;IF(N(P378)=0,"Oferta nu are linii. ","")&amp;IF(M378="","Completează ce NU include oferta. ","")&amp;IF(AND(ISNUMBER(R378),R378&lt;MarjaMin),"Marjă totală sub minim. ","")&amp;IF(COUNTIFS('Linii ofertă'!$B$5:$B$1004,B378,'Linii ofertă'!$R$5:$R$1004,"Marjă*")&gt;0,"Are linii cu marjă sub minim. ","")&amp;IF(AND(S378="Expirată"),"Valabilitatea a expirat: reconfirmă prețurile. ","")))</f>
        <v/>
      </c>
    </row>
    <row r="379" spans="2:20" x14ac:dyDescent="0.2">
      <c r="B379" s="20"/>
      <c r="C379" s="21"/>
      <c r="D379" s="22"/>
      <c r="E379" s="22"/>
      <c r="F379" s="22"/>
      <c r="G379" s="20"/>
      <c r="H379" s="23" t="str">
        <f t="shared" si="10"/>
        <v/>
      </c>
      <c r="I379" s="22"/>
      <c r="J379" s="22"/>
      <c r="K379" s="24"/>
      <c r="L379" s="22"/>
      <c r="M379" s="22"/>
      <c r="N379" s="20"/>
      <c r="O379" s="21"/>
      <c r="P379" s="25" t="str">
        <f>IF(B379="","",SUMIF('Linii ofertă'!$B$5:$B$1004,B379,'Linii ofertă'!$J$5:$J$1004))</f>
        <v/>
      </c>
      <c r="Q379" s="25" t="str">
        <f>IF(B379="","",SUMIF('Linii ofertă'!$B$5:$B$1004,B379,'Linii ofertă'!$M$5:$M$1004))</f>
        <v/>
      </c>
      <c r="R379" s="26" t="str">
        <f>IF(OR(B379="",N(P379)=0),"",SUMIF('Linii ofertă'!$B$5:$B$1004,B379,'Linii ofertă'!$P$5:$P$1004)/P379)</f>
        <v/>
      </c>
      <c r="S379" s="27" t="str">
        <f t="shared" ca="1" si="11"/>
        <v/>
      </c>
      <c r="T379" s="28" t="str">
        <f>IF(B379="","",TRIM(IF(COUNTIF($B$5:$B$504,B379)&gt;1,"Număr dublat. ","")&amp;IF(N(P379)=0,"Oferta nu are linii. ","")&amp;IF(M379="","Completează ce NU include oferta. ","")&amp;IF(AND(ISNUMBER(R379),R379&lt;MarjaMin),"Marjă totală sub minim. ","")&amp;IF(COUNTIFS('Linii ofertă'!$B$5:$B$1004,B379,'Linii ofertă'!$R$5:$R$1004,"Marjă*")&gt;0,"Are linii cu marjă sub minim. ","")&amp;IF(AND(S379="Expirată"),"Valabilitatea a expirat: reconfirmă prețurile. ","")))</f>
        <v/>
      </c>
    </row>
    <row r="380" spans="2:20" x14ac:dyDescent="0.2">
      <c r="B380" s="20"/>
      <c r="C380" s="21"/>
      <c r="D380" s="22"/>
      <c r="E380" s="22"/>
      <c r="F380" s="22"/>
      <c r="G380" s="20"/>
      <c r="H380" s="23" t="str">
        <f t="shared" si="10"/>
        <v/>
      </c>
      <c r="I380" s="22"/>
      <c r="J380" s="22"/>
      <c r="K380" s="24"/>
      <c r="L380" s="22"/>
      <c r="M380" s="22"/>
      <c r="N380" s="20"/>
      <c r="O380" s="21"/>
      <c r="P380" s="25" t="str">
        <f>IF(B380="","",SUMIF('Linii ofertă'!$B$5:$B$1004,B380,'Linii ofertă'!$J$5:$J$1004))</f>
        <v/>
      </c>
      <c r="Q380" s="25" t="str">
        <f>IF(B380="","",SUMIF('Linii ofertă'!$B$5:$B$1004,B380,'Linii ofertă'!$M$5:$M$1004))</f>
        <v/>
      </c>
      <c r="R380" s="26" t="str">
        <f>IF(OR(B380="",N(P380)=0),"",SUMIF('Linii ofertă'!$B$5:$B$1004,B380,'Linii ofertă'!$P$5:$P$1004)/P380)</f>
        <v/>
      </c>
      <c r="S380" s="27" t="str">
        <f t="shared" ca="1" si="11"/>
        <v/>
      </c>
      <c r="T380" s="28" t="str">
        <f>IF(B380="","",TRIM(IF(COUNTIF($B$5:$B$504,B380)&gt;1,"Număr dublat. ","")&amp;IF(N(P380)=0,"Oferta nu are linii. ","")&amp;IF(M380="","Completează ce NU include oferta. ","")&amp;IF(AND(ISNUMBER(R380),R380&lt;MarjaMin),"Marjă totală sub minim. ","")&amp;IF(COUNTIFS('Linii ofertă'!$B$5:$B$1004,B380,'Linii ofertă'!$R$5:$R$1004,"Marjă*")&gt;0,"Are linii cu marjă sub minim. ","")&amp;IF(AND(S380="Expirată"),"Valabilitatea a expirat: reconfirmă prețurile. ","")))</f>
        <v/>
      </c>
    </row>
    <row r="381" spans="2:20" x14ac:dyDescent="0.2">
      <c r="B381" s="20"/>
      <c r="C381" s="21"/>
      <c r="D381" s="22"/>
      <c r="E381" s="22"/>
      <c r="F381" s="22"/>
      <c r="G381" s="20"/>
      <c r="H381" s="23" t="str">
        <f t="shared" si="10"/>
        <v/>
      </c>
      <c r="I381" s="22"/>
      <c r="J381" s="22"/>
      <c r="K381" s="24"/>
      <c r="L381" s="22"/>
      <c r="M381" s="22"/>
      <c r="N381" s="20"/>
      <c r="O381" s="21"/>
      <c r="P381" s="25" t="str">
        <f>IF(B381="","",SUMIF('Linii ofertă'!$B$5:$B$1004,B381,'Linii ofertă'!$J$5:$J$1004))</f>
        <v/>
      </c>
      <c r="Q381" s="25" t="str">
        <f>IF(B381="","",SUMIF('Linii ofertă'!$B$5:$B$1004,B381,'Linii ofertă'!$M$5:$M$1004))</f>
        <v/>
      </c>
      <c r="R381" s="26" t="str">
        <f>IF(OR(B381="",N(P381)=0),"",SUMIF('Linii ofertă'!$B$5:$B$1004,B381,'Linii ofertă'!$P$5:$P$1004)/P381)</f>
        <v/>
      </c>
      <c r="S381" s="27" t="str">
        <f t="shared" ca="1" si="11"/>
        <v/>
      </c>
      <c r="T381" s="28" t="str">
        <f>IF(B381="","",TRIM(IF(COUNTIF($B$5:$B$504,B381)&gt;1,"Număr dublat. ","")&amp;IF(N(P381)=0,"Oferta nu are linii. ","")&amp;IF(M381="","Completează ce NU include oferta. ","")&amp;IF(AND(ISNUMBER(R381),R381&lt;MarjaMin),"Marjă totală sub minim. ","")&amp;IF(COUNTIFS('Linii ofertă'!$B$5:$B$1004,B381,'Linii ofertă'!$R$5:$R$1004,"Marjă*")&gt;0,"Are linii cu marjă sub minim. ","")&amp;IF(AND(S381="Expirată"),"Valabilitatea a expirat: reconfirmă prețurile. ","")))</f>
        <v/>
      </c>
    </row>
    <row r="382" spans="2:20" x14ac:dyDescent="0.2">
      <c r="B382" s="20"/>
      <c r="C382" s="21"/>
      <c r="D382" s="22"/>
      <c r="E382" s="22"/>
      <c r="F382" s="22"/>
      <c r="G382" s="20"/>
      <c r="H382" s="23" t="str">
        <f t="shared" si="10"/>
        <v/>
      </c>
      <c r="I382" s="22"/>
      <c r="J382" s="22"/>
      <c r="K382" s="24"/>
      <c r="L382" s="22"/>
      <c r="M382" s="22"/>
      <c r="N382" s="20"/>
      <c r="O382" s="21"/>
      <c r="P382" s="25" t="str">
        <f>IF(B382="","",SUMIF('Linii ofertă'!$B$5:$B$1004,B382,'Linii ofertă'!$J$5:$J$1004))</f>
        <v/>
      </c>
      <c r="Q382" s="25" t="str">
        <f>IF(B382="","",SUMIF('Linii ofertă'!$B$5:$B$1004,B382,'Linii ofertă'!$M$5:$M$1004))</f>
        <v/>
      </c>
      <c r="R382" s="26" t="str">
        <f>IF(OR(B382="",N(P382)=0),"",SUMIF('Linii ofertă'!$B$5:$B$1004,B382,'Linii ofertă'!$P$5:$P$1004)/P382)</f>
        <v/>
      </c>
      <c r="S382" s="27" t="str">
        <f t="shared" ca="1" si="11"/>
        <v/>
      </c>
      <c r="T382" s="28" t="str">
        <f>IF(B382="","",TRIM(IF(COUNTIF($B$5:$B$504,B382)&gt;1,"Număr dublat. ","")&amp;IF(N(P382)=0,"Oferta nu are linii. ","")&amp;IF(M382="","Completează ce NU include oferta. ","")&amp;IF(AND(ISNUMBER(R382),R382&lt;MarjaMin),"Marjă totală sub minim. ","")&amp;IF(COUNTIFS('Linii ofertă'!$B$5:$B$1004,B382,'Linii ofertă'!$R$5:$R$1004,"Marjă*")&gt;0,"Are linii cu marjă sub minim. ","")&amp;IF(AND(S382="Expirată"),"Valabilitatea a expirat: reconfirmă prețurile. ","")))</f>
        <v/>
      </c>
    </row>
    <row r="383" spans="2:20" x14ac:dyDescent="0.2">
      <c r="B383" s="20"/>
      <c r="C383" s="21"/>
      <c r="D383" s="22"/>
      <c r="E383" s="22"/>
      <c r="F383" s="22"/>
      <c r="G383" s="20"/>
      <c r="H383" s="23" t="str">
        <f t="shared" si="10"/>
        <v/>
      </c>
      <c r="I383" s="22"/>
      <c r="J383" s="22"/>
      <c r="K383" s="24"/>
      <c r="L383" s="22"/>
      <c r="M383" s="22"/>
      <c r="N383" s="20"/>
      <c r="O383" s="21"/>
      <c r="P383" s="25" t="str">
        <f>IF(B383="","",SUMIF('Linii ofertă'!$B$5:$B$1004,B383,'Linii ofertă'!$J$5:$J$1004))</f>
        <v/>
      </c>
      <c r="Q383" s="25" t="str">
        <f>IF(B383="","",SUMIF('Linii ofertă'!$B$5:$B$1004,B383,'Linii ofertă'!$M$5:$M$1004))</f>
        <v/>
      </c>
      <c r="R383" s="26" t="str">
        <f>IF(OR(B383="",N(P383)=0),"",SUMIF('Linii ofertă'!$B$5:$B$1004,B383,'Linii ofertă'!$P$5:$P$1004)/P383)</f>
        <v/>
      </c>
      <c r="S383" s="27" t="str">
        <f t="shared" ca="1" si="11"/>
        <v/>
      </c>
      <c r="T383" s="28" t="str">
        <f>IF(B383="","",TRIM(IF(COUNTIF($B$5:$B$504,B383)&gt;1,"Număr dublat. ","")&amp;IF(N(P383)=0,"Oferta nu are linii. ","")&amp;IF(M383="","Completează ce NU include oferta. ","")&amp;IF(AND(ISNUMBER(R383),R383&lt;MarjaMin),"Marjă totală sub minim. ","")&amp;IF(COUNTIFS('Linii ofertă'!$B$5:$B$1004,B383,'Linii ofertă'!$R$5:$R$1004,"Marjă*")&gt;0,"Are linii cu marjă sub minim. ","")&amp;IF(AND(S383="Expirată"),"Valabilitatea a expirat: reconfirmă prețurile. ","")))</f>
        <v/>
      </c>
    </row>
    <row r="384" spans="2:20" x14ac:dyDescent="0.2">
      <c r="B384" s="20"/>
      <c r="C384" s="21"/>
      <c r="D384" s="22"/>
      <c r="E384" s="22"/>
      <c r="F384" s="22"/>
      <c r="G384" s="20"/>
      <c r="H384" s="23" t="str">
        <f t="shared" si="10"/>
        <v/>
      </c>
      <c r="I384" s="22"/>
      <c r="J384" s="22"/>
      <c r="K384" s="24"/>
      <c r="L384" s="22"/>
      <c r="M384" s="22"/>
      <c r="N384" s="20"/>
      <c r="O384" s="21"/>
      <c r="P384" s="25" t="str">
        <f>IF(B384="","",SUMIF('Linii ofertă'!$B$5:$B$1004,B384,'Linii ofertă'!$J$5:$J$1004))</f>
        <v/>
      </c>
      <c r="Q384" s="25" t="str">
        <f>IF(B384="","",SUMIF('Linii ofertă'!$B$5:$B$1004,B384,'Linii ofertă'!$M$5:$M$1004))</f>
        <v/>
      </c>
      <c r="R384" s="26" t="str">
        <f>IF(OR(B384="",N(P384)=0),"",SUMIF('Linii ofertă'!$B$5:$B$1004,B384,'Linii ofertă'!$P$5:$P$1004)/P384)</f>
        <v/>
      </c>
      <c r="S384" s="27" t="str">
        <f t="shared" ca="1" si="11"/>
        <v/>
      </c>
      <c r="T384" s="28" t="str">
        <f>IF(B384="","",TRIM(IF(COUNTIF($B$5:$B$504,B384)&gt;1,"Număr dublat. ","")&amp;IF(N(P384)=0,"Oferta nu are linii. ","")&amp;IF(M384="","Completează ce NU include oferta. ","")&amp;IF(AND(ISNUMBER(R384),R384&lt;MarjaMin),"Marjă totală sub minim. ","")&amp;IF(COUNTIFS('Linii ofertă'!$B$5:$B$1004,B384,'Linii ofertă'!$R$5:$R$1004,"Marjă*")&gt;0,"Are linii cu marjă sub minim. ","")&amp;IF(AND(S384="Expirată"),"Valabilitatea a expirat: reconfirmă prețurile. ","")))</f>
        <v/>
      </c>
    </row>
    <row r="385" spans="2:20" x14ac:dyDescent="0.2">
      <c r="B385" s="20"/>
      <c r="C385" s="21"/>
      <c r="D385" s="22"/>
      <c r="E385" s="22"/>
      <c r="F385" s="22"/>
      <c r="G385" s="20"/>
      <c r="H385" s="23" t="str">
        <f t="shared" si="10"/>
        <v/>
      </c>
      <c r="I385" s="22"/>
      <c r="J385" s="22"/>
      <c r="K385" s="24"/>
      <c r="L385" s="22"/>
      <c r="M385" s="22"/>
      <c r="N385" s="20"/>
      <c r="O385" s="21"/>
      <c r="P385" s="25" t="str">
        <f>IF(B385="","",SUMIF('Linii ofertă'!$B$5:$B$1004,B385,'Linii ofertă'!$J$5:$J$1004))</f>
        <v/>
      </c>
      <c r="Q385" s="25" t="str">
        <f>IF(B385="","",SUMIF('Linii ofertă'!$B$5:$B$1004,B385,'Linii ofertă'!$M$5:$M$1004))</f>
        <v/>
      </c>
      <c r="R385" s="26" t="str">
        <f>IF(OR(B385="",N(P385)=0),"",SUMIF('Linii ofertă'!$B$5:$B$1004,B385,'Linii ofertă'!$P$5:$P$1004)/P385)</f>
        <v/>
      </c>
      <c r="S385" s="27" t="str">
        <f t="shared" ca="1" si="11"/>
        <v/>
      </c>
      <c r="T385" s="28" t="str">
        <f>IF(B385="","",TRIM(IF(COUNTIF($B$5:$B$504,B385)&gt;1,"Număr dublat. ","")&amp;IF(N(P385)=0,"Oferta nu are linii. ","")&amp;IF(M385="","Completează ce NU include oferta. ","")&amp;IF(AND(ISNUMBER(R385),R385&lt;MarjaMin),"Marjă totală sub minim. ","")&amp;IF(COUNTIFS('Linii ofertă'!$B$5:$B$1004,B385,'Linii ofertă'!$R$5:$R$1004,"Marjă*")&gt;0,"Are linii cu marjă sub minim. ","")&amp;IF(AND(S385="Expirată"),"Valabilitatea a expirat: reconfirmă prețurile. ","")))</f>
        <v/>
      </c>
    </row>
    <row r="386" spans="2:20" x14ac:dyDescent="0.2">
      <c r="B386" s="20"/>
      <c r="C386" s="21"/>
      <c r="D386" s="22"/>
      <c r="E386" s="22"/>
      <c r="F386" s="22"/>
      <c r="G386" s="20"/>
      <c r="H386" s="23" t="str">
        <f t="shared" si="10"/>
        <v/>
      </c>
      <c r="I386" s="22"/>
      <c r="J386" s="22"/>
      <c r="K386" s="24"/>
      <c r="L386" s="22"/>
      <c r="M386" s="22"/>
      <c r="N386" s="20"/>
      <c r="O386" s="21"/>
      <c r="P386" s="25" t="str">
        <f>IF(B386="","",SUMIF('Linii ofertă'!$B$5:$B$1004,B386,'Linii ofertă'!$J$5:$J$1004))</f>
        <v/>
      </c>
      <c r="Q386" s="25" t="str">
        <f>IF(B386="","",SUMIF('Linii ofertă'!$B$5:$B$1004,B386,'Linii ofertă'!$M$5:$M$1004))</f>
        <v/>
      </c>
      <c r="R386" s="26" t="str">
        <f>IF(OR(B386="",N(P386)=0),"",SUMIF('Linii ofertă'!$B$5:$B$1004,B386,'Linii ofertă'!$P$5:$P$1004)/P386)</f>
        <v/>
      </c>
      <c r="S386" s="27" t="str">
        <f t="shared" ca="1" si="11"/>
        <v/>
      </c>
      <c r="T386" s="28" t="str">
        <f>IF(B386="","",TRIM(IF(COUNTIF($B$5:$B$504,B386)&gt;1,"Număr dublat. ","")&amp;IF(N(P386)=0,"Oferta nu are linii. ","")&amp;IF(M386="","Completează ce NU include oferta. ","")&amp;IF(AND(ISNUMBER(R386),R386&lt;MarjaMin),"Marjă totală sub minim. ","")&amp;IF(COUNTIFS('Linii ofertă'!$B$5:$B$1004,B386,'Linii ofertă'!$R$5:$R$1004,"Marjă*")&gt;0,"Are linii cu marjă sub minim. ","")&amp;IF(AND(S386="Expirată"),"Valabilitatea a expirat: reconfirmă prețurile. ","")))</f>
        <v/>
      </c>
    </row>
    <row r="387" spans="2:20" x14ac:dyDescent="0.2">
      <c r="B387" s="20"/>
      <c r="C387" s="21"/>
      <c r="D387" s="22"/>
      <c r="E387" s="22"/>
      <c r="F387" s="22"/>
      <c r="G387" s="20"/>
      <c r="H387" s="23" t="str">
        <f t="shared" si="10"/>
        <v/>
      </c>
      <c r="I387" s="22"/>
      <c r="J387" s="22"/>
      <c r="K387" s="24"/>
      <c r="L387" s="22"/>
      <c r="M387" s="22"/>
      <c r="N387" s="20"/>
      <c r="O387" s="21"/>
      <c r="P387" s="25" t="str">
        <f>IF(B387="","",SUMIF('Linii ofertă'!$B$5:$B$1004,B387,'Linii ofertă'!$J$5:$J$1004))</f>
        <v/>
      </c>
      <c r="Q387" s="25" t="str">
        <f>IF(B387="","",SUMIF('Linii ofertă'!$B$5:$B$1004,B387,'Linii ofertă'!$M$5:$M$1004))</f>
        <v/>
      </c>
      <c r="R387" s="26" t="str">
        <f>IF(OR(B387="",N(P387)=0),"",SUMIF('Linii ofertă'!$B$5:$B$1004,B387,'Linii ofertă'!$P$5:$P$1004)/P387)</f>
        <v/>
      </c>
      <c r="S387" s="27" t="str">
        <f t="shared" ca="1" si="11"/>
        <v/>
      </c>
      <c r="T387" s="28" t="str">
        <f>IF(B387="","",TRIM(IF(COUNTIF($B$5:$B$504,B387)&gt;1,"Număr dublat. ","")&amp;IF(N(P387)=0,"Oferta nu are linii. ","")&amp;IF(M387="","Completează ce NU include oferta. ","")&amp;IF(AND(ISNUMBER(R387),R387&lt;MarjaMin),"Marjă totală sub minim. ","")&amp;IF(COUNTIFS('Linii ofertă'!$B$5:$B$1004,B387,'Linii ofertă'!$R$5:$R$1004,"Marjă*")&gt;0,"Are linii cu marjă sub minim. ","")&amp;IF(AND(S387="Expirată"),"Valabilitatea a expirat: reconfirmă prețurile. ","")))</f>
        <v/>
      </c>
    </row>
    <row r="388" spans="2:20" x14ac:dyDescent="0.2">
      <c r="B388" s="20"/>
      <c r="C388" s="21"/>
      <c r="D388" s="22"/>
      <c r="E388" s="22"/>
      <c r="F388" s="22"/>
      <c r="G388" s="20"/>
      <c r="H388" s="23" t="str">
        <f t="shared" si="10"/>
        <v/>
      </c>
      <c r="I388" s="22"/>
      <c r="J388" s="22"/>
      <c r="K388" s="24"/>
      <c r="L388" s="22"/>
      <c r="M388" s="22"/>
      <c r="N388" s="20"/>
      <c r="O388" s="21"/>
      <c r="P388" s="25" t="str">
        <f>IF(B388="","",SUMIF('Linii ofertă'!$B$5:$B$1004,B388,'Linii ofertă'!$J$5:$J$1004))</f>
        <v/>
      </c>
      <c r="Q388" s="25" t="str">
        <f>IF(B388="","",SUMIF('Linii ofertă'!$B$5:$B$1004,B388,'Linii ofertă'!$M$5:$M$1004))</f>
        <v/>
      </c>
      <c r="R388" s="26" t="str">
        <f>IF(OR(B388="",N(P388)=0),"",SUMIF('Linii ofertă'!$B$5:$B$1004,B388,'Linii ofertă'!$P$5:$P$1004)/P388)</f>
        <v/>
      </c>
      <c r="S388" s="27" t="str">
        <f t="shared" ca="1" si="11"/>
        <v/>
      </c>
      <c r="T388" s="28" t="str">
        <f>IF(B388="","",TRIM(IF(COUNTIF($B$5:$B$504,B388)&gt;1,"Număr dublat. ","")&amp;IF(N(P388)=0,"Oferta nu are linii. ","")&amp;IF(M388="","Completează ce NU include oferta. ","")&amp;IF(AND(ISNUMBER(R388),R388&lt;MarjaMin),"Marjă totală sub minim. ","")&amp;IF(COUNTIFS('Linii ofertă'!$B$5:$B$1004,B388,'Linii ofertă'!$R$5:$R$1004,"Marjă*")&gt;0,"Are linii cu marjă sub minim. ","")&amp;IF(AND(S388="Expirată"),"Valabilitatea a expirat: reconfirmă prețurile. ","")))</f>
        <v/>
      </c>
    </row>
    <row r="389" spans="2:20" x14ac:dyDescent="0.2">
      <c r="B389" s="20"/>
      <c r="C389" s="21"/>
      <c r="D389" s="22"/>
      <c r="E389" s="22"/>
      <c r="F389" s="22"/>
      <c r="G389" s="20"/>
      <c r="H389" s="23" t="str">
        <f t="shared" ref="H389:H452" si="12">IF(OR(B389="",C389=""),"",C389+IF(G389="",ValImpl,G389))</f>
        <v/>
      </c>
      <c r="I389" s="22"/>
      <c r="J389" s="22"/>
      <c r="K389" s="24"/>
      <c r="L389" s="22"/>
      <c r="M389" s="22"/>
      <c r="N389" s="20"/>
      <c r="O389" s="21"/>
      <c r="P389" s="25" t="str">
        <f>IF(B389="","",SUMIF('Linii ofertă'!$B$5:$B$1004,B389,'Linii ofertă'!$J$5:$J$1004))</f>
        <v/>
      </c>
      <c r="Q389" s="25" t="str">
        <f>IF(B389="","",SUMIF('Linii ofertă'!$B$5:$B$1004,B389,'Linii ofertă'!$M$5:$M$1004))</f>
        <v/>
      </c>
      <c r="R389" s="26" t="str">
        <f>IF(OR(B389="",N(P389)=0),"",SUMIF('Linii ofertă'!$B$5:$B$1004,B389,'Linii ofertă'!$P$5:$P$1004)/P389)</f>
        <v/>
      </c>
      <c r="S389" s="27" t="str">
        <f t="shared" ref="S389:S452" ca="1" si="13">IF(B389="","",IF(AND(OR(N389="Trimisă",N389="În lucru"),ISNUMBER(H389),TODAY()&gt;H389),"Expirată",IF(N389="","În lucru",N389)))</f>
        <v/>
      </c>
      <c r="T389" s="28" t="str">
        <f>IF(B389="","",TRIM(IF(COUNTIF($B$5:$B$504,B389)&gt;1,"Număr dublat. ","")&amp;IF(N(P389)=0,"Oferta nu are linii. ","")&amp;IF(M389="","Completează ce NU include oferta. ","")&amp;IF(AND(ISNUMBER(R389),R389&lt;MarjaMin),"Marjă totală sub minim. ","")&amp;IF(COUNTIFS('Linii ofertă'!$B$5:$B$1004,B389,'Linii ofertă'!$R$5:$R$1004,"Marjă*")&gt;0,"Are linii cu marjă sub minim. ","")&amp;IF(AND(S389="Expirată"),"Valabilitatea a expirat: reconfirmă prețurile. ","")))</f>
        <v/>
      </c>
    </row>
    <row r="390" spans="2:20" x14ac:dyDescent="0.2">
      <c r="B390" s="20"/>
      <c r="C390" s="21"/>
      <c r="D390" s="22"/>
      <c r="E390" s="22"/>
      <c r="F390" s="22"/>
      <c r="G390" s="20"/>
      <c r="H390" s="23" t="str">
        <f t="shared" si="12"/>
        <v/>
      </c>
      <c r="I390" s="22"/>
      <c r="J390" s="22"/>
      <c r="K390" s="24"/>
      <c r="L390" s="22"/>
      <c r="M390" s="22"/>
      <c r="N390" s="20"/>
      <c r="O390" s="21"/>
      <c r="P390" s="25" t="str">
        <f>IF(B390="","",SUMIF('Linii ofertă'!$B$5:$B$1004,B390,'Linii ofertă'!$J$5:$J$1004))</f>
        <v/>
      </c>
      <c r="Q390" s="25" t="str">
        <f>IF(B390="","",SUMIF('Linii ofertă'!$B$5:$B$1004,B390,'Linii ofertă'!$M$5:$M$1004))</f>
        <v/>
      </c>
      <c r="R390" s="26" t="str">
        <f>IF(OR(B390="",N(P390)=0),"",SUMIF('Linii ofertă'!$B$5:$B$1004,B390,'Linii ofertă'!$P$5:$P$1004)/P390)</f>
        <v/>
      </c>
      <c r="S390" s="27" t="str">
        <f t="shared" ca="1" si="13"/>
        <v/>
      </c>
      <c r="T390" s="28" t="str">
        <f>IF(B390="","",TRIM(IF(COUNTIF($B$5:$B$504,B390)&gt;1,"Număr dublat. ","")&amp;IF(N(P390)=0,"Oferta nu are linii. ","")&amp;IF(M390="","Completează ce NU include oferta. ","")&amp;IF(AND(ISNUMBER(R390),R390&lt;MarjaMin),"Marjă totală sub minim. ","")&amp;IF(COUNTIFS('Linii ofertă'!$B$5:$B$1004,B390,'Linii ofertă'!$R$5:$R$1004,"Marjă*")&gt;0,"Are linii cu marjă sub minim. ","")&amp;IF(AND(S390="Expirată"),"Valabilitatea a expirat: reconfirmă prețurile. ","")))</f>
        <v/>
      </c>
    </row>
    <row r="391" spans="2:20" x14ac:dyDescent="0.2">
      <c r="B391" s="20"/>
      <c r="C391" s="21"/>
      <c r="D391" s="22"/>
      <c r="E391" s="22"/>
      <c r="F391" s="22"/>
      <c r="G391" s="20"/>
      <c r="H391" s="23" t="str">
        <f t="shared" si="12"/>
        <v/>
      </c>
      <c r="I391" s="22"/>
      <c r="J391" s="22"/>
      <c r="K391" s="24"/>
      <c r="L391" s="22"/>
      <c r="M391" s="22"/>
      <c r="N391" s="20"/>
      <c r="O391" s="21"/>
      <c r="P391" s="25" t="str">
        <f>IF(B391="","",SUMIF('Linii ofertă'!$B$5:$B$1004,B391,'Linii ofertă'!$J$5:$J$1004))</f>
        <v/>
      </c>
      <c r="Q391" s="25" t="str">
        <f>IF(B391="","",SUMIF('Linii ofertă'!$B$5:$B$1004,B391,'Linii ofertă'!$M$5:$M$1004))</f>
        <v/>
      </c>
      <c r="R391" s="26" t="str">
        <f>IF(OR(B391="",N(P391)=0),"",SUMIF('Linii ofertă'!$B$5:$B$1004,B391,'Linii ofertă'!$P$5:$P$1004)/P391)</f>
        <v/>
      </c>
      <c r="S391" s="27" t="str">
        <f t="shared" ca="1" si="13"/>
        <v/>
      </c>
      <c r="T391" s="28" t="str">
        <f>IF(B391="","",TRIM(IF(COUNTIF($B$5:$B$504,B391)&gt;1,"Număr dublat. ","")&amp;IF(N(P391)=0,"Oferta nu are linii. ","")&amp;IF(M391="","Completează ce NU include oferta. ","")&amp;IF(AND(ISNUMBER(R391),R391&lt;MarjaMin),"Marjă totală sub minim. ","")&amp;IF(COUNTIFS('Linii ofertă'!$B$5:$B$1004,B391,'Linii ofertă'!$R$5:$R$1004,"Marjă*")&gt;0,"Are linii cu marjă sub minim. ","")&amp;IF(AND(S391="Expirată"),"Valabilitatea a expirat: reconfirmă prețurile. ","")))</f>
        <v/>
      </c>
    </row>
    <row r="392" spans="2:20" x14ac:dyDescent="0.2">
      <c r="B392" s="20"/>
      <c r="C392" s="21"/>
      <c r="D392" s="22"/>
      <c r="E392" s="22"/>
      <c r="F392" s="22"/>
      <c r="G392" s="20"/>
      <c r="H392" s="23" t="str">
        <f t="shared" si="12"/>
        <v/>
      </c>
      <c r="I392" s="22"/>
      <c r="J392" s="22"/>
      <c r="K392" s="24"/>
      <c r="L392" s="22"/>
      <c r="M392" s="22"/>
      <c r="N392" s="20"/>
      <c r="O392" s="21"/>
      <c r="P392" s="25" t="str">
        <f>IF(B392="","",SUMIF('Linii ofertă'!$B$5:$B$1004,B392,'Linii ofertă'!$J$5:$J$1004))</f>
        <v/>
      </c>
      <c r="Q392" s="25" t="str">
        <f>IF(B392="","",SUMIF('Linii ofertă'!$B$5:$B$1004,B392,'Linii ofertă'!$M$5:$M$1004))</f>
        <v/>
      </c>
      <c r="R392" s="26" t="str">
        <f>IF(OR(B392="",N(P392)=0),"",SUMIF('Linii ofertă'!$B$5:$B$1004,B392,'Linii ofertă'!$P$5:$P$1004)/P392)</f>
        <v/>
      </c>
      <c r="S392" s="27" t="str">
        <f t="shared" ca="1" si="13"/>
        <v/>
      </c>
      <c r="T392" s="28" t="str">
        <f>IF(B392="","",TRIM(IF(COUNTIF($B$5:$B$504,B392)&gt;1,"Număr dublat. ","")&amp;IF(N(P392)=0,"Oferta nu are linii. ","")&amp;IF(M392="","Completează ce NU include oferta. ","")&amp;IF(AND(ISNUMBER(R392),R392&lt;MarjaMin),"Marjă totală sub minim. ","")&amp;IF(COUNTIFS('Linii ofertă'!$B$5:$B$1004,B392,'Linii ofertă'!$R$5:$R$1004,"Marjă*")&gt;0,"Are linii cu marjă sub minim. ","")&amp;IF(AND(S392="Expirată"),"Valabilitatea a expirat: reconfirmă prețurile. ","")))</f>
        <v/>
      </c>
    </row>
    <row r="393" spans="2:20" x14ac:dyDescent="0.2">
      <c r="B393" s="20"/>
      <c r="C393" s="21"/>
      <c r="D393" s="22"/>
      <c r="E393" s="22"/>
      <c r="F393" s="22"/>
      <c r="G393" s="20"/>
      <c r="H393" s="23" t="str">
        <f t="shared" si="12"/>
        <v/>
      </c>
      <c r="I393" s="22"/>
      <c r="J393" s="22"/>
      <c r="K393" s="24"/>
      <c r="L393" s="22"/>
      <c r="M393" s="22"/>
      <c r="N393" s="20"/>
      <c r="O393" s="21"/>
      <c r="P393" s="25" t="str">
        <f>IF(B393="","",SUMIF('Linii ofertă'!$B$5:$B$1004,B393,'Linii ofertă'!$J$5:$J$1004))</f>
        <v/>
      </c>
      <c r="Q393" s="25" t="str">
        <f>IF(B393="","",SUMIF('Linii ofertă'!$B$5:$B$1004,B393,'Linii ofertă'!$M$5:$M$1004))</f>
        <v/>
      </c>
      <c r="R393" s="26" t="str">
        <f>IF(OR(B393="",N(P393)=0),"",SUMIF('Linii ofertă'!$B$5:$B$1004,B393,'Linii ofertă'!$P$5:$P$1004)/P393)</f>
        <v/>
      </c>
      <c r="S393" s="27" t="str">
        <f t="shared" ca="1" si="13"/>
        <v/>
      </c>
      <c r="T393" s="28" t="str">
        <f>IF(B393="","",TRIM(IF(COUNTIF($B$5:$B$504,B393)&gt;1,"Număr dublat. ","")&amp;IF(N(P393)=0,"Oferta nu are linii. ","")&amp;IF(M393="","Completează ce NU include oferta. ","")&amp;IF(AND(ISNUMBER(R393),R393&lt;MarjaMin),"Marjă totală sub minim. ","")&amp;IF(COUNTIFS('Linii ofertă'!$B$5:$B$1004,B393,'Linii ofertă'!$R$5:$R$1004,"Marjă*")&gt;0,"Are linii cu marjă sub minim. ","")&amp;IF(AND(S393="Expirată"),"Valabilitatea a expirat: reconfirmă prețurile. ","")))</f>
        <v/>
      </c>
    </row>
    <row r="394" spans="2:20" x14ac:dyDescent="0.2">
      <c r="B394" s="20"/>
      <c r="C394" s="21"/>
      <c r="D394" s="22"/>
      <c r="E394" s="22"/>
      <c r="F394" s="22"/>
      <c r="G394" s="20"/>
      <c r="H394" s="23" t="str">
        <f t="shared" si="12"/>
        <v/>
      </c>
      <c r="I394" s="22"/>
      <c r="J394" s="22"/>
      <c r="K394" s="24"/>
      <c r="L394" s="22"/>
      <c r="M394" s="22"/>
      <c r="N394" s="20"/>
      <c r="O394" s="21"/>
      <c r="P394" s="25" t="str">
        <f>IF(B394="","",SUMIF('Linii ofertă'!$B$5:$B$1004,B394,'Linii ofertă'!$J$5:$J$1004))</f>
        <v/>
      </c>
      <c r="Q394" s="25" t="str">
        <f>IF(B394="","",SUMIF('Linii ofertă'!$B$5:$B$1004,B394,'Linii ofertă'!$M$5:$M$1004))</f>
        <v/>
      </c>
      <c r="R394" s="26" t="str">
        <f>IF(OR(B394="",N(P394)=0),"",SUMIF('Linii ofertă'!$B$5:$B$1004,B394,'Linii ofertă'!$P$5:$P$1004)/P394)</f>
        <v/>
      </c>
      <c r="S394" s="27" t="str">
        <f t="shared" ca="1" si="13"/>
        <v/>
      </c>
      <c r="T394" s="28" t="str">
        <f>IF(B394="","",TRIM(IF(COUNTIF($B$5:$B$504,B394)&gt;1,"Număr dublat. ","")&amp;IF(N(P394)=0,"Oferta nu are linii. ","")&amp;IF(M394="","Completează ce NU include oferta. ","")&amp;IF(AND(ISNUMBER(R394),R394&lt;MarjaMin),"Marjă totală sub minim. ","")&amp;IF(COUNTIFS('Linii ofertă'!$B$5:$B$1004,B394,'Linii ofertă'!$R$5:$R$1004,"Marjă*")&gt;0,"Are linii cu marjă sub minim. ","")&amp;IF(AND(S394="Expirată"),"Valabilitatea a expirat: reconfirmă prețurile. ","")))</f>
        <v/>
      </c>
    </row>
    <row r="395" spans="2:20" x14ac:dyDescent="0.2">
      <c r="B395" s="20"/>
      <c r="C395" s="21"/>
      <c r="D395" s="22"/>
      <c r="E395" s="22"/>
      <c r="F395" s="22"/>
      <c r="G395" s="20"/>
      <c r="H395" s="23" t="str">
        <f t="shared" si="12"/>
        <v/>
      </c>
      <c r="I395" s="22"/>
      <c r="J395" s="22"/>
      <c r="K395" s="24"/>
      <c r="L395" s="22"/>
      <c r="M395" s="22"/>
      <c r="N395" s="20"/>
      <c r="O395" s="21"/>
      <c r="P395" s="25" t="str">
        <f>IF(B395="","",SUMIF('Linii ofertă'!$B$5:$B$1004,B395,'Linii ofertă'!$J$5:$J$1004))</f>
        <v/>
      </c>
      <c r="Q395" s="25" t="str">
        <f>IF(B395="","",SUMIF('Linii ofertă'!$B$5:$B$1004,B395,'Linii ofertă'!$M$5:$M$1004))</f>
        <v/>
      </c>
      <c r="R395" s="26" t="str">
        <f>IF(OR(B395="",N(P395)=0),"",SUMIF('Linii ofertă'!$B$5:$B$1004,B395,'Linii ofertă'!$P$5:$P$1004)/P395)</f>
        <v/>
      </c>
      <c r="S395" s="27" t="str">
        <f t="shared" ca="1" si="13"/>
        <v/>
      </c>
      <c r="T395" s="28" t="str">
        <f>IF(B395="","",TRIM(IF(COUNTIF($B$5:$B$504,B395)&gt;1,"Număr dublat. ","")&amp;IF(N(P395)=0,"Oferta nu are linii. ","")&amp;IF(M395="","Completează ce NU include oferta. ","")&amp;IF(AND(ISNUMBER(R395),R395&lt;MarjaMin),"Marjă totală sub minim. ","")&amp;IF(COUNTIFS('Linii ofertă'!$B$5:$B$1004,B395,'Linii ofertă'!$R$5:$R$1004,"Marjă*")&gt;0,"Are linii cu marjă sub minim. ","")&amp;IF(AND(S395="Expirată"),"Valabilitatea a expirat: reconfirmă prețurile. ","")))</f>
        <v/>
      </c>
    </row>
    <row r="396" spans="2:20" x14ac:dyDescent="0.2">
      <c r="B396" s="20"/>
      <c r="C396" s="21"/>
      <c r="D396" s="22"/>
      <c r="E396" s="22"/>
      <c r="F396" s="22"/>
      <c r="G396" s="20"/>
      <c r="H396" s="23" t="str">
        <f t="shared" si="12"/>
        <v/>
      </c>
      <c r="I396" s="22"/>
      <c r="J396" s="22"/>
      <c r="K396" s="24"/>
      <c r="L396" s="22"/>
      <c r="M396" s="22"/>
      <c r="N396" s="20"/>
      <c r="O396" s="21"/>
      <c r="P396" s="25" t="str">
        <f>IF(B396="","",SUMIF('Linii ofertă'!$B$5:$B$1004,B396,'Linii ofertă'!$J$5:$J$1004))</f>
        <v/>
      </c>
      <c r="Q396" s="25" t="str">
        <f>IF(B396="","",SUMIF('Linii ofertă'!$B$5:$B$1004,B396,'Linii ofertă'!$M$5:$M$1004))</f>
        <v/>
      </c>
      <c r="R396" s="26" t="str">
        <f>IF(OR(B396="",N(P396)=0),"",SUMIF('Linii ofertă'!$B$5:$B$1004,B396,'Linii ofertă'!$P$5:$P$1004)/P396)</f>
        <v/>
      </c>
      <c r="S396" s="27" t="str">
        <f t="shared" ca="1" si="13"/>
        <v/>
      </c>
      <c r="T396" s="28" t="str">
        <f>IF(B396="","",TRIM(IF(COUNTIF($B$5:$B$504,B396)&gt;1,"Număr dublat. ","")&amp;IF(N(P396)=0,"Oferta nu are linii. ","")&amp;IF(M396="","Completează ce NU include oferta. ","")&amp;IF(AND(ISNUMBER(R396),R396&lt;MarjaMin),"Marjă totală sub minim. ","")&amp;IF(COUNTIFS('Linii ofertă'!$B$5:$B$1004,B396,'Linii ofertă'!$R$5:$R$1004,"Marjă*")&gt;0,"Are linii cu marjă sub minim. ","")&amp;IF(AND(S396="Expirată"),"Valabilitatea a expirat: reconfirmă prețurile. ","")))</f>
        <v/>
      </c>
    </row>
    <row r="397" spans="2:20" x14ac:dyDescent="0.2">
      <c r="B397" s="20"/>
      <c r="C397" s="21"/>
      <c r="D397" s="22"/>
      <c r="E397" s="22"/>
      <c r="F397" s="22"/>
      <c r="G397" s="20"/>
      <c r="H397" s="23" t="str">
        <f t="shared" si="12"/>
        <v/>
      </c>
      <c r="I397" s="22"/>
      <c r="J397" s="22"/>
      <c r="K397" s="24"/>
      <c r="L397" s="22"/>
      <c r="M397" s="22"/>
      <c r="N397" s="20"/>
      <c r="O397" s="21"/>
      <c r="P397" s="25" t="str">
        <f>IF(B397="","",SUMIF('Linii ofertă'!$B$5:$B$1004,B397,'Linii ofertă'!$J$5:$J$1004))</f>
        <v/>
      </c>
      <c r="Q397" s="25" t="str">
        <f>IF(B397="","",SUMIF('Linii ofertă'!$B$5:$B$1004,B397,'Linii ofertă'!$M$5:$M$1004))</f>
        <v/>
      </c>
      <c r="R397" s="26" t="str">
        <f>IF(OR(B397="",N(P397)=0),"",SUMIF('Linii ofertă'!$B$5:$B$1004,B397,'Linii ofertă'!$P$5:$P$1004)/P397)</f>
        <v/>
      </c>
      <c r="S397" s="27" t="str">
        <f t="shared" ca="1" si="13"/>
        <v/>
      </c>
      <c r="T397" s="28" t="str">
        <f>IF(B397="","",TRIM(IF(COUNTIF($B$5:$B$504,B397)&gt;1,"Număr dublat. ","")&amp;IF(N(P397)=0,"Oferta nu are linii. ","")&amp;IF(M397="","Completează ce NU include oferta. ","")&amp;IF(AND(ISNUMBER(R397),R397&lt;MarjaMin),"Marjă totală sub minim. ","")&amp;IF(COUNTIFS('Linii ofertă'!$B$5:$B$1004,B397,'Linii ofertă'!$R$5:$R$1004,"Marjă*")&gt;0,"Are linii cu marjă sub minim. ","")&amp;IF(AND(S397="Expirată"),"Valabilitatea a expirat: reconfirmă prețurile. ","")))</f>
        <v/>
      </c>
    </row>
    <row r="398" spans="2:20" x14ac:dyDescent="0.2">
      <c r="B398" s="20"/>
      <c r="C398" s="21"/>
      <c r="D398" s="22"/>
      <c r="E398" s="22"/>
      <c r="F398" s="22"/>
      <c r="G398" s="20"/>
      <c r="H398" s="23" t="str">
        <f t="shared" si="12"/>
        <v/>
      </c>
      <c r="I398" s="22"/>
      <c r="J398" s="22"/>
      <c r="K398" s="24"/>
      <c r="L398" s="22"/>
      <c r="M398" s="22"/>
      <c r="N398" s="20"/>
      <c r="O398" s="21"/>
      <c r="P398" s="25" t="str">
        <f>IF(B398="","",SUMIF('Linii ofertă'!$B$5:$B$1004,B398,'Linii ofertă'!$J$5:$J$1004))</f>
        <v/>
      </c>
      <c r="Q398" s="25" t="str">
        <f>IF(B398="","",SUMIF('Linii ofertă'!$B$5:$B$1004,B398,'Linii ofertă'!$M$5:$M$1004))</f>
        <v/>
      </c>
      <c r="R398" s="26" t="str">
        <f>IF(OR(B398="",N(P398)=0),"",SUMIF('Linii ofertă'!$B$5:$B$1004,B398,'Linii ofertă'!$P$5:$P$1004)/P398)</f>
        <v/>
      </c>
      <c r="S398" s="27" t="str">
        <f t="shared" ca="1" si="13"/>
        <v/>
      </c>
      <c r="T398" s="28" t="str">
        <f>IF(B398="","",TRIM(IF(COUNTIF($B$5:$B$504,B398)&gt;1,"Număr dublat. ","")&amp;IF(N(P398)=0,"Oferta nu are linii. ","")&amp;IF(M398="","Completează ce NU include oferta. ","")&amp;IF(AND(ISNUMBER(R398),R398&lt;MarjaMin),"Marjă totală sub minim. ","")&amp;IF(COUNTIFS('Linii ofertă'!$B$5:$B$1004,B398,'Linii ofertă'!$R$5:$R$1004,"Marjă*")&gt;0,"Are linii cu marjă sub minim. ","")&amp;IF(AND(S398="Expirată"),"Valabilitatea a expirat: reconfirmă prețurile. ","")))</f>
        <v/>
      </c>
    </row>
    <row r="399" spans="2:20" x14ac:dyDescent="0.2">
      <c r="B399" s="20"/>
      <c r="C399" s="21"/>
      <c r="D399" s="22"/>
      <c r="E399" s="22"/>
      <c r="F399" s="22"/>
      <c r="G399" s="20"/>
      <c r="H399" s="23" t="str">
        <f t="shared" si="12"/>
        <v/>
      </c>
      <c r="I399" s="22"/>
      <c r="J399" s="22"/>
      <c r="K399" s="24"/>
      <c r="L399" s="22"/>
      <c r="M399" s="22"/>
      <c r="N399" s="20"/>
      <c r="O399" s="21"/>
      <c r="P399" s="25" t="str">
        <f>IF(B399="","",SUMIF('Linii ofertă'!$B$5:$B$1004,B399,'Linii ofertă'!$J$5:$J$1004))</f>
        <v/>
      </c>
      <c r="Q399" s="25" t="str">
        <f>IF(B399="","",SUMIF('Linii ofertă'!$B$5:$B$1004,B399,'Linii ofertă'!$M$5:$M$1004))</f>
        <v/>
      </c>
      <c r="R399" s="26" t="str">
        <f>IF(OR(B399="",N(P399)=0),"",SUMIF('Linii ofertă'!$B$5:$B$1004,B399,'Linii ofertă'!$P$5:$P$1004)/P399)</f>
        <v/>
      </c>
      <c r="S399" s="27" t="str">
        <f t="shared" ca="1" si="13"/>
        <v/>
      </c>
      <c r="T399" s="28" t="str">
        <f>IF(B399="","",TRIM(IF(COUNTIF($B$5:$B$504,B399)&gt;1,"Număr dublat. ","")&amp;IF(N(P399)=0,"Oferta nu are linii. ","")&amp;IF(M399="","Completează ce NU include oferta. ","")&amp;IF(AND(ISNUMBER(R399),R399&lt;MarjaMin),"Marjă totală sub minim. ","")&amp;IF(COUNTIFS('Linii ofertă'!$B$5:$B$1004,B399,'Linii ofertă'!$R$5:$R$1004,"Marjă*")&gt;0,"Are linii cu marjă sub minim. ","")&amp;IF(AND(S399="Expirată"),"Valabilitatea a expirat: reconfirmă prețurile. ","")))</f>
        <v/>
      </c>
    </row>
    <row r="400" spans="2:20" x14ac:dyDescent="0.2">
      <c r="B400" s="20"/>
      <c r="C400" s="21"/>
      <c r="D400" s="22"/>
      <c r="E400" s="22"/>
      <c r="F400" s="22"/>
      <c r="G400" s="20"/>
      <c r="H400" s="23" t="str">
        <f t="shared" si="12"/>
        <v/>
      </c>
      <c r="I400" s="22"/>
      <c r="J400" s="22"/>
      <c r="K400" s="24"/>
      <c r="L400" s="22"/>
      <c r="M400" s="22"/>
      <c r="N400" s="20"/>
      <c r="O400" s="21"/>
      <c r="P400" s="25" t="str">
        <f>IF(B400="","",SUMIF('Linii ofertă'!$B$5:$B$1004,B400,'Linii ofertă'!$J$5:$J$1004))</f>
        <v/>
      </c>
      <c r="Q400" s="25" t="str">
        <f>IF(B400="","",SUMIF('Linii ofertă'!$B$5:$B$1004,B400,'Linii ofertă'!$M$5:$M$1004))</f>
        <v/>
      </c>
      <c r="R400" s="26" t="str">
        <f>IF(OR(B400="",N(P400)=0),"",SUMIF('Linii ofertă'!$B$5:$B$1004,B400,'Linii ofertă'!$P$5:$P$1004)/P400)</f>
        <v/>
      </c>
      <c r="S400" s="27" t="str">
        <f t="shared" ca="1" si="13"/>
        <v/>
      </c>
      <c r="T400" s="28" t="str">
        <f>IF(B400="","",TRIM(IF(COUNTIF($B$5:$B$504,B400)&gt;1,"Număr dublat. ","")&amp;IF(N(P400)=0,"Oferta nu are linii. ","")&amp;IF(M400="","Completează ce NU include oferta. ","")&amp;IF(AND(ISNUMBER(R400),R400&lt;MarjaMin),"Marjă totală sub minim. ","")&amp;IF(COUNTIFS('Linii ofertă'!$B$5:$B$1004,B400,'Linii ofertă'!$R$5:$R$1004,"Marjă*")&gt;0,"Are linii cu marjă sub minim. ","")&amp;IF(AND(S400="Expirată"),"Valabilitatea a expirat: reconfirmă prețurile. ","")))</f>
        <v/>
      </c>
    </row>
    <row r="401" spans="2:20" x14ac:dyDescent="0.2">
      <c r="B401" s="20"/>
      <c r="C401" s="21"/>
      <c r="D401" s="22"/>
      <c r="E401" s="22"/>
      <c r="F401" s="22"/>
      <c r="G401" s="20"/>
      <c r="H401" s="23" t="str">
        <f t="shared" si="12"/>
        <v/>
      </c>
      <c r="I401" s="22"/>
      <c r="J401" s="22"/>
      <c r="K401" s="24"/>
      <c r="L401" s="22"/>
      <c r="M401" s="22"/>
      <c r="N401" s="20"/>
      <c r="O401" s="21"/>
      <c r="P401" s="25" t="str">
        <f>IF(B401="","",SUMIF('Linii ofertă'!$B$5:$B$1004,B401,'Linii ofertă'!$J$5:$J$1004))</f>
        <v/>
      </c>
      <c r="Q401" s="25" t="str">
        <f>IF(B401="","",SUMIF('Linii ofertă'!$B$5:$B$1004,B401,'Linii ofertă'!$M$5:$M$1004))</f>
        <v/>
      </c>
      <c r="R401" s="26" t="str">
        <f>IF(OR(B401="",N(P401)=0),"",SUMIF('Linii ofertă'!$B$5:$B$1004,B401,'Linii ofertă'!$P$5:$P$1004)/P401)</f>
        <v/>
      </c>
      <c r="S401" s="27" t="str">
        <f t="shared" ca="1" si="13"/>
        <v/>
      </c>
      <c r="T401" s="28" t="str">
        <f>IF(B401="","",TRIM(IF(COUNTIF($B$5:$B$504,B401)&gt;1,"Număr dublat. ","")&amp;IF(N(P401)=0,"Oferta nu are linii. ","")&amp;IF(M401="","Completează ce NU include oferta. ","")&amp;IF(AND(ISNUMBER(R401),R401&lt;MarjaMin),"Marjă totală sub minim. ","")&amp;IF(COUNTIFS('Linii ofertă'!$B$5:$B$1004,B401,'Linii ofertă'!$R$5:$R$1004,"Marjă*")&gt;0,"Are linii cu marjă sub minim. ","")&amp;IF(AND(S401="Expirată"),"Valabilitatea a expirat: reconfirmă prețurile. ","")))</f>
        <v/>
      </c>
    </row>
    <row r="402" spans="2:20" x14ac:dyDescent="0.2">
      <c r="B402" s="20"/>
      <c r="C402" s="21"/>
      <c r="D402" s="22"/>
      <c r="E402" s="22"/>
      <c r="F402" s="22"/>
      <c r="G402" s="20"/>
      <c r="H402" s="23" t="str">
        <f t="shared" si="12"/>
        <v/>
      </c>
      <c r="I402" s="22"/>
      <c r="J402" s="22"/>
      <c r="K402" s="24"/>
      <c r="L402" s="22"/>
      <c r="M402" s="22"/>
      <c r="N402" s="20"/>
      <c r="O402" s="21"/>
      <c r="P402" s="25" t="str">
        <f>IF(B402="","",SUMIF('Linii ofertă'!$B$5:$B$1004,B402,'Linii ofertă'!$J$5:$J$1004))</f>
        <v/>
      </c>
      <c r="Q402" s="25" t="str">
        <f>IF(B402="","",SUMIF('Linii ofertă'!$B$5:$B$1004,B402,'Linii ofertă'!$M$5:$M$1004))</f>
        <v/>
      </c>
      <c r="R402" s="26" t="str">
        <f>IF(OR(B402="",N(P402)=0),"",SUMIF('Linii ofertă'!$B$5:$B$1004,B402,'Linii ofertă'!$P$5:$P$1004)/P402)</f>
        <v/>
      </c>
      <c r="S402" s="27" t="str">
        <f t="shared" ca="1" si="13"/>
        <v/>
      </c>
      <c r="T402" s="28" t="str">
        <f>IF(B402="","",TRIM(IF(COUNTIF($B$5:$B$504,B402)&gt;1,"Număr dublat. ","")&amp;IF(N(P402)=0,"Oferta nu are linii. ","")&amp;IF(M402="","Completează ce NU include oferta. ","")&amp;IF(AND(ISNUMBER(R402),R402&lt;MarjaMin),"Marjă totală sub minim. ","")&amp;IF(COUNTIFS('Linii ofertă'!$B$5:$B$1004,B402,'Linii ofertă'!$R$5:$R$1004,"Marjă*")&gt;0,"Are linii cu marjă sub minim. ","")&amp;IF(AND(S402="Expirată"),"Valabilitatea a expirat: reconfirmă prețurile. ","")))</f>
        <v/>
      </c>
    </row>
    <row r="403" spans="2:20" x14ac:dyDescent="0.2">
      <c r="B403" s="20"/>
      <c r="C403" s="21"/>
      <c r="D403" s="22"/>
      <c r="E403" s="22"/>
      <c r="F403" s="22"/>
      <c r="G403" s="20"/>
      <c r="H403" s="23" t="str">
        <f t="shared" si="12"/>
        <v/>
      </c>
      <c r="I403" s="22"/>
      <c r="J403" s="22"/>
      <c r="K403" s="24"/>
      <c r="L403" s="22"/>
      <c r="M403" s="22"/>
      <c r="N403" s="20"/>
      <c r="O403" s="21"/>
      <c r="P403" s="25" t="str">
        <f>IF(B403="","",SUMIF('Linii ofertă'!$B$5:$B$1004,B403,'Linii ofertă'!$J$5:$J$1004))</f>
        <v/>
      </c>
      <c r="Q403" s="25" t="str">
        <f>IF(B403="","",SUMIF('Linii ofertă'!$B$5:$B$1004,B403,'Linii ofertă'!$M$5:$M$1004))</f>
        <v/>
      </c>
      <c r="R403" s="26" t="str">
        <f>IF(OR(B403="",N(P403)=0),"",SUMIF('Linii ofertă'!$B$5:$B$1004,B403,'Linii ofertă'!$P$5:$P$1004)/P403)</f>
        <v/>
      </c>
      <c r="S403" s="27" t="str">
        <f t="shared" ca="1" si="13"/>
        <v/>
      </c>
      <c r="T403" s="28" t="str">
        <f>IF(B403="","",TRIM(IF(COUNTIF($B$5:$B$504,B403)&gt;1,"Număr dublat. ","")&amp;IF(N(P403)=0,"Oferta nu are linii. ","")&amp;IF(M403="","Completează ce NU include oferta. ","")&amp;IF(AND(ISNUMBER(R403),R403&lt;MarjaMin),"Marjă totală sub minim. ","")&amp;IF(COUNTIFS('Linii ofertă'!$B$5:$B$1004,B403,'Linii ofertă'!$R$5:$R$1004,"Marjă*")&gt;0,"Are linii cu marjă sub minim. ","")&amp;IF(AND(S403="Expirată"),"Valabilitatea a expirat: reconfirmă prețurile. ","")))</f>
        <v/>
      </c>
    </row>
    <row r="404" spans="2:20" x14ac:dyDescent="0.2">
      <c r="B404" s="20"/>
      <c r="C404" s="21"/>
      <c r="D404" s="22"/>
      <c r="E404" s="22"/>
      <c r="F404" s="22"/>
      <c r="G404" s="20"/>
      <c r="H404" s="23" t="str">
        <f t="shared" si="12"/>
        <v/>
      </c>
      <c r="I404" s="22"/>
      <c r="J404" s="22"/>
      <c r="K404" s="24"/>
      <c r="L404" s="22"/>
      <c r="M404" s="22"/>
      <c r="N404" s="20"/>
      <c r="O404" s="21"/>
      <c r="P404" s="25" t="str">
        <f>IF(B404="","",SUMIF('Linii ofertă'!$B$5:$B$1004,B404,'Linii ofertă'!$J$5:$J$1004))</f>
        <v/>
      </c>
      <c r="Q404" s="25" t="str">
        <f>IF(B404="","",SUMIF('Linii ofertă'!$B$5:$B$1004,B404,'Linii ofertă'!$M$5:$M$1004))</f>
        <v/>
      </c>
      <c r="R404" s="26" t="str">
        <f>IF(OR(B404="",N(P404)=0),"",SUMIF('Linii ofertă'!$B$5:$B$1004,B404,'Linii ofertă'!$P$5:$P$1004)/P404)</f>
        <v/>
      </c>
      <c r="S404" s="27" t="str">
        <f t="shared" ca="1" si="13"/>
        <v/>
      </c>
      <c r="T404" s="28" t="str">
        <f>IF(B404="","",TRIM(IF(COUNTIF($B$5:$B$504,B404)&gt;1,"Număr dublat. ","")&amp;IF(N(P404)=0,"Oferta nu are linii. ","")&amp;IF(M404="","Completează ce NU include oferta. ","")&amp;IF(AND(ISNUMBER(R404),R404&lt;MarjaMin),"Marjă totală sub minim. ","")&amp;IF(COUNTIFS('Linii ofertă'!$B$5:$B$1004,B404,'Linii ofertă'!$R$5:$R$1004,"Marjă*")&gt;0,"Are linii cu marjă sub minim. ","")&amp;IF(AND(S404="Expirată"),"Valabilitatea a expirat: reconfirmă prețurile. ","")))</f>
        <v/>
      </c>
    </row>
    <row r="405" spans="2:20" x14ac:dyDescent="0.2">
      <c r="B405" s="20"/>
      <c r="C405" s="21"/>
      <c r="D405" s="22"/>
      <c r="E405" s="22"/>
      <c r="F405" s="22"/>
      <c r="G405" s="20"/>
      <c r="H405" s="23" t="str">
        <f t="shared" si="12"/>
        <v/>
      </c>
      <c r="I405" s="22"/>
      <c r="J405" s="22"/>
      <c r="K405" s="24"/>
      <c r="L405" s="22"/>
      <c r="M405" s="22"/>
      <c r="N405" s="20"/>
      <c r="O405" s="21"/>
      <c r="P405" s="25" t="str">
        <f>IF(B405="","",SUMIF('Linii ofertă'!$B$5:$B$1004,B405,'Linii ofertă'!$J$5:$J$1004))</f>
        <v/>
      </c>
      <c r="Q405" s="25" t="str">
        <f>IF(B405="","",SUMIF('Linii ofertă'!$B$5:$B$1004,B405,'Linii ofertă'!$M$5:$M$1004))</f>
        <v/>
      </c>
      <c r="R405" s="26" t="str">
        <f>IF(OR(B405="",N(P405)=0),"",SUMIF('Linii ofertă'!$B$5:$B$1004,B405,'Linii ofertă'!$P$5:$P$1004)/P405)</f>
        <v/>
      </c>
      <c r="S405" s="27" t="str">
        <f t="shared" ca="1" si="13"/>
        <v/>
      </c>
      <c r="T405" s="28" t="str">
        <f>IF(B405="","",TRIM(IF(COUNTIF($B$5:$B$504,B405)&gt;1,"Număr dublat. ","")&amp;IF(N(P405)=0,"Oferta nu are linii. ","")&amp;IF(M405="","Completează ce NU include oferta. ","")&amp;IF(AND(ISNUMBER(R405),R405&lt;MarjaMin),"Marjă totală sub minim. ","")&amp;IF(COUNTIFS('Linii ofertă'!$B$5:$B$1004,B405,'Linii ofertă'!$R$5:$R$1004,"Marjă*")&gt;0,"Are linii cu marjă sub minim. ","")&amp;IF(AND(S405="Expirată"),"Valabilitatea a expirat: reconfirmă prețurile. ","")))</f>
        <v/>
      </c>
    </row>
    <row r="406" spans="2:20" x14ac:dyDescent="0.2">
      <c r="B406" s="20"/>
      <c r="C406" s="21"/>
      <c r="D406" s="22"/>
      <c r="E406" s="22"/>
      <c r="F406" s="22"/>
      <c r="G406" s="20"/>
      <c r="H406" s="23" t="str">
        <f t="shared" si="12"/>
        <v/>
      </c>
      <c r="I406" s="22"/>
      <c r="J406" s="22"/>
      <c r="K406" s="24"/>
      <c r="L406" s="22"/>
      <c r="M406" s="22"/>
      <c r="N406" s="20"/>
      <c r="O406" s="21"/>
      <c r="P406" s="25" t="str">
        <f>IF(B406="","",SUMIF('Linii ofertă'!$B$5:$B$1004,B406,'Linii ofertă'!$J$5:$J$1004))</f>
        <v/>
      </c>
      <c r="Q406" s="25" t="str">
        <f>IF(B406="","",SUMIF('Linii ofertă'!$B$5:$B$1004,B406,'Linii ofertă'!$M$5:$M$1004))</f>
        <v/>
      </c>
      <c r="R406" s="26" t="str">
        <f>IF(OR(B406="",N(P406)=0),"",SUMIF('Linii ofertă'!$B$5:$B$1004,B406,'Linii ofertă'!$P$5:$P$1004)/P406)</f>
        <v/>
      </c>
      <c r="S406" s="27" t="str">
        <f t="shared" ca="1" si="13"/>
        <v/>
      </c>
      <c r="T406" s="28" t="str">
        <f>IF(B406="","",TRIM(IF(COUNTIF($B$5:$B$504,B406)&gt;1,"Număr dublat. ","")&amp;IF(N(P406)=0,"Oferta nu are linii. ","")&amp;IF(M406="","Completează ce NU include oferta. ","")&amp;IF(AND(ISNUMBER(R406),R406&lt;MarjaMin),"Marjă totală sub minim. ","")&amp;IF(COUNTIFS('Linii ofertă'!$B$5:$B$1004,B406,'Linii ofertă'!$R$5:$R$1004,"Marjă*")&gt;0,"Are linii cu marjă sub minim. ","")&amp;IF(AND(S406="Expirată"),"Valabilitatea a expirat: reconfirmă prețurile. ","")))</f>
        <v/>
      </c>
    </row>
    <row r="407" spans="2:20" x14ac:dyDescent="0.2">
      <c r="B407" s="20"/>
      <c r="C407" s="21"/>
      <c r="D407" s="22"/>
      <c r="E407" s="22"/>
      <c r="F407" s="22"/>
      <c r="G407" s="20"/>
      <c r="H407" s="23" t="str">
        <f t="shared" si="12"/>
        <v/>
      </c>
      <c r="I407" s="22"/>
      <c r="J407" s="22"/>
      <c r="K407" s="24"/>
      <c r="L407" s="22"/>
      <c r="M407" s="22"/>
      <c r="N407" s="20"/>
      <c r="O407" s="21"/>
      <c r="P407" s="25" t="str">
        <f>IF(B407="","",SUMIF('Linii ofertă'!$B$5:$B$1004,B407,'Linii ofertă'!$J$5:$J$1004))</f>
        <v/>
      </c>
      <c r="Q407" s="25" t="str">
        <f>IF(B407="","",SUMIF('Linii ofertă'!$B$5:$B$1004,B407,'Linii ofertă'!$M$5:$M$1004))</f>
        <v/>
      </c>
      <c r="R407" s="26" t="str">
        <f>IF(OR(B407="",N(P407)=0),"",SUMIF('Linii ofertă'!$B$5:$B$1004,B407,'Linii ofertă'!$P$5:$P$1004)/P407)</f>
        <v/>
      </c>
      <c r="S407" s="27" t="str">
        <f t="shared" ca="1" si="13"/>
        <v/>
      </c>
      <c r="T407" s="28" t="str">
        <f>IF(B407="","",TRIM(IF(COUNTIF($B$5:$B$504,B407)&gt;1,"Număr dublat. ","")&amp;IF(N(P407)=0,"Oferta nu are linii. ","")&amp;IF(M407="","Completează ce NU include oferta. ","")&amp;IF(AND(ISNUMBER(R407),R407&lt;MarjaMin),"Marjă totală sub minim. ","")&amp;IF(COUNTIFS('Linii ofertă'!$B$5:$B$1004,B407,'Linii ofertă'!$R$5:$R$1004,"Marjă*")&gt;0,"Are linii cu marjă sub minim. ","")&amp;IF(AND(S407="Expirată"),"Valabilitatea a expirat: reconfirmă prețurile. ","")))</f>
        <v/>
      </c>
    </row>
    <row r="408" spans="2:20" x14ac:dyDescent="0.2">
      <c r="B408" s="20"/>
      <c r="C408" s="21"/>
      <c r="D408" s="22"/>
      <c r="E408" s="22"/>
      <c r="F408" s="22"/>
      <c r="G408" s="20"/>
      <c r="H408" s="23" t="str">
        <f t="shared" si="12"/>
        <v/>
      </c>
      <c r="I408" s="22"/>
      <c r="J408" s="22"/>
      <c r="K408" s="24"/>
      <c r="L408" s="22"/>
      <c r="M408" s="22"/>
      <c r="N408" s="20"/>
      <c r="O408" s="21"/>
      <c r="P408" s="25" t="str">
        <f>IF(B408="","",SUMIF('Linii ofertă'!$B$5:$B$1004,B408,'Linii ofertă'!$J$5:$J$1004))</f>
        <v/>
      </c>
      <c r="Q408" s="25" t="str">
        <f>IF(B408="","",SUMIF('Linii ofertă'!$B$5:$B$1004,B408,'Linii ofertă'!$M$5:$M$1004))</f>
        <v/>
      </c>
      <c r="R408" s="26" t="str">
        <f>IF(OR(B408="",N(P408)=0),"",SUMIF('Linii ofertă'!$B$5:$B$1004,B408,'Linii ofertă'!$P$5:$P$1004)/P408)</f>
        <v/>
      </c>
      <c r="S408" s="27" t="str">
        <f t="shared" ca="1" si="13"/>
        <v/>
      </c>
      <c r="T408" s="28" t="str">
        <f>IF(B408="","",TRIM(IF(COUNTIF($B$5:$B$504,B408)&gt;1,"Număr dublat. ","")&amp;IF(N(P408)=0,"Oferta nu are linii. ","")&amp;IF(M408="","Completează ce NU include oferta. ","")&amp;IF(AND(ISNUMBER(R408),R408&lt;MarjaMin),"Marjă totală sub minim. ","")&amp;IF(COUNTIFS('Linii ofertă'!$B$5:$B$1004,B408,'Linii ofertă'!$R$5:$R$1004,"Marjă*")&gt;0,"Are linii cu marjă sub minim. ","")&amp;IF(AND(S408="Expirată"),"Valabilitatea a expirat: reconfirmă prețurile. ","")))</f>
        <v/>
      </c>
    </row>
    <row r="409" spans="2:20" x14ac:dyDescent="0.2">
      <c r="B409" s="20"/>
      <c r="C409" s="21"/>
      <c r="D409" s="22"/>
      <c r="E409" s="22"/>
      <c r="F409" s="22"/>
      <c r="G409" s="20"/>
      <c r="H409" s="23" t="str">
        <f t="shared" si="12"/>
        <v/>
      </c>
      <c r="I409" s="22"/>
      <c r="J409" s="22"/>
      <c r="K409" s="24"/>
      <c r="L409" s="22"/>
      <c r="M409" s="22"/>
      <c r="N409" s="20"/>
      <c r="O409" s="21"/>
      <c r="P409" s="25" t="str">
        <f>IF(B409="","",SUMIF('Linii ofertă'!$B$5:$B$1004,B409,'Linii ofertă'!$J$5:$J$1004))</f>
        <v/>
      </c>
      <c r="Q409" s="25" t="str">
        <f>IF(B409="","",SUMIF('Linii ofertă'!$B$5:$B$1004,B409,'Linii ofertă'!$M$5:$M$1004))</f>
        <v/>
      </c>
      <c r="R409" s="26" t="str">
        <f>IF(OR(B409="",N(P409)=0),"",SUMIF('Linii ofertă'!$B$5:$B$1004,B409,'Linii ofertă'!$P$5:$P$1004)/P409)</f>
        <v/>
      </c>
      <c r="S409" s="27" t="str">
        <f t="shared" ca="1" si="13"/>
        <v/>
      </c>
      <c r="T409" s="28" t="str">
        <f>IF(B409="","",TRIM(IF(COUNTIF($B$5:$B$504,B409)&gt;1,"Număr dublat. ","")&amp;IF(N(P409)=0,"Oferta nu are linii. ","")&amp;IF(M409="","Completează ce NU include oferta. ","")&amp;IF(AND(ISNUMBER(R409),R409&lt;MarjaMin),"Marjă totală sub minim. ","")&amp;IF(COUNTIFS('Linii ofertă'!$B$5:$B$1004,B409,'Linii ofertă'!$R$5:$R$1004,"Marjă*")&gt;0,"Are linii cu marjă sub minim. ","")&amp;IF(AND(S409="Expirată"),"Valabilitatea a expirat: reconfirmă prețurile. ","")))</f>
        <v/>
      </c>
    </row>
    <row r="410" spans="2:20" x14ac:dyDescent="0.2">
      <c r="B410" s="20"/>
      <c r="C410" s="21"/>
      <c r="D410" s="22"/>
      <c r="E410" s="22"/>
      <c r="F410" s="22"/>
      <c r="G410" s="20"/>
      <c r="H410" s="23" t="str">
        <f t="shared" si="12"/>
        <v/>
      </c>
      <c r="I410" s="22"/>
      <c r="J410" s="22"/>
      <c r="K410" s="24"/>
      <c r="L410" s="22"/>
      <c r="M410" s="22"/>
      <c r="N410" s="20"/>
      <c r="O410" s="21"/>
      <c r="P410" s="25" t="str">
        <f>IF(B410="","",SUMIF('Linii ofertă'!$B$5:$B$1004,B410,'Linii ofertă'!$J$5:$J$1004))</f>
        <v/>
      </c>
      <c r="Q410" s="25" t="str">
        <f>IF(B410="","",SUMIF('Linii ofertă'!$B$5:$B$1004,B410,'Linii ofertă'!$M$5:$M$1004))</f>
        <v/>
      </c>
      <c r="R410" s="26" t="str">
        <f>IF(OR(B410="",N(P410)=0),"",SUMIF('Linii ofertă'!$B$5:$B$1004,B410,'Linii ofertă'!$P$5:$P$1004)/P410)</f>
        <v/>
      </c>
      <c r="S410" s="27" t="str">
        <f t="shared" ca="1" si="13"/>
        <v/>
      </c>
      <c r="T410" s="28" t="str">
        <f>IF(B410="","",TRIM(IF(COUNTIF($B$5:$B$504,B410)&gt;1,"Număr dublat. ","")&amp;IF(N(P410)=0,"Oferta nu are linii. ","")&amp;IF(M410="","Completează ce NU include oferta. ","")&amp;IF(AND(ISNUMBER(R410),R410&lt;MarjaMin),"Marjă totală sub minim. ","")&amp;IF(COUNTIFS('Linii ofertă'!$B$5:$B$1004,B410,'Linii ofertă'!$R$5:$R$1004,"Marjă*")&gt;0,"Are linii cu marjă sub minim. ","")&amp;IF(AND(S410="Expirată"),"Valabilitatea a expirat: reconfirmă prețurile. ","")))</f>
        <v/>
      </c>
    </row>
    <row r="411" spans="2:20" x14ac:dyDescent="0.2">
      <c r="B411" s="20"/>
      <c r="C411" s="21"/>
      <c r="D411" s="22"/>
      <c r="E411" s="22"/>
      <c r="F411" s="22"/>
      <c r="G411" s="20"/>
      <c r="H411" s="23" t="str">
        <f t="shared" si="12"/>
        <v/>
      </c>
      <c r="I411" s="22"/>
      <c r="J411" s="22"/>
      <c r="K411" s="24"/>
      <c r="L411" s="22"/>
      <c r="M411" s="22"/>
      <c r="N411" s="20"/>
      <c r="O411" s="21"/>
      <c r="P411" s="25" t="str">
        <f>IF(B411="","",SUMIF('Linii ofertă'!$B$5:$B$1004,B411,'Linii ofertă'!$J$5:$J$1004))</f>
        <v/>
      </c>
      <c r="Q411" s="25" t="str">
        <f>IF(B411="","",SUMIF('Linii ofertă'!$B$5:$B$1004,B411,'Linii ofertă'!$M$5:$M$1004))</f>
        <v/>
      </c>
      <c r="R411" s="26" t="str">
        <f>IF(OR(B411="",N(P411)=0),"",SUMIF('Linii ofertă'!$B$5:$B$1004,B411,'Linii ofertă'!$P$5:$P$1004)/P411)</f>
        <v/>
      </c>
      <c r="S411" s="27" t="str">
        <f t="shared" ca="1" si="13"/>
        <v/>
      </c>
      <c r="T411" s="28" t="str">
        <f>IF(B411="","",TRIM(IF(COUNTIF($B$5:$B$504,B411)&gt;1,"Număr dublat. ","")&amp;IF(N(P411)=0,"Oferta nu are linii. ","")&amp;IF(M411="","Completează ce NU include oferta. ","")&amp;IF(AND(ISNUMBER(R411),R411&lt;MarjaMin),"Marjă totală sub minim. ","")&amp;IF(COUNTIFS('Linii ofertă'!$B$5:$B$1004,B411,'Linii ofertă'!$R$5:$R$1004,"Marjă*")&gt;0,"Are linii cu marjă sub minim. ","")&amp;IF(AND(S411="Expirată"),"Valabilitatea a expirat: reconfirmă prețurile. ","")))</f>
        <v/>
      </c>
    </row>
    <row r="412" spans="2:20" x14ac:dyDescent="0.2">
      <c r="B412" s="20"/>
      <c r="C412" s="21"/>
      <c r="D412" s="22"/>
      <c r="E412" s="22"/>
      <c r="F412" s="22"/>
      <c r="G412" s="20"/>
      <c r="H412" s="23" t="str">
        <f t="shared" si="12"/>
        <v/>
      </c>
      <c r="I412" s="22"/>
      <c r="J412" s="22"/>
      <c r="K412" s="24"/>
      <c r="L412" s="22"/>
      <c r="M412" s="22"/>
      <c r="N412" s="20"/>
      <c r="O412" s="21"/>
      <c r="P412" s="25" t="str">
        <f>IF(B412="","",SUMIF('Linii ofertă'!$B$5:$B$1004,B412,'Linii ofertă'!$J$5:$J$1004))</f>
        <v/>
      </c>
      <c r="Q412" s="25" t="str">
        <f>IF(B412="","",SUMIF('Linii ofertă'!$B$5:$B$1004,B412,'Linii ofertă'!$M$5:$M$1004))</f>
        <v/>
      </c>
      <c r="R412" s="26" t="str">
        <f>IF(OR(B412="",N(P412)=0),"",SUMIF('Linii ofertă'!$B$5:$B$1004,B412,'Linii ofertă'!$P$5:$P$1004)/P412)</f>
        <v/>
      </c>
      <c r="S412" s="27" t="str">
        <f t="shared" ca="1" si="13"/>
        <v/>
      </c>
      <c r="T412" s="28" t="str">
        <f>IF(B412="","",TRIM(IF(COUNTIF($B$5:$B$504,B412)&gt;1,"Număr dublat. ","")&amp;IF(N(P412)=0,"Oferta nu are linii. ","")&amp;IF(M412="","Completează ce NU include oferta. ","")&amp;IF(AND(ISNUMBER(R412),R412&lt;MarjaMin),"Marjă totală sub minim. ","")&amp;IF(COUNTIFS('Linii ofertă'!$B$5:$B$1004,B412,'Linii ofertă'!$R$5:$R$1004,"Marjă*")&gt;0,"Are linii cu marjă sub minim. ","")&amp;IF(AND(S412="Expirată"),"Valabilitatea a expirat: reconfirmă prețurile. ","")))</f>
        <v/>
      </c>
    </row>
    <row r="413" spans="2:20" x14ac:dyDescent="0.2">
      <c r="B413" s="20"/>
      <c r="C413" s="21"/>
      <c r="D413" s="22"/>
      <c r="E413" s="22"/>
      <c r="F413" s="22"/>
      <c r="G413" s="20"/>
      <c r="H413" s="23" t="str">
        <f t="shared" si="12"/>
        <v/>
      </c>
      <c r="I413" s="22"/>
      <c r="J413" s="22"/>
      <c r="K413" s="24"/>
      <c r="L413" s="22"/>
      <c r="M413" s="22"/>
      <c r="N413" s="20"/>
      <c r="O413" s="21"/>
      <c r="P413" s="25" t="str">
        <f>IF(B413="","",SUMIF('Linii ofertă'!$B$5:$B$1004,B413,'Linii ofertă'!$J$5:$J$1004))</f>
        <v/>
      </c>
      <c r="Q413" s="25" t="str">
        <f>IF(B413="","",SUMIF('Linii ofertă'!$B$5:$B$1004,B413,'Linii ofertă'!$M$5:$M$1004))</f>
        <v/>
      </c>
      <c r="R413" s="26" t="str">
        <f>IF(OR(B413="",N(P413)=0),"",SUMIF('Linii ofertă'!$B$5:$B$1004,B413,'Linii ofertă'!$P$5:$P$1004)/P413)</f>
        <v/>
      </c>
      <c r="S413" s="27" t="str">
        <f t="shared" ca="1" si="13"/>
        <v/>
      </c>
      <c r="T413" s="28" t="str">
        <f>IF(B413="","",TRIM(IF(COUNTIF($B$5:$B$504,B413)&gt;1,"Număr dublat. ","")&amp;IF(N(P413)=0,"Oferta nu are linii. ","")&amp;IF(M413="","Completează ce NU include oferta. ","")&amp;IF(AND(ISNUMBER(R413),R413&lt;MarjaMin),"Marjă totală sub minim. ","")&amp;IF(COUNTIFS('Linii ofertă'!$B$5:$B$1004,B413,'Linii ofertă'!$R$5:$R$1004,"Marjă*")&gt;0,"Are linii cu marjă sub minim. ","")&amp;IF(AND(S413="Expirată"),"Valabilitatea a expirat: reconfirmă prețurile. ","")))</f>
        <v/>
      </c>
    </row>
    <row r="414" spans="2:20" x14ac:dyDescent="0.2">
      <c r="B414" s="20"/>
      <c r="C414" s="21"/>
      <c r="D414" s="22"/>
      <c r="E414" s="22"/>
      <c r="F414" s="22"/>
      <c r="G414" s="20"/>
      <c r="H414" s="23" t="str">
        <f t="shared" si="12"/>
        <v/>
      </c>
      <c r="I414" s="22"/>
      <c r="J414" s="22"/>
      <c r="K414" s="24"/>
      <c r="L414" s="22"/>
      <c r="M414" s="22"/>
      <c r="N414" s="20"/>
      <c r="O414" s="21"/>
      <c r="P414" s="25" t="str">
        <f>IF(B414="","",SUMIF('Linii ofertă'!$B$5:$B$1004,B414,'Linii ofertă'!$J$5:$J$1004))</f>
        <v/>
      </c>
      <c r="Q414" s="25" t="str">
        <f>IF(B414="","",SUMIF('Linii ofertă'!$B$5:$B$1004,B414,'Linii ofertă'!$M$5:$M$1004))</f>
        <v/>
      </c>
      <c r="R414" s="26" t="str">
        <f>IF(OR(B414="",N(P414)=0),"",SUMIF('Linii ofertă'!$B$5:$B$1004,B414,'Linii ofertă'!$P$5:$P$1004)/P414)</f>
        <v/>
      </c>
      <c r="S414" s="27" t="str">
        <f t="shared" ca="1" si="13"/>
        <v/>
      </c>
      <c r="T414" s="28" t="str">
        <f>IF(B414="","",TRIM(IF(COUNTIF($B$5:$B$504,B414)&gt;1,"Număr dublat. ","")&amp;IF(N(P414)=0,"Oferta nu are linii. ","")&amp;IF(M414="","Completează ce NU include oferta. ","")&amp;IF(AND(ISNUMBER(R414),R414&lt;MarjaMin),"Marjă totală sub minim. ","")&amp;IF(COUNTIFS('Linii ofertă'!$B$5:$B$1004,B414,'Linii ofertă'!$R$5:$R$1004,"Marjă*")&gt;0,"Are linii cu marjă sub minim. ","")&amp;IF(AND(S414="Expirată"),"Valabilitatea a expirat: reconfirmă prețurile. ","")))</f>
        <v/>
      </c>
    </row>
    <row r="415" spans="2:20" x14ac:dyDescent="0.2">
      <c r="B415" s="20"/>
      <c r="C415" s="21"/>
      <c r="D415" s="22"/>
      <c r="E415" s="22"/>
      <c r="F415" s="22"/>
      <c r="G415" s="20"/>
      <c r="H415" s="23" t="str">
        <f t="shared" si="12"/>
        <v/>
      </c>
      <c r="I415" s="22"/>
      <c r="J415" s="22"/>
      <c r="K415" s="24"/>
      <c r="L415" s="22"/>
      <c r="M415" s="22"/>
      <c r="N415" s="20"/>
      <c r="O415" s="21"/>
      <c r="P415" s="25" t="str">
        <f>IF(B415="","",SUMIF('Linii ofertă'!$B$5:$B$1004,B415,'Linii ofertă'!$J$5:$J$1004))</f>
        <v/>
      </c>
      <c r="Q415" s="25" t="str">
        <f>IF(B415="","",SUMIF('Linii ofertă'!$B$5:$B$1004,B415,'Linii ofertă'!$M$5:$M$1004))</f>
        <v/>
      </c>
      <c r="R415" s="26" t="str">
        <f>IF(OR(B415="",N(P415)=0),"",SUMIF('Linii ofertă'!$B$5:$B$1004,B415,'Linii ofertă'!$P$5:$P$1004)/P415)</f>
        <v/>
      </c>
      <c r="S415" s="27" t="str">
        <f t="shared" ca="1" si="13"/>
        <v/>
      </c>
      <c r="T415" s="28" t="str">
        <f>IF(B415="","",TRIM(IF(COUNTIF($B$5:$B$504,B415)&gt;1,"Număr dublat. ","")&amp;IF(N(P415)=0,"Oferta nu are linii. ","")&amp;IF(M415="","Completează ce NU include oferta. ","")&amp;IF(AND(ISNUMBER(R415),R415&lt;MarjaMin),"Marjă totală sub minim. ","")&amp;IF(COUNTIFS('Linii ofertă'!$B$5:$B$1004,B415,'Linii ofertă'!$R$5:$R$1004,"Marjă*")&gt;0,"Are linii cu marjă sub minim. ","")&amp;IF(AND(S415="Expirată"),"Valabilitatea a expirat: reconfirmă prețurile. ","")))</f>
        <v/>
      </c>
    </row>
    <row r="416" spans="2:20" x14ac:dyDescent="0.2">
      <c r="B416" s="20"/>
      <c r="C416" s="21"/>
      <c r="D416" s="22"/>
      <c r="E416" s="22"/>
      <c r="F416" s="22"/>
      <c r="G416" s="20"/>
      <c r="H416" s="23" t="str">
        <f t="shared" si="12"/>
        <v/>
      </c>
      <c r="I416" s="22"/>
      <c r="J416" s="22"/>
      <c r="K416" s="24"/>
      <c r="L416" s="22"/>
      <c r="M416" s="22"/>
      <c r="N416" s="20"/>
      <c r="O416" s="21"/>
      <c r="P416" s="25" t="str">
        <f>IF(B416="","",SUMIF('Linii ofertă'!$B$5:$B$1004,B416,'Linii ofertă'!$J$5:$J$1004))</f>
        <v/>
      </c>
      <c r="Q416" s="25" t="str">
        <f>IF(B416="","",SUMIF('Linii ofertă'!$B$5:$B$1004,B416,'Linii ofertă'!$M$5:$M$1004))</f>
        <v/>
      </c>
      <c r="R416" s="26" t="str">
        <f>IF(OR(B416="",N(P416)=0),"",SUMIF('Linii ofertă'!$B$5:$B$1004,B416,'Linii ofertă'!$P$5:$P$1004)/P416)</f>
        <v/>
      </c>
      <c r="S416" s="27" t="str">
        <f t="shared" ca="1" si="13"/>
        <v/>
      </c>
      <c r="T416" s="28" t="str">
        <f>IF(B416="","",TRIM(IF(COUNTIF($B$5:$B$504,B416)&gt;1,"Număr dublat. ","")&amp;IF(N(P416)=0,"Oferta nu are linii. ","")&amp;IF(M416="","Completează ce NU include oferta. ","")&amp;IF(AND(ISNUMBER(R416),R416&lt;MarjaMin),"Marjă totală sub minim. ","")&amp;IF(COUNTIFS('Linii ofertă'!$B$5:$B$1004,B416,'Linii ofertă'!$R$5:$R$1004,"Marjă*")&gt;0,"Are linii cu marjă sub minim. ","")&amp;IF(AND(S416="Expirată"),"Valabilitatea a expirat: reconfirmă prețurile. ","")))</f>
        <v/>
      </c>
    </row>
    <row r="417" spans="2:20" x14ac:dyDescent="0.2">
      <c r="B417" s="20"/>
      <c r="C417" s="21"/>
      <c r="D417" s="22"/>
      <c r="E417" s="22"/>
      <c r="F417" s="22"/>
      <c r="G417" s="20"/>
      <c r="H417" s="23" t="str">
        <f t="shared" si="12"/>
        <v/>
      </c>
      <c r="I417" s="22"/>
      <c r="J417" s="22"/>
      <c r="K417" s="24"/>
      <c r="L417" s="22"/>
      <c r="M417" s="22"/>
      <c r="N417" s="20"/>
      <c r="O417" s="21"/>
      <c r="P417" s="25" t="str">
        <f>IF(B417="","",SUMIF('Linii ofertă'!$B$5:$B$1004,B417,'Linii ofertă'!$J$5:$J$1004))</f>
        <v/>
      </c>
      <c r="Q417" s="25" t="str">
        <f>IF(B417="","",SUMIF('Linii ofertă'!$B$5:$B$1004,B417,'Linii ofertă'!$M$5:$M$1004))</f>
        <v/>
      </c>
      <c r="R417" s="26" t="str">
        <f>IF(OR(B417="",N(P417)=0),"",SUMIF('Linii ofertă'!$B$5:$B$1004,B417,'Linii ofertă'!$P$5:$P$1004)/P417)</f>
        <v/>
      </c>
      <c r="S417" s="27" t="str">
        <f t="shared" ca="1" si="13"/>
        <v/>
      </c>
      <c r="T417" s="28" t="str">
        <f>IF(B417="","",TRIM(IF(COUNTIF($B$5:$B$504,B417)&gt;1,"Număr dublat. ","")&amp;IF(N(P417)=0,"Oferta nu are linii. ","")&amp;IF(M417="","Completează ce NU include oferta. ","")&amp;IF(AND(ISNUMBER(R417),R417&lt;MarjaMin),"Marjă totală sub minim. ","")&amp;IF(COUNTIFS('Linii ofertă'!$B$5:$B$1004,B417,'Linii ofertă'!$R$5:$R$1004,"Marjă*")&gt;0,"Are linii cu marjă sub minim. ","")&amp;IF(AND(S417="Expirată"),"Valabilitatea a expirat: reconfirmă prețurile. ","")))</f>
        <v/>
      </c>
    </row>
    <row r="418" spans="2:20" x14ac:dyDescent="0.2">
      <c r="B418" s="20"/>
      <c r="C418" s="21"/>
      <c r="D418" s="22"/>
      <c r="E418" s="22"/>
      <c r="F418" s="22"/>
      <c r="G418" s="20"/>
      <c r="H418" s="23" t="str">
        <f t="shared" si="12"/>
        <v/>
      </c>
      <c r="I418" s="22"/>
      <c r="J418" s="22"/>
      <c r="K418" s="24"/>
      <c r="L418" s="22"/>
      <c r="M418" s="22"/>
      <c r="N418" s="20"/>
      <c r="O418" s="21"/>
      <c r="P418" s="25" t="str">
        <f>IF(B418="","",SUMIF('Linii ofertă'!$B$5:$B$1004,B418,'Linii ofertă'!$J$5:$J$1004))</f>
        <v/>
      </c>
      <c r="Q418" s="25" t="str">
        <f>IF(B418="","",SUMIF('Linii ofertă'!$B$5:$B$1004,B418,'Linii ofertă'!$M$5:$M$1004))</f>
        <v/>
      </c>
      <c r="R418" s="26" t="str">
        <f>IF(OR(B418="",N(P418)=0),"",SUMIF('Linii ofertă'!$B$5:$B$1004,B418,'Linii ofertă'!$P$5:$P$1004)/P418)</f>
        <v/>
      </c>
      <c r="S418" s="27" t="str">
        <f t="shared" ca="1" si="13"/>
        <v/>
      </c>
      <c r="T418" s="28" t="str">
        <f>IF(B418="","",TRIM(IF(COUNTIF($B$5:$B$504,B418)&gt;1,"Număr dublat. ","")&amp;IF(N(P418)=0,"Oferta nu are linii. ","")&amp;IF(M418="","Completează ce NU include oferta. ","")&amp;IF(AND(ISNUMBER(R418),R418&lt;MarjaMin),"Marjă totală sub minim. ","")&amp;IF(COUNTIFS('Linii ofertă'!$B$5:$B$1004,B418,'Linii ofertă'!$R$5:$R$1004,"Marjă*")&gt;0,"Are linii cu marjă sub minim. ","")&amp;IF(AND(S418="Expirată"),"Valabilitatea a expirat: reconfirmă prețurile. ","")))</f>
        <v/>
      </c>
    </row>
    <row r="419" spans="2:20" x14ac:dyDescent="0.2">
      <c r="B419" s="20"/>
      <c r="C419" s="21"/>
      <c r="D419" s="22"/>
      <c r="E419" s="22"/>
      <c r="F419" s="22"/>
      <c r="G419" s="20"/>
      <c r="H419" s="23" t="str">
        <f t="shared" si="12"/>
        <v/>
      </c>
      <c r="I419" s="22"/>
      <c r="J419" s="22"/>
      <c r="K419" s="24"/>
      <c r="L419" s="22"/>
      <c r="M419" s="22"/>
      <c r="N419" s="20"/>
      <c r="O419" s="21"/>
      <c r="P419" s="25" t="str">
        <f>IF(B419="","",SUMIF('Linii ofertă'!$B$5:$B$1004,B419,'Linii ofertă'!$J$5:$J$1004))</f>
        <v/>
      </c>
      <c r="Q419" s="25" t="str">
        <f>IF(B419="","",SUMIF('Linii ofertă'!$B$5:$B$1004,B419,'Linii ofertă'!$M$5:$M$1004))</f>
        <v/>
      </c>
      <c r="R419" s="26" t="str">
        <f>IF(OR(B419="",N(P419)=0),"",SUMIF('Linii ofertă'!$B$5:$B$1004,B419,'Linii ofertă'!$P$5:$P$1004)/P419)</f>
        <v/>
      </c>
      <c r="S419" s="27" t="str">
        <f t="shared" ca="1" si="13"/>
        <v/>
      </c>
      <c r="T419" s="28" t="str">
        <f>IF(B419="","",TRIM(IF(COUNTIF($B$5:$B$504,B419)&gt;1,"Număr dublat. ","")&amp;IF(N(P419)=0,"Oferta nu are linii. ","")&amp;IF(M419="","Completează ce NU include oferta. ","")&amp;IF(AND(ISNUMBER(R419),R419&lt;MarjaMin),"Marjă totală sub minim. ","")&amp;IF(COUNTIFS('Linii ofertă'!$B$5:$B$1004,B419,'Linii ofertă'!$R$5:$R$1004,"Marjă*")&gt;0,"Are linii cu marjă sub minim. ","")&amp;IF(AND(S419="Expirată"),"Valabilitatea a expirat: reconfirmă prețurile. ","")))</f>
        <v/>
      </c>
    </row>
    <row r="420" spans="2:20" x14ac:dyDescent="0.2">
      <c r="B420" s="20"/>
      <c r="C420" s="21"/>
      <c r="D420" s="22"/>
      <c r="E420" s="22"/>
      <c r="F420" s="22"/>
      <c r="G420" s="20"/>
      <c r="H420" s="23" t="str">
        <f t="shared" si="12"/>
        <v/>
      </c>
      <c r="I420" s="22"/>
      <c r="J420" s="22"/>
      <c r="K420" s="24"/>
      <c r="L420" s="22"/>
      <c r="M420" s="22"/>
      <c r="N420" s="20"/>
      <c r="O420" s="21"/>
      <c r="P420" s="25" t="str">
        <f>IF(B420="","",SUMIF('Linii ofertă'!$B$5:$B$1004,B420,'Linii ofertă'!$J$5:$J$1004))</f>
        <v/>
      </c>
      <c r="Q420" s="25" t="str">
        <f>IF(B420="","",SUMIF('Linii ofertă'!$B$5:$B$1004,B420,'Linii ofertă'!$M$5:$M$1004))</f>
        <v/>
      </c>
      <c r="R420" s="26" t="str">
        <f>IF(OR(B420="",N(P420)=0),"",SUMIF('Linii ofertă'!$B$5:$B$1004,B420,'Linii ofertă'!$P$5:$P$1004)/P420)</f>
        <v/>
      </c>
      <c r="S420" s="27" t="str">
        <f t="shared" ca="1" si="13"/>
        <v/>
      </c>
      <c r="T420" s="28" t="str">
        <f>IF(B420="","",TRIM(IF(COUNTIF($B$5:$B$504,B420)&gt;1,"Număr dublat. ","")&amp;IF(N(P420)=0,"Oferta nu are linii. ","")&amp;IF(M420="","Completează ce NU include oferta. ","")&amp;IF(AND(ISNUMBER(R420),R420&lt;MarjaMin),"Marjă totală sub minim. ","")&amp;IF(COUNTIFS('Linii ofertă'!$B$5:$B$1004,B420,'Linii ofertă'!$R$5:$R$1004,"Marjă*")&gt;0,"Are linii cu marjă sub minim. ","")&amp;IF(AND(S420="Expirată"),"Valabilitatea a expirat: reconfirmă prețurile. ","")))</f>
        <v/>
      </c>
    </row>
    <row r="421" spans="2:20" x14ac:dyDescent="0.2">
      <c r="B421" s="20"/>
      <c r="C421" s="21"/>
      <c r="D421" s="22"/>
      <c r="E421" s="22"/>
      <c r="F421" s="22"/>
      <c r="G421" s="20"/>
      <c r="H421" s="23" t="str">
        <f t="shared" si="12"/>
        <v/>
      </c>
      <c r="I421" s="22"/>
      <c r="J421" s="22"/>
      <c r="K421" s="24"/>
      <c r="L421" s="22"/>
      <c r="M421" s="22"/>
      <c r="N421" s="20"/>
      <c r="O421" s="21"/>
      <c r="P421" s="25" t="str">
        <f>IF(B421="","",SUMIF('Linii ofertă'!$B$5:$B$1004,B421,'Linii ofertă'!$J$5:$J$1004))</f>
        <v/>
      </c>
      <c r="Q421" s="25" t="str">
        <f>IF(B421="","",SUMIF('Linii ofertă'!$B$5:$B$1004,B421,'Linii ofertă'!$M$5:$M$1004))</f>
        <v/>
      </c>
      <c r="R421" s="26" t="str">
        <f>IF(OR(B421="",N(P421)=0),"",SUMIF('Linii ofertă'!$B$5:$B$1004,B421,'Linii ofertă'!$P$5:$P$1004)/P421)</f>
        <v/>
      </c>
      <c r="S421" s="27" t="str">
        <f t="shared" ca="1" si="13"/>
        <v/>
      </c>
      <c r="T421" s="28" t="str">
        <f>IF(B421="","",TRIM(IF(COUNTIF($B$5:$B$504,B421)&gt;1,"Număr dublat. ","")&amp;IF(N(P421)=0,"Oferta nu are linii. ","")&amp;IF(M421="","Completează ce NU include oferta. ","")&amp;IF(AND(ISNUMBER(R421),R421&lt;MarjaMin),"Marjă totală sub minim. ","")&amp;IF(COUNTIFS('Linii ofertă'!$B$5:$B$1004,B421,'Linii ofertă'!$R$5:$R$1004,"Marjă*")&gt;0,"Are linii cu marjă sub minim. ","")&amp;IF(AND(S421="Expirată"),"Valabilitatea a expirat: reconfirmă prețurile. ","")))</f>
        <v/>
      </c>
    </row>
    <row r="422" spans="2:20" x14ac:dyDescent="0.2">
      <c r="B422" s="20"/>
      <c r="C422" s="21"/>
      <c r="D422" s="22"/>
      <c r="E422" s="22"/>
      <c r="F422" s="22"/>
      <c r="G422" s="20"/>
      <c r="H422" s="23" t="str">
        <f t="shared" si="12"/>
        <v/>
      </c>
      <c r="I422" s="22"/>
      <c r="J422" s="22"/>
      <c r="K422" s="24"/>
      <c r="L422" s="22"/>
      <c r="M422" s="22"/>
      <c r="N422" s="20"/>
      <c r="O422" s="21"/>
      <c r="P422" s="25" t="str">
        <f>IF(B422="","",SUMIF('Linii ofertă'!$B$5:$B$1004,B422,'Linii ofertă'!$J$5:$J$1004))</f>
        <v/>
      </c>
      <c r="Q422" s="25" t="str">
        <f>IF(B422="","",SUMIF('Linii ofertă'!$B$5:$B$1004,B422,'Linii ofertă'!$M$5:$M$1004))</f>
        <v/>
      </c>
      <c r="R422" s="26" t="str">
        <f>IF(OR(B422="",N(P422)=0),"",SUMIF('Linii ofertă'!$B$5:$B$1004,B422,'Linii ofertă'!$P$5:$P$1004)/P422)</f>
        <v/>
      </c>
      <c r="S422" s="27" t="str">
        <f t="shared" ca="1" si="13"/>
        <v/>
      </c>
      <c r="T422" s="28" t="str">
        <f>IF(B422="","",TRIM(IF(COUNTIF($B$5:$B$504,B422)&gt;1,"Număr dublat. ","")&amp;IF(N(P422)=0,"Oferta nu are linii. ","")&amp;IF(M422="","Completează ce NU include oferta. ","")&amp;IF(AND(ISNUMBER(R422),R422&lt;MarjaMin),"Marjă totală sub minim. ","")&amp;IF(COUNTIFS('Linii ofertă'!$B$5:$B$1004,B422,'Linii ofertă'!$R$5:$R$1004,"Marjă*")&gt;0,"Are linii cu marjă sub minim. ","")&amp;IF(AND(S422="Expirată"),"Valabilitatea a expirat: reconfirmă prețurile. ","")))</f>
        <v/>
      </c>
    </row>
    <row r="423" spans="2:20" x14ac:dyDescent="0.2">
      <c r="B423" s="20"/>
      <c r="C423" s="21"/>
      <c r="D423" s="22"/>
      <c r="E423" s="22"/>
      <c r="F423" s="22"/>
      <c r="G423" s="20"/>
      <c r="H423" s="23" t="str">
        <f t="shared" si="12"/>
        <v/>
      </c>
      <c r="I423" s="22"/>
      <c r="J423" s="22"/>
      <c r="K423" s="24"/>
      <c r="L423" s="22"/>
      <c r="M423" s="22"/>
      <c r="N423" s="20"/>
      <c r="O423" s="21"/>
      <c r="P423" s="25" t="str">
        <f>IF(B423="","",SUMIF('Linii ofertă'!$B$5:$B$1004,B423,'Linii ofertă'!$J$5:$J$1004))</f>
        <v/>
      </c>
      <c r="Q423" s="25" t="str">
        <f>IF(B423="","",SUMIF('Linii ofertă'!$B$5:$B$1004,B423,'Linii ofertă'!$M$5:$M$1004))</f>
        <v/>
      </c>
      <c r="R423" s="26" t="str">
        <f>IF(OR(B423="",N(P423)=0),"",SUMIF('Linii ofertă'!$B$5:$B$1004,B423,'Linii ofertă'!$P$5:$P$1004)/P423)</f>
        <v/>
      </c>
      <c r="S423" s="27" t="str">
        <f t="shared" ca="1" si="13"/>
        <v/>
      </c>
      <c r="T423" s="28" t="str">
        <f>IF(B423="","",TRIM(IF(COUNTIF($B$5:$B$504,B423)&gt;1,"Număr dublat. ","")&amp;IF(N(P423)=0,"Oferta nu are linii. ","")&amp;IF(M423="","Completează ce NU include oferta. ","")&amp;IF(AND(ISNUMBER(R423),R423&lt;MarjaMin),"Marjă totală sub minim. ","")&amp;IF(COUNTIFS('Linii ofertă'!$B$5:$B$1004,B423,'Linii ofertă'!$R$5:$R$1004,"Marjă*")&gt;0,"Are linii cu marjă sub minim. ","")&amp;IF(AND(S423="Expirată"),"Valabilitatea a expirat: reconfirmă prețurile. ","")))</f>
        <v/>
      </c>
    </row>
    <row r="424" spans="2:20" x14ac:dyDescent="0.2">
      <c r="B424" s="20"/>
      <c r="C424" s="21"/>
      <c r="D424" s="22"/>
      <c r="E424" s="22"/>
      <c r="F424" s="22"/>
      <c r="G424" s="20"/>
      <c r="H424" s="23" t="str">
        <f t="shared" si="12"/>
        <v/>
      </c>
      <c r="I424" s="22"/>
      <c r="J424" s="22"/>
      <c r="K424" s="24"/>
      <c r="L424" s="22"/>
      <c r="M424" s="22"/>
      <c r="N424" s="20"/>
      <c r="O424" s="21"/>
      <c r="P424" s="25" t="str">
        <f>IF(B424="","",SUMIF('Linii ofertă'!$B$5:$B$1004,B424,'Linii ofertă'!$J$5:$J$1004))</f>
        <v/>
      </c>
      <c r="Q424" s="25" t="str">
        <f>IF(B424="","",SUMIF('Linii ofertă'!$B$5:$B$1004,B424,'Linii ofertă'!$M$5:$M$1004))</f>
        <v/>
      </c>
      <c r="R424" s="26" t="str">
        <f>IF(OR(B424="",N(P424)=0),"",SUMIF('Linii ofertă'!$B$5:$B$1004,B424,'Linii ofertă'!$P$5:$P$1004)/P424)</f>
        <v/>
      </c>
      <c r="S424" s="27" t="str">
        <f t="shared" ca="1" si="13"/>
        <v/>
      </c>
      <c r="T424" s="28" t="str">
        <f>IF(B424="","",TRIM(IF(COUNTIF($B$5:$B$504,B424)&gt;1,"Număr dublat. ","")&amp;IF(N(P424)=0,"Oferta nu are linii. ","")&amp;IF(M424="","Completează ce NU include oferta. ","")&amp;IF(AND(ISNUMBER(R424),R424&lt;MarjaMin),"Marjă totală sub minim. ","")&amp;IF(COUNTIFS('Linii ofertă'!$B$5:$B$1004,B424,'Linii ofertă'!$R$5:$R$1004,"Marjă*")&gt;0,"Are linii cu marjă sub minim. ","")&amp;IF(AND(S424="Expirată"),"Valabilitatea a expirat: reconfirmă prețurile. ","")))</f>
        <v/>
      </c>
    </row>
    <row r="425" spans="2:20" x14ac:dyDescent="0.2">
      <c r="B425" s="20"/>
      <c r="C425" s="21"/>
      <c r="D425" s="22"/>
      <c r="E425" s="22"/>
      <c r="F425" s="22"/>
      <c r="G425" s="20"/>
      <c r="H425" s="23" t="str">
        <f t="shared" si="12"/>
        <v/>
      </c>
      <c r="I425" s="22"/>
      <c r="J425" s="22"/>
      <c r="K425" s="24"/>
      <c r="L425" s="22"/>
      <c r="M425" s="22"/>
      <c r="N425" s="20"/>
      <c r="O425" s="21"/>
      <c r="P425" s="25" t="str">
        <f>IF(B425="","",SUMIF('Linii ofertă'!$B$5:$B$1004,B425,'Linii ofertă'!$J$5:$J$1004))</f>
        <v/>
      </c>
      <c r="Q425" s="25" t="str">
        <f>IF(B425="","",SUMIF('Linii ofertă'!$B$5:$B$1004,B425,'Linii ofertă'!$M$5:$M$1004))</f>
        <v/>
      </c>
      <c r="R425" s="26" t="str">
        <f>IF(OR(B425="",N(P425)=0),"",SUMIF('Linii ofertă'!$B$5:$B$1004,B425,'Linii ofertă'!$P$5:$P$1004)/P425)</f>
        <v/>
      </c>
      <c r="S425" s="27" t="str">
        <f t="shared" ca="1" si="13"/>
        <v/>
      </c>
      <c r="T425" s="28" t="str">
        <f>IF(B425="","",TRIM(IF(COUNTIF($B$5:$B$504,B425)&gt;1,"Număr dublat. ","")&amp;IF(N(P425)=0,"Oferta nu are linii. ","")&amp;IF(M425="","Completează ce NU include oferta. ","")&amp;IF(AND(ISNUMBER(R425),R425&lt;MarjaMin),"Marjă totală sub minim. ","")&amp;IF(COUNTIFS('Linii ofertă'!$B$5:$B$1004,B425,'Linii ofertă'!$R$5:$R$1004,"Marjă*")&gt;0,"Are linii cu marjă sub minim. ","")&amp;IF(AND(S425="Expirată"),"Valabilitatea a expirat: reconfirmă prețurile. ","")))</f>
        <v/>
      </c>
    </row>
    <row r="426" spans="2:20" x14ac:dyDescent="0.2">
      <c r="B426" s="20"/>
      <c r="C426" s="21"/>
      <c r="D426" s="22"/>
      <c r="E426" s="22"/>
      <c r="F426" s="22"/>
      <c r="G426" s="20"/>
      <c r="H426" s="23" t="str">
        <f t="shared" si="12"/>
        <v/>
      </c>
      <c r="I426" s="22"/>
      <c r="J426" s="22"/>
      <c r="K426" s="24"/>
      <c r="L426" s="22"/>
      <c r="M426" s="22"/>
      <c r="N426" s="20"/>
      <c r="O426" s="21"/>
      <c r="P426" s="25" t="str">
        <f>IF(B426="","",SUMIF('Linii ofertă'!$B$5:$B$1004,B426,'Linii ofertă'!$J$5:$J$1004))</f>
        <v/>
      </c>
      <c r="Q426" s="25" t="str">
        <f>IF(B426="","",SUMIF('Linii ofertă'!$B$5:$B$1004,B426,'Linii ofertă'!$M$5:$M$1004))</f>
        <v/>
      </c>
      <c r="R426" s="26" t="str">
        <f>IF(OR(B426="",N(P426)=0),"",SUMIF('Linii ofertă'!$B$5:$B$1004,B426,'Linii ofertă'!$P$5:$P$1004)/P426)</f>
        <v/>
      </c>
      <c r="S426" s="27" t="str">
        <f t="shared" ca="1" si="13"/>
        <v/>
      </c>
      <c r="T426" s="28" t="str">
        <f>IF(B426="","",TRIM(IF(COUNTIF($B$5:$B$504,B426)&gt;1,"Număr dublat. ","")&amp;IF(N(P426)=0,"Oferta nu are linii. ","")&amp;IF(M426="","Completează ce NU include oferta. ","")&amp;IF(AND(ISNUMBER(R426),R426&lt;MarjaMin),"Marjă totală sub minim. ","")&amp;IF(COUNTIFS('Linii ofertă'!$B$5:$B$1004,B426,'Linii ofertă'!$R$5:$R$1004,"Marjă*")&gt;0,"Are linii cu marjă sub minim. ","")&amp;IF(AND(S426="Expirată"),"Valabilitatea a expirat: reconfirmă prețurile. ","")))</f>
        <v/>
      </c>
    </row>
    <row r="427" spans="2:20" x14ac:dyDescent="0.2">
      <c r="B427" s="20"/>
      <c r="C427" s="21"/>
      <c r="D427" s="22"/>
      <c r="E427" s="22"/>
      <c r="F427" s="22"/>
      <c r="G427" s="20"/>
      <c r="H427" s="23" t="str">
        <f t="shared" si="12"/>
        <v/>
      </c>
      <c r="I427" s="22"/>
      <c r="J427" s="22"/>
      <c r="K427" s="24"/>
      <c r="L427" s="22"/>
      <c r="M427" s="22"/>
      <c r="N427" s="20"/>
      <c r="O427" s="21"/>
      <c r="P427" s="25" t="str">
        <f>IF(B427="","",SUMIF('Linii ofertă'!$B$5:$B$1004,B427,'Linii ofertă'!$J$5:$J$1004))</f>
        <v/>
      </c>
      <c r="Q427" s="25" t="str">
        <f>IF(B427="","",SUMIF('Linii ofertă'!$B$5:$B$1004,B427,'Linii ofertă'!$M$5:$M$1004))</f>
        <v/>
      </c>
      <c r="R427" s="26" t="str">
        <f>IF(OR(B427="",N(P427)=0),"",SUMIF('Linii ofertă'!$B$5:$B$1004,B427,'Linii ofertă'!$P$5:$P$1004)/P427)</f>
        <v/>
      </c>
      <c r="S427" s="27" t="str">
        <f t="shared" ca="1" si="13"/>
        <v/>
      </c>
      <c r="T427" s="28" t="str">
        <f>IF(B427="","",TRIM(IF(COUNTIF($B$5:$B$504,B427)&gt;1,"Număr dublat. ","")&amp;IF(N(P427)=0,"Oferta nu are linii. ","")&amp;IF(M427="","Completează ce NU include oferta. ","")&amp;IF(AND(ISNUMBER(R427),R427&lt;MarjaMin),"Marjă totală sub minim. ","")&amp;IF(COUNTIFS('Linii ofertă'!$B$5:$B$1004,B427,'Linii ofertă'!$R$5:$R$1004,"Marjă*")&gt;0,"Are linii cu marjă sub minim. ","")&amp;IF(AND(S427="Expirată"),"Valabilitatea a expirat: reconfirmă prețurile. ","")))</f>
        <v/>
      </c>
    </row>
    <row r="428" spans="2:20" x14ac:dyDescent="0.2">
      <c r="B428" s="20"/>
      <c r="C428" s="21"/>
      <c r="D428" s="22"/>
      <c r="E428" s="22"/>
      <c r="F428" s="22"/>
      <c r="G428" s="20"/>
      <c r="H428" s="23" t="str">
        <f t="shared" si="12"/>
        <v/>
      </c>
      <c r="I428" s="22"/>
      <c r="J428" s="22"/>
      <c r="K428" s="24"/>
      <c r="L428" s="22"/>
      <c r="M428" s="22"/>
      <c r="N428" s="20"/>
      <c r="O428" s="21"/>
      <c r="P428" s="25" t="str">
        <f>IF(B428="","",SUMIF('Linii ofertă'!$B$5:$B$1004,B428,'Linii ofertă'!$J$5:$J$1004))</f>
        <v/>
      </c>
      <c r="Q428" s="25" t="str">
        <f>IF(B428="","",SUMIF('Linii ofertă'!$B$5:$B$1004,B428,'Linii ofertă'!$M$5:$M$1004))</f>
        <v/>
      </c>
      <c r="R428" s="26" t="str">
        <f>IF(OR(B428="",N(P428)=0),"",SUMIF('Linii ofertă'!$B$5:$B$1004,B428,'Linii ofertă'!$P$5:$P$1004)/P428)</f>
        <v/>
      </c>
      <c r="S428" s="27" t="str">
        <f t="shared" ca="1" si="13"/>
        <v/>
      </c>
      <c r="T428" s="28" t="str">
        <f>IF(B428="","",TRIM(IF(COUNTIF($B$5:$B$504,B428)&gt;1,"Număr dublat. ","")&amp;IF(N(P428)=0,"Oferta nu are linii. ","")&amp;IF(M428="","Completează ce NU include oferta. ","")&amp;IF(AND(ISNUMBER(R428),R428&lt;MarjaMin),"Marjă totală sub minim. ","")&amp;IF(COUNTIFS('Linii ofertă'!$B$5:$B$1004,B428,'Linii ofertă'!$R$5:$R$1004,"Marjă*")&gt;0,"Are linii cu marjă sub minim. ","")&amp;IF(AND(S428="Expirată"),"Valabilitatea a expirat: reconfirmă prețurile. ","")))</f>
        <v/>
      </c>
    </row>
    <row r="429" spans="2:20" x14ac:dyDescent="0.2">
      <c r="B429" s="20"/>
      <c r="C429" s="21"/>
      <c r="D429" s="22"/>
      <c r="E429" s="22"/>
      <c r="F429" s="22"/>
      <c r="G429" s="20"/>
      <c r="H429" s="23" t="str">
        <f t="shared" si="12"/>
        <v/>
      </c>
      <c r="I429" s="22"/>
      <c r="J429" s="22"/>
      <c r="K429" s="24"/>
      <c r="L429" s="22"/>
      <c r="M429" s="22"/>
      <c r="N429" s="20"/>
      <c r="O429" s="21"/>
      <c r="P429" s="25" t="str">
        <f>IF(B429="","",SUMIF('Linii ofertă'!$B$5:$B$1004,B429,'Linii ofertă'!$J$5:$J$1004))</f>
        <v/>
      </c>
      <c r="Q429" s="25" t="str">
        <f>IF(B429="","",SUMIF('Linii ofertă'!$B$5:$B$1004,B429,'Linii ofertă'!$M$5:$M$1004))</f>
        <v/>
      </c>
      <c r="R429" s="26" t="str">
        <f>IF(OR(B429="",N(P429)=0),"",SUMIF('Linii ofertă'!$B$5:$B$1004,B429,'Linii ofertă'!$P$5:$P$1004)/P429)</f>
        <v/>
      </c>
      <c r="S429" s="27" t="str">
        <f t="shared" ca="1" si="13"/>
        <v/>
      </c>
      <c r="T429" s="28" t="str">
        <f>IF(B429="","",TRIM(IF(COUNTIF($B$5:$B$504,B429)&gt;1,"Număr dublat. ","")&amp;IF(N(P429)=0,"Oferta nu are linii. ","")&amp;IF(M429="","Completează ce NU include oferta. ","")&amp;IF(AND(ISNUMBER(R429),R429&lt;MarjaMin),"Marjă totală sub minim. ","")&amp;IF(COUNTIFS('Linii ofertă'!$B$5:$B$1004,B429,'Linii ofertă'!$R$5:$R$1004,"Marjă*")&gt;0,"Are linii cu marjă sub minim. ","")&amp;IF(AND(S429="Expirată"),"Valabilitatea a expirat: reconfirmă prețurile. ","")))</f>
        <v/>
      </c>
    </row>
    <row r="430" spans="2:20" x14ac:dyDescent="0.2">
      <c r="B430" s="20"/>
      <c r="C430" s="21"/>
      <c r="D430" s="22"/>
      <c r="E430" s="22"/>
      <c r="F430" s="22"/>
      <c r="G430" s="20"/>
      <c r="H430" s="23" t="str">
        <f t="shared" si="12"/>
        <v/>
      </c>
      <c r="I430" s="22"/>
      <c r="J430" s="22"/>
      <c r="K430" s="24"/>
      <c r="L430" s="22"/>
      <c r="M430" s="22"/>
      <c r="N430" s="20"/>
      <c r="O430" s="21"/>
      <c r="P430" s="25" t="str">
        <f>IF(B430="","",SUMIF('Linii ofertă'!$B$5:$B$1004,B430,'Linii ofertă'!$J$5:$J$1004))</f>
        <v/>
      </c>
      <c r="Q430" s="25" t="str">
        <f>IF(B430="","",SUMIF('Linii ofertă'!$B$5:$B$1004,B430,'Linii ofertă'!$M$5:$M$1004))</f>
        <v/>
      </c>
      <c r="R430" s="26" t="str">
        <f>IF(OR(B430="",N(P430)=0),"",SUMIF('Linii ofertă'!$B$5:$B$1004,B430,'Linii ofertă'!$P$5:$P$1004)/P430)</f>
        <v/>
      </c>
      <c r="S430" s="27" t="str">
        <f t="shared" ca="1" si="13"/>
        <v/>
      </c>
      <c r="T430" s="28" t="str">
        <f>IF(B430="","",TRIM(IF(COUNTIF($B$5:$B$504,B430)&gt;1,"Număr dublat. ","")&amp;IF(N(P430)=0,"Oferta nu are linii. ","")&amp;IF(M430="","Completează ce NU include oferta. ","")&amp;IF(AND(ISNUMBER(R430),R430&lt;MarjaMin),"Marjă totală sub minim. ","")&amp;IF(COUNTIFS('Linii ofertă'!$B$5:$B$1004,B430,'Linii ofertă'!$R$5:$R$1004,"Marjă*")&gt;0,"Are linii cu marjă sub minim. ","")&amp;IF(AND(S430="Expirată"),"Valabilitatea a expirat: reconfirmă prețurile. ","")))</f>
        <v/>
      </c>
    </row>
    <row r="431" spans="2:20" x14ac:dyDescent="0.2">
      <c r="B431" s="20"/>
      <c r="C431" s="21"/>
      <c r="D431" s="22"/>
      <c r="E431" s="22"/>
      <c r="F431" s="22"/>
      <c r="G431" s="20"/>
      <c r="H431" s="23" t="str">
        <f t="shared" si="12"/>
        <v/>
      </c>
      <c r="I431" s="22"/>
      <c r="J431" s="22"/>
      <c r="K431" s="24"/>
      <c r="L431" s="22"/>
      <c r="M431" s="22"/>
      <c r="N431" s="20"/>
      <c r="O431" s="21"/>
      <c r="P431" s="25" t="str">
        <f>IF(B431="","",SUMIF('Linii ofertă'!$B$5:$B$1004,B431,'Linii ofertă'!$J$5:$J$1004))</f>
        <v/>
      </c>
      <c r="Q431" s="25" t="str">
        <f>IF(B431="","",SUMIF('Linii ofertă'!$B$5:$B$1004,B431,'Linii ofertă'!$M$5:$M$1004))</f>
        <v/>
      </c>
      <c r="R431" s="26" t="str">
        <f>IF(OR(B431="",N(P431)=0),"",SUMIF('Linii ofertă'!$B$5:$B$1004,B431,'Linii ofertă'!$P$5:$P$1004)/P431)</f>
        <v/>
      </c>
      <c r="S431" s="27" t="str">
        <f t="shared" ca="1" si="13"/>
        <v/>
      </c>
      <c r="T431" s="28" t="str">
        <f>IF(B431="","",TRIM(IF(COUNTIF($B$5:$B$504,B431)&gt;1,"Număr dublat. ","")&amp;IF(N(P431)=0,"Oferta nu are linii. ","")&amp;IF(M431="","Completează ce NU include oferta. ","")&amp;IF(AND(ISNUMBER(R431),R431&lt;MarjaMin),"Marjă totală sub minim. ","")&amp;IF(COUNTIFS('Linii ofertă'!$B$5:$B$1004,B431,'Linii ofertă'!$R$5:$R$1004,"Marjă*")&gt;0,"Are linii cu marjă sub minim. ","")&amp;IF(AND(S431="Expirată"),"Valabilitatea a expirat: reconfirmă prețurile. ","")))</f>
        <v/>
      </c>
    </row>
    <row r="432" spans="2:20" x14ac:dyDescent="0.2">
      <c r="B432" s="20"/>
      <c r="C432" s="21"/>
      <c r="D432" s="22"/>
      <c r="E432" s="22"/>
      <c r="F432" s="22"/>
      <c r="G432" s="20"/>
      <c r="H432" s="23" t="str">
        <f t="shared" si="12"/>
        <v/>
      </c>
      <c r="I432" s="22"/>
      <c r="J432" s="22"/>
      <c r="K432" s="24"/>
      <c r="L432" s="22"/>
      <c r="M432" s="22"/>
      <c r="N432" s="20"/>
      <c r="O432" s="21"/>
      <c r="P432" s="25" t="str">
        <f>IF(B432="","",SUMIF('Linii ofertă'!$B$5:$B$1004,B432,'Linii ofertă'!$J$5:$J$1004))</f>
        <v/>
      </c>
      <c r="Q432" s="25" t="str">
        <f>IF(B432="","",SUMIF('Linii ofertă'!$B$5:$B$1004,B432,'Linii ofertă'!$M$5:$M$1004))</f>
        <v/>
      </c>
      <c r="R432" s="26" t="str">
        <f>IF(OR(B432="",N(P432)=0),"",SUMIF('Linii ofertă'!$B$5:$B$1004,B432,'Linii ofertă'!$P$5:$P$1004)/P432)</f>
        <v/>
      </c>
      <c r="S432" s="27" t="str">
        <f t="shared" ca="1" si="13"/>
        <v/>
      </c>
      <c r="T432" s="28" t="str">
        <f>IF(B432="","",TRIM(IF(COUNTIF($B$5:$B$504,B432)&gt;1,"Număr dublat. ","")&amp;IF(N(P432)=0,"Oferta nu are linii. ","")&amp;IF(M432="","Completează ce NU include oferta. ","")&amp;IF(AND(ISNUMBER(R432),R432&lt;MarjaMin),"Marjă totală sub minim. ","")&amp;IF(COUNTIFS('Linii ofertă'!$B$5:$B$1004,B432,'Linii ofertă'!$R$5:$R$1004,"Marjă*")&gt;0,"Are linii cu marjă sub minim. ","")&amp;IF(AND(S432="Expirată"),"Valabilitatea a expirat: reconfirmă prețurile. ","")))</f>
        <v/>
      </c>
    </row>
    <row r="433" spans="2:20" x14ac:dyDescent="0.2">
      <c r="B433" s="20"/>
      <c r="C433" s="21"/>
      <c r="D433" s="22"/>
      <c r="E433" s="22"/>
      <c r="F433" s="22"/>
      <c r="G433" s="20"/>
      <c r="H433" s="23" t="str">
        <f t="shared" si="12"/>
        <v/>
      </c>
      <c r="I433" s="22"/>
      <c r="J433" s="22"/>
      <c r="K433" s="24"/>
      <c r="L433" s="22"/>
      <c r="M433" s="22"/>
      <c r="N433" s="20"/>
      <c r="O433" s="21"/>
      <c r="P433" s="25" t="str">
        <f>IF(B433="","",SUMIF('Linii ofertă'!$B$5:$B$1004,B433,'Linii ofertă'!$J$5:$J$1004))</f>
        <v/>
      </c>
      <c r="Q433" s="25" t="str">
        <f>IF(B433="","",SUMIF('Linii ofertă'!$B$5:$B$1004,B433,'Linii ofertă'!$M$5:$M$1004))</f>
        <v/>
      </c>
      <c r="R433" s="26" t="str">
        <f>IF(OR(B433="",N(P433)=0),"",SUMIF('Linii ofertă'!$B$5:$B$1004,B433,'Linii ofertă'!$P$5:$P$1004)/P433)</f>
        <v/>
      </c>
      <c r="S433" s="27" t="str">
        <f t="shared" ca="1" si="13"/>
        <v/>
      </c>
      <c r="T433" s="28" t="str">
        <f>IF(B433="","",TRIM(IF(COUNTIF($B$5:$B$504,B433)&gt;1,"Număr dublat. ","")&amp;IF(N(P433)=0,"Oferta nu are linii. ","")&amp;IF(M433="","Completează ce NU include oferta. ","")&amp;IF(AND(ISNUMBER(R433),R433&lt;MarjaMin),"Marjă totală sub minim. ","")&amp;IF(COUNTIFS('Linii ofertă'!$B$5:$B$1004,B433,'Linii ofertă'!$R$5:$R$1004,"Marjă*")&gt;0,"Are linii cu marjă sub minim. ","")&amp;IF(AND(S433="Expirată"),"Valabilitatea a expirat: reconfirmă prețurile. ","")))</f>
        <v/>
      </c>
    </row>
    <row r="434" spans="2:20" x14ac:dyDescent="0.2">
      <c r="B434" s="20"/>
      <c r="C434" s="21"/>
      <c r="D434" s="22"/>
      <c r="E434" s="22"/>
      <c r="F434" s="22"/>
      <c r="G434" s="20"/>
      <c r="H434" s="23" t="str">
        <f t="shared" si="12"/>
        <v/>
      </c>
      <c r="I434" s="22"/>
      <c r="J434" s="22"/>
      <c r="K434" s="24"/>
      <c r="L434" s="22"/>
      <c r="M434" s="22"/>
      <c r="N434" s="20"/>
      <c r="O434" s="21"/>
      <c r="P434" s="25" t="str">
        <f>IF(B434="","",SUMIF('Linii ofertă'!$B$5:$B$1004,B434,'Linii ofertă'!$J$5:$J$1004))</f>
        <v/>
      </c>
      <c r="Q434" s="25" t="str">
        <f>IF(B434="","",SUMIF('Linii ofertă'!$B$5:$B$1004,B434,'Linii ofertă'!$M$5:$M$1004))</f>
        <v/>
      </c>
      <c r="R434" s="26" t="str">
        <f>IF(OR(B434="",N(P434)=0),"",SUMIF('Linii ofertă'!$B$5:$B$1004,B434,'Linii ofertă'!$P$5:$P$1004)/P434)</f>
        <v/>
      </c>
      <c r="S434" s="27" t="str">
        <f t="shared" ca="1" si="13"/>
        <v/>
      </c>
      <c r="T434" s="28" t="str">
        <f>IF(B434="","",TRIM(IF(COUNTIF($B$5:$B$504,B434)&gt;1,"Număr dublat. ","")&amp;IF(N(P434)=0,"Oferta nu are linii. ","")&amp;IF(M434="","Completează ce NU include oferta. ","")&amp;IF(AND(ISNUMBER(R434),R434&lt;MarjaMin),"Marjă totală sub minim. ","")&amp;IF(COUNTIFS('Linii ofertă'!$B$5:$B$1004,B434,'Linii ofertă'!$R$5:$R$1004,"Marjă*")&gt;0,"Are linii cu marjă sub minim. ","")&amp;IF(AND(S434="Expirată"),"Valabilitatea a expirat: reconfirmă prețurile. ","")))</f>
        <v/>
      </c>
    </row>
    <row r="435" spans="2:20" x14ac:dyDescent="0.2">
      <c r="B435" s="20"/>
      <c r="C435" s="21"/>
      <c r="D435" s="22"/>
      <c r="E435" s="22"/>
      <c r="F435" s="22"/>
      <c r="G435" s="20"/>
      <c r="H435" s="23" t="str">
        <f t="shared" si="12"/>
        <v/>
      </c>
      <c r="I435" s="22"/>
      <c r="J435" s="22"/>
      <c r="K435" s="24"/>
      <c r="L435" s="22"/>
      <c r="M435" s="22"/>
      <c r="N435" s="20"/>
      <c r="O435" s="21"/>
      <c r="P435" s="25" t="str">
        <f>IF(B435="","",SUMIF('Linii ofertă'!$B$5:$B$1004,B435,'Linii ofertă'!$J$5:$J$1004))</f>
        <v/>
      </c>
      <c r="Q435" s="25" t="str">
        <f>IF(B435="","",SUMIF('Linii ofertă'!$B$5:$B$1004,B435,'Linii ofertă'!$M$5:$M$1004))</f>
        <v/>
      </c>
      <c r="R435" s="26" t="str">
        <f>IF(OR(B435="",N(P435)=0),"",SUMIF('Linii ofertă'!$B$5:$B$1004,B435,'Linii ofertă'!$P$5:$P$1004)/P435)</f>
        <v/>
      </c>
      <c r="S435" s="27" t="str">
        <f t="shared" ca="1" si="13"/>
        <v/>
      </c>
      <c r="T435" s="28" t="str">
        <f>IF(B435="","",TRIM(IF(COUNTIF($B$5:$B$504,B435)&gt;1,"Număr dublat. ","")&amp;IF(N(P435)=0,"Oferta nu are linii. ","")&amp;IF(M435="","Completează ce NU include oferta. ","")&amp;IF(AND(ISNUMBER(R435),R435&lt;MarjaMin),"Marjă totală sub minim. ","")&amp;IF(COUNTIFS('Linii ofertă'!$B$5:$B$1004,B435,'Linii ofertă'!$R$5:$R$1004,"Marjă*")&gt;0,"Are linii cu marjă sub minim. ","")&amp;IF(AND(S435="Expirată"),"Valabilitatea a expirat: reconfirmă prețurile. ","")))</f>
        <v/>
      </c>
    </row>
    <row r="436" spans="2:20" x14ac:dyDescent="0.2">
      <c r="B436" s="20"/>
      <c r="C436" s="21"/>
      <c r="D436" s="22"/>
      <c r="E436" s="22"/>
      <c r="F436" s="22"/>
      <c r="G436" s="20"/>
      <c r="H436" s="23" t="str">
        <f t="shared" si="12"/>
        <v/>
      </c>
      <c r="I436" s="22"/>
      <c r="J436" s="22"/>
      <c r="K436" s="24"/>
      <c r="L436" s="22"/>
      <c r="M436" s="22"/>
      <c r="N436" s="20"/>
      <c r="O436" s="21"/>
      <c r="P436" s="25" t="str">
        <f>IF(B436="","",SUMIF('Linii ofertă'!$B$5:$B$1004,B436,'Linii ofertă'!$J$5:$J$1004))</f>
        <v/>
      </c>
      <c r="Q436" s="25" t="str">
        <f>IF(B436="","",SUMIF('Linii ofertă'!$B$5:$B$1004,B436,'Linii ofertă'!$M$5:$M$1004))</f>
        <v/>
      </c>
      <c r="R436" s="26" t="str">
        <f>IF(OR(B436="",N(P436)=0),"",SUMIF('Linii ofertă'!$B$5:$B$1004,B436,'Linii ofertă'!$P$5:$P$1004)/P436)</f>
        <v/>
      </c>
      <c r="S436" s="27" t="str">
        <f t="shared" ca="1" si="13"/>
        <v/>
      </c>
      <c r="T436" s="28" t="str">
        <f>IF(B436="","",TRIM(IF(COUNTIF($B$5:$B$504,B436)&gt;1,"Număr dublat. ","")&amp;IF(N(P436)=0,"Oferta nu are linii. ","")&amp;IF(M436="","Completează ce NU include oferta. ","")&amp;IF(AND(ISNUMBER(R436),R436&lt;MarjaMin),"Marjă totală sub minim. ","")&amp;IF(COUNTIFS('Linii ofertă'!$B$5:$B$1004,B436,'Linii ofertă'!$R$5:$R$1004,"Marjă*")&gt;0,"Are linii cu marjă sub minim. ","")&amp;IF(AND(S436="Expirată"),"Valabilitatea a expirat: reconfirmă prețurile. ","")))</f>
        <v/>
      </c>
    </row>
    <row r="437" spans="2:20" x14ac:dyDescent="0.2">
      <c r="B437" s="20"/>
      <c r="C437" s="21"/>
      <c r="D437" s="22"/>
      <c r="E437" s="22"/>
      <c r="F437" s="22"/>
      <c r="G437" s="20"/>
      <c r="H437" s="23" t="str">
        <f t="shared" si="12"/>
        <v/>
      </c>
      <c r="I437" s="22"/>
      <c r="J437" s="22"/>
      <c r="K437" s="24"/>
      <c r="L437" s="22"/>
      <c r="M437" s="22"/>
      <c r="N437" s="20"/>
      <c r="O437" s="21"/>
      <c r="P437" s="25" t="str">
        <f>IF(B437="","",SUMIF('Linii ofertă'!$B$5:$B$1004,B437,'Linii ofertă'!$J$5:$J$1004))</f>
        <v/>
      </c>
      <c r="Q437" s="25" t="str">
        <f>IF(B437="","",SUMIF('Linii ofertă'!$B$5:$B$1004,B437,'Linii ofertă'!$M$5:$M$1004))</f>
        <v/>
      </c>
      <c r="R437" s="26" t="str">
        <f>IF(OR(B437="",N(P437)=0),"",SUMIF('Linii ofertă'!$B$5:$B$1004,B437,'Linii ofertă'!$P$5:$P$1004)/P437)</f>
        <v/>
      </c>
      <c r="S437" s="27" t="str">
        <f t="shared" ca="1" si="13"/>
        <v/>
      </c>
      <c r="T437" s="28" t="str">
        <f>IF(B437="","",TRIM(IF(COUNTIF($B$5:$B$504,B437)&gt;1,"Număr dublat. ","")&amp;IF(N(P437)=0,"Oferta nu are linii. ","")&amp;IF(M437="","Completează ce NU include oferta. ","")&amp;IF(AND(ISNUMBER(R437),R437&lt;MarjaMin),"Marjă totală sub minim. ","")&amp;IF(COUNTIFS('Linii ofertă'!$B$5:$B$1004,B437,'Linii ofertă'!$R$5:$R$1004,"Marjă*")&gt;0,"Are linii cu marjă sub minim. ","")&amp;IF(AND(S437="Expirată"),"Valabilitatea a expirat: reconfirmă prețurile. ","")))</f>
        <v/>
      </c>
    </row>
    <row r="438" spans="2:20" x14ac:dyDescent="0.2">
      <c r="B438" s="20"/>
      <c r="C438" s="21"/>
      <c r="D438" s="22"/>
      <c r="E438" s="22"/>
      <c r="F438" s="22"/>
      <c r="G438" s="20"/>
      <c r="H438" s="23" t="str">
        <f t="shared" si="12"/>
        <v/>
      </c>
      <c r="I438" s="22"/>
      <c r="J438" s="22"/>
      <c r="K438" s="24"/>
      <c r="L438" s="22"/>
      <c r="M438" s="22"/>
      <c r="N438" s="20"/>
      <c r="O438" s="21"/>
      <c r="P438" s="25" t="str">
        <f>IF(B438="","",SUMIF('Linii ofertă'!$B$5:$B$1004,B438,'Linii ofertă'!$J$5:$J$1004))</f>
        <v/>
      </c>
      <c r="Q438" s="25" t="str">
        <f>IF(B438="","",SUMIF('Linii ofertă'!$B$5:$B$1004,B438,'Linii ofertă'!$M$5:$M$1004))</f>
        <v/>
      </c>
      <c r="R438" s="26" t="str">
        <f>IF(OR(B438="",N(P438)=0),"",SUMIF('Linii ofertă'!$B$5:$B$1004,B438,'Linii ofertă'!$P$5:$P$1004)/P438)</f>
        <v/>
      </c>
      <c r="S438" s="27" t="str">
        <f t="shared" ca="1" si="13"/>
        <v/>
      </c>
      <c r="T438" s="28" t="str">
        <f>IF(B438="","",TRIM(IF(COUNTIF($B$5:$B$504,B438)&gt;1,"Număr dublat. ","")&amp;IF(N(P438)=0,"Oferta nu are linii. ","")&amp;IF(M438="","Completează ce NU include oferta. ","")&amp;IF(AND(ISNUMBER(R438),R438&lt;MarjaMin),"Marjă totală sub minim. ","")&amp;IF(COUNTIFS('Linii ofertă'!$B$5:$B$1004,B438,'Linii ofertă'!$R$5:$R$1004,"Marjă*")&gt;0,"Are linii cu marjă sub minim. ","")&amp;IF(AND(S438="Expirată"),"Valabilitatea a expirat: reconfirmă prețurile. ","")))</f>
        <v/>
      </c>
    </row>
    <row r="439" spans="2:20" x14ac:dyDescent="0.2">
      <c r="B439" s="20"/>
      <c r="C439" s="21"/>
      <c r="D439" s="22"/>
      <c r="E439" s="22"/>
      <c r="F439" s="22"/>
      <c r="G439" s="20"/>
      <c r="H439" s="23" t="str">
        <f t="shared" si="12"/>
        <v/>
      </c>
      <c r="I439" s="22"/>
      <c r="J439" s="22"/>
      <c r="K439" s="24"/>
      <c r="L439" s="22"/>
      <c r="M439" s="22"/>
      <c r="N439" s="20"/>
      <c r="O439" s="21"/>
      <c r="P439" s="25" t="str">
        <f>IF(B439="","",SUMIF('Linii ofertă'!$B$5:$B$1004,B439,'Linii ofertă'!$J$5:$J$1004))</f>
        <v/>
      </c>
      <c r="Q439" s="25" t="str">
        <f>IF(B439="","",SUMIF('Linii ofertă'!$B$5:$B$1004,B439,'Linii ofertă'!$M$5:$M$1004))</f>
        <v/>
      </c>
      <c r="R439" s="26" t="str">
        <f>IF(OR(B439="",N(P439)=0),"",SUMIF('Linii ofertă'!$B$5:$B$1004,B439,'Linii ofertă'!$P$5:$P$1004)/P439)</f>
        <v/>
      </c>
      <c r="S439" s="27" t="str">
        <f t="shared" ca="1" si="13"/>
        <v/>
      </c>
      <c r="T439" s="28" t="str">
        <f>IF(B439="","",TRIM(IF(COUNTIF($B$5:$B$504,B439)&gt;1,"Număr dublat. ","")&amp;IF(N(P439)=0,"Oferta nu are linii. ","")&amp;IF(M439="","Completează ce NU include oferta. ","")&amp;IF(AND(ISNUMBER(R439),R439&lt;MarjaMin),"Marjă totală sub minim. ","")&amp;IF(COUNTIFS('Linii ofertă'!$B$5:$B$1004,B439,'Linii ofertă'!$R$5:$R$1004,"Marjă*")&gt;0,"Are linii cu marjă sub minim. ","")&amp;IF(AND(S439="Expirată"),"Valabilitatea a expirat: reconfirmă prețurile. ","")))</f>
        <v/>
      </c>
    </row>
    <row r="440" spans="2:20" x14ac:dyDescent="0.2">
      <c r="B440" s="20"/>
      <c r="C440" s="21"/>
      <c r="D440" s="22"/>
      <c r="E440" s="22"/>
      <c r="F440" s="22"/>
      <c r="G440" s="20"/>
      <c r="H440" s="23" t="str">
        <f t="shared" si="12"/>
        <v/>
      </c>
      <c r="I440" s="22"/>
      <c r="J440" s="22"/>
      <c r="K440" s="24"/>
      <c r="L440" s="22"/>
      <c r="M440" s="22"/>
      <c r="N440" s="20"/>
      <c r="O440" s="21"/>
      <c r="P440" s="25" t="str">
        <f>IF(B440="","",SUMIF('Linii ofertă'!$B$5:$B$1004,B440,'Linii ofertă'!$J$5:$J$1004))</f>
        <v/>
      </c>
      <c r="Q440" s="25" t="str">
        <f>IF(B440="","",SUMIF('Linii ofertă'!$B$5:$B$1004,B440,'Linii ofertă'!$M$5:$M$1004))</f>
        <v/>
      </c>
      <c r="R440" s="26" t="str">
        <f>IF(OR(B440="",N(P440)=0),"",SUMIF('Linii ofertă'!$B$5:$B$1004,B440,'Linii ofertă'!$P$5:$P$1004)/P440)</f>
        <v/>
      </c>
      <c r="S440" s="27" t="str">
        <f t="shared" ca="1" si="13"/>
        <v/>
      </c>
      <c r="T440" s="28" t="str">
        <f>IF(B440="","",TRIM(IF(COUNTIF($B$5:$B$504,B440)&gt;1,"Număr dublat. ","")&amp;IF(N(P440)=0,"Oferta nu are linii. ","")&amp;IF(M440="","Completează ce NU include oferta. ","")&amp;IF(AND(ISNUMBER(R440),R440&lt;MarjaMin),"Marjă totală sub minim. ","")&amp;IF(COUNTIFS('Linii ofertă'!$B$5:$B$1004,B440,'Linii ofertă'!$R$5:$R$1004,"Marjă*")&gt;0,"Are linii cu marjă sub minim. ","")&amp;IF(AND(S440="Expirată"),"Valabilitatea a expirat: reconfirmă prețurile. ","")))</f>
        <v/>
      </c>
    </row>
    <row r="441" spans="2:20" x14ac:dyDescent="0.2">
      <c r="B441" s="20"/>
      <c r="C441" s="21"/>
      <c r="D441" s="22"/>
      <c r="E441" s="22"/>
      <c r="F441" s="22"/>
      <c r="G441" s="20"/>
      <c r="H441" s="23" t="str">
        <f t="shared" si="12"/>
        <v/>
      </c>
      <c r="I441" s="22"/>
      <c r="J441" s="22"/>
      <c r="K441" s="24"/>
      <c r="L441" s="22"/>
      <c r="M441" s="22"/>
      <c r="N441" s="20"/>
      <c r="O441" s="21"/>
      <c r="P441" s="25" t="str">
        <f>IF(B441="","",SUMIF('Linii ofertă'!$B$5:$B$1004,B441,'Linii ofertă'!$J$5:$J$1004))</f>
        <v/>
      </c>
      <c r="Q441" s="25" t="str">
        <f>IF(B441="","",SUMIF('Linii ofertă'!$B$5:$B$1004,B441,'Linii ofertă'!$M$5:$M$1004))</f>
        <v/>
      </c>
      <c r="R441" s="26" t="str">
        <f>IF(OR(B441="",N(P441)=0),"",SUMIF('Linii ofertă'!$B$5:$B$1004,B441,'Linii ofertă'!$P$5:$P$1004)/P441)</f>
        <v/>
      </c>
      <c r="S441" s="27" t="str">
        <f t="shared" ca="1" si="13"/>
        <v/>
      </c>
      <c r="T441" s="28" t="str">
        <f>IF(B441="","",TRIM(IF(COUNTIF($B$5:$B$504,B441)&gt;1,"Număr dublat. ","")&amp;IF(N(P441)=0,"Oferta nu are linii. ","")&amp;IF(M441="","Completează ce NU include oferta. ","")&amp;IF(AND(ISNUMBER(R441),R441&lt;MarjaMin),"Marjă totală sub minim. ","")&amp;IF(COUNTIFS('Linii ofertă'!$B$5:$B$1004,B441,'Linii ofertă'!$R$5:$R$1004,"Marjă*")&gt;0,"Are linii cu marjă sub minim. ","")&amp;IF(AND(S441="Expirată"),"Valabilitatea a expirat: reconfirmă prețurile. ","")))</f>
        <v/>
      </c>
    </row>
    <row r="442" spans="2:20" x14ac:dyDescent="0.2">
      <c r="B442" s="20"/>
      <c r="C442" s="21"/>
      <c r="D442" s="22"/>
      <c r="E442" s="22"/>
      <c r="F442" s="22"/>
      <c r="G442" s="20"/>
      <c r="H442" s="23" t="str">
        <f t="shared" si="12"/>
        <v/>
      </c>
      <c r="I442" s="22"/>
      <c r="J442" s="22"/>
      <c r="K442" s="24"/>
      <c r="L442" s="22"/>
      <c r="M442" s="22"/>
      <c r="N442" s="20"/>
      <c r="O442" s="21"/>
      <c r="P442" s="25" t="str">
        <f>IF(B442="","",SUMIF('Linii ofertă'!$B$5:$B$1004,B442,'Linii ofertă'!$J$5:$J$1004))</f>
        <v/>
      </c>
      <c r="Q442" s="25" t="str">
        <f>IF(B442="","",SUMIF('Linii ofertă'!$B$5:$B$1004,B442,'Linii ofertă'!$M$5:$M$1004))</f>
        <v/>
      </c>
      <c r="R442" s="26" t="str">
        <f>IF(OR(B442="",N(P442)=0),"",SUMIF('Linii ofertă'!$B$5:$B$1004,B442,'Linii ofertă'!$P$5:$P$1004)/P442)</f>
        <v/>
      </c>
      <c r="S442" s="27" t="str">
        <f t="shared" ca="1" si="13"/>
        <v/>
      </c>
      <c r="T442" s="28" t="str">
        <f>IF(B442="","",TRIM(IF(COUNTIF($B$5:$B$504,B442)&gt;1,"Număr dublat. ","")&amp;IF(N(P442)=0,"Oferta nu are linii. ","")&amp;IF(M442="","Completează ce NU include oferta. ","")&amp;IF(AND(ISNUMBER(R442),R442&lt;MarjaMin),"Marjă totală sub minim. ","")&amp;IF(COUNTIFS('Linii ofertă'!$B$5:$B$1004,B442,'Linii ofertă'!$R$5:$R$1004,"Marjă*")&gt;0,"Are linii cu marjă sub minim. ","")&amp;IF(AND(S442="Expirată"),"Valabilitatea a expirat: reconfirmă prețurile. ","")))</f>
        <v/>
      </c>
    </row>
    <row r="443" spans="2:20" x14ac:dyDescent="0.2">
      <c r="B443" s="20"/>
      <c r="C443" s="21"/>
      <c r="D443" s="22"/>
      <c r="E443" s="22"/>
      <c r="F443" s="22"/>
      <c r="G443" s="20"/>
      <c r="H443" s="23" t="str">
        <f t="shared" si="12"/>
        <v/>
      </c>
      <c r="I443" s="22"/>
      <c r="J443" s="22"/>
      <c r="K443" s="24"/>
      <c r="L443" s="22"/>
      <c r="M443" s="22"/>
      <c r="N443" s="20"/>
      <c r="O443" s="21"/>
      <c r="P443" s="25" t="str">
        <f>IF(B443="","",SUMIF('Linii ofertă'!$B$5:$B$1004,B443,'Linii ofertă'!$J$5:$J$1004))</f>
        <v/>
      </c>
      <c r="Q443" s="25" t="str">
        <f>IF(B443="","",SUMIF('Linii ofertă'!$B$5:$B$1004,B443,'Linii ofertă'!$M$5:$M$1004))</f>
        <v/>
      </c>
      <c r="R443" s="26" t="str">
        <f>IF(OR(B443="",N(P443)=0),"",SUMIF('Linii ofertă'!$B$5:$B$1004,B443,'Linii ofertă'!$P$5:$P$1004)/P443)</f>
        <v/>
      </c>
      <c r="S443" s="27" t="str">
        <f t="shared" ca="1" si="13"/>
        <v/>
      </c>
      <c r="T443" s="28" t="str">
        <f>IF(B443="","",TRIM(IF(COUNTIF($B$5:$B$504,B443)&gt;1,"Număr dublat. ","")&amp;IF(N(P443)=0,"Oferta nu are linii. ","")&amp;IF(M443="","Completează ce NU include oferta. ","")&amp;IF(AND(ISNUMBER(R443),R443&lt;MarjaMin),"Marjă totală sub minim. ","")&amp;IF(COUNTIFS('Linii ofertă'!$B$5:$B$1004,B443,'Linii ofertă'!$R$5:$R$1004,"Marjă*")&gt;0,"Are linii cu marjă sub minim. ","")&amp;IF(AND(S443="Expirată"),"Valabilitatea a expirat: reconfirmă prețurile. ","")))</f>
        <v/>
      </c>
    </row>
    <row r="444" spans="2:20" x14ac:dyDescent="0.2">
      <c r="B444" s="20"/>
      <c r="C444" s="21"/>
      <c r="D444" s="22"/>
      <c r="E444" s="22"/>
      <c r="F444" s="22"/>
      <c r="G444" s="20"/>
      <c r="H444" s="23" t="str">
        <f t="shared" si="12"/>
        <v/>
      </c>
      <c r="I444" s="22"/>
      <c r="J444" s="22"/>
      <c r="K444" s="24"/>
      <c r="L444" s="22"/>
      <c r="M444" s="22"/>
      <c r="N444" s="20"/>
      <c r="O444" s="21"/>
      <c r="P444" s="25" t="str">
        <f>IF(B444="","",SUMIF('Linii ofertă'!$B$5:$B$1004,B444,'Linii ofertă'!$J$5:$J$1004))</f>
        <v/>
      </c>
      <c r="Q444" s="25" t="str">
        <f>IF(B444="","",SUMIF('Linii ofertă'!$B$5:$B$1004,B444,'Linii ofertă'!$M$5:$M$1004))</f>
        <v/>
      </c>
      <c r="R444" s="26" t="str">
        <f>IF(OR(B444="",N(P444)=0),"",SUMIF('Linii ofertă'!$B$5:$B$1004,B444,'Linii ofertă'!$P$5:$P$1004)/P444)</f>
        <v/>
      </c>
      <c r="S444" s="27" t="str">
        <f t="shared" ca="1" si="13"/>
        <v/>
      </c>
      <c r="T444" s="28" t="str">
        <f>IF(B444="","",TRIM(IF(COUNTIF($B$5:$B$504,B444)&gt;1,"Număr dublat. ","")&amp;IF(N(P444)=0,"Oferta nu are linii. ","")&amp;IF(M444="","Completează ce NU include oferta. ","")&amp;IF(AND(ISNUMBER(R444),R444&lt;MarjaMin),"Marjă totală sub minim. ","")&amp;IF(COUNTIFS('Linii ofertă'!$B$5:$B$1004,B444,'Linii ofertă'!$R$5:$R$1004,"Marjă*")&gt;0,"Are linii cu marjă sub minim. ","")&amp;IF(AND(S444="Expirată"),"Valabilitatea a expirat: reconfirmă prețurile. ","")))</f>
        <v/>
      </c>
    </row>
    <row r="445" spans="2:20" x14ac:dyDescent="0.2">
      <c r="B445" s="20"/>
      <c r="C445" s="21"/>
      <c r="D445" s="22"/>
      <c r="E445" s="22"/>
      <c r="F445" s="22"/>
      <c r="G445" s="20"/>
      <c r="H445" s="23" t="str">
        <f t="shared" si="12"/>
        <v/>
      </c>
      <c r="I445" s="22"/>
      <c r="J445" s="22"/>
      <c r="K445" s="24"/>
      <c r="L445" s="22"/>
      <c r="M445" s="22"/>
      <c r="N445" s="20"/>
      <c r="O445" s="21"/>
      <c r="P445" s="25" t="str">
        <f>IF(B445="","",SUMIF('Linii ofertă'!$B$5:$B$1004,B445,'Linii ofertă'!$J$5:$J$1004))</f>
        <v/>
      </c>
      <c r="Q445" s="25" t="str">
        <f>IF(B445="","",SUMIF('Linii ofertă'!$B$5:$B$1004,B445,'Linii ofertă'!$M$5:$M$1004))</f>
        <v/>
      </c>
      <c r="R445" s="26" t="str">
        <f>IF(OR(B445="",N(P445)=0),"",SUMIF('Linii ofertă'!$B$5:$B$1004,B445,'Linii ofertă'!$P$5:$P$1004)/P445)</f>
        <v/>
      </c>
      <c r="S445" s="27" t="str">
        <f t="shared" ca="1" si="13"/>
        <v/>
      </c>
      <c r="T445" s="28" t="str">
        <f>IF(B445="","",TRIM(IF(COUNTIF($B$5:$B$504,B445)&gt;1,"Număr dublat. ","")&amp;IF(N(P445)=0,"Oferta nu are linii. ","")&amp;IF(M445="","Completează ce NU include oferta. ","")&amp;IF(AND(ISNUMBER(R445),R445&lt;MarjaMin),"Marjă totală sub minim. ","")&amp;IF(COUNTIFS('Linii ofertă'!$B$5:$B$1004,B445,'Linii ofertă'!$R$5:$R$1004,"Marjă*")&gt;0,"Are linii cu marjă sub minim. ","")&amp;IF(AND(S445="Expirată"),"Valabilitatea a expirat: reconfirmă prețurile. ","")))</f>
        <v/>
      </c>
    </row>
    <row r="446" spans="2:20" x14ac:dyDescent="0.2">
      <c r="B446" s="20"/>
      <c r="C446" s="21"/>
      <c r="D446" s="22"/>
      <c r="E446" s="22"/>
      <c r="F446" s="22"/>
      <c r="G446" s="20"/>
      <c r="H446" s="23" t="str">
        <f t="shared" si="12"/>
        <v/>
      </c>
      <c r="I446" s="22"/>
      <c r="J446" s="22"/>
      <c r="K446" s="24"/>
      <c r="L446" s="22"/>
      <c r="M446" s="22"/>
      <c r="N446" s="20"/>
      <c r="O446" s="21"/>
      <c r="P446" s="25" t="str">
        <f>IF(B446="","",SUMIF('Linii ofertă'!$B$5:$B$1004,B446,'Linii ofertă'!$J$5:$J$1004))</f>
        <v/>
      </c>
      <c r="Q446" s="25" t="str">
        <f>IF(B446="","",SUMIF('Linii ofertă'!$B$5:$B$1004,B446,'Linii ofertă'!$M$5:$M$1004))</f>
        <v/>
      </c>
      <c r="R446" s="26" t="str">
        <f>IF(OR(B446="",N(P446)=0),"",SUMIF('Linii ofertă'!$B$5:$B$1004,B446,'Linii ofertă'!$P$5:$P$1004)/P446)</f>
        <v/>
      </c>
      <c r="S446" s="27" t="str">
        <f t="shared" ca="1" si="13"/>
        <v/>
      </c>
      <c r="T446" s="28" t="str">
        <f>IF(B446="","",TRIM(IF(COUNTIF($B$5:$B$504,B446)&gt;1,"Număr dublat. ","")&amp;IF(N(P446)=0,"Oferta nu are linii. ","")&amp;IF(M446="","Completează ce NU include oferta. ","")&amp;IF(AND(ISNUMBER(R446),R446&lt;MarjaMin),"Marjă totală sub minim. ","")&amp;IF(COUNTIFS('Linii ofertă'!$B$5:$B$1004,B446,'Linii ofertă'!$R$5:$R$1004,"Marjă*")&gt;0,"Are linii cu marjă sub minim. ","")&amp;IF(AND(S446="Expirată"),"Valabilitatea a expirat: reconfirmă prețurile. ","")))</f>
        <v/>
      </c>
    </row>
    <row r="447" spans="2:20" x14ac:dyDescent="0.2">
      <c r="B447" s="20"/>
      <c r="C447" s="21"/>
      <c r="D447" s="22"/>
      <c r="E447" s="22"/>
      <c r="F447" s="22"/>
      <c r="G447" s="20"/>
      <c r="H447" s="23" t="str">
        <f t="shared" si="12"/>
        <v/>
      </c>
      <c r="I447" s="22"/>
      <c r="J447" s="22"/>
      <c r="K447" s="24"/>
      <c r="L447" s="22"/>
      <c r="M447" s="22"/>
      <c r="N447" s="20"/>
      <c r="O447" s="21"/>
      <c r="P447" s="25" t="str">
        <f>IF(B447="","",SUMIF('Linii ofertă'!$B$5:$B$1004,B447,'Linii ofertă'!$J$5:$J$1004))</f>
        <v/>
      </c>
      <c r="Q447" s="25" t="str">
        <f>IF(B447="","",SUMIF('Linii ofertă'!$B$5:$B$1004,B447,'Linii ofertă'!$M$5:$M$1004))</f>
        <v/>
      </c>
      <c r="R447" s="26" t="str">
        <f>IF(OR(B447="",N(P447)=0),"",SUMIF('Linii ofertă'!$B$5:$B$1004,B447,'Linii ofertă'!$P$5:$P$1004)/P447)</f>
        <v/>
      </c>
      <c r="S447" s="27" t="str">
        <f t="shared" ca="1" si="13"/>
        <v/>
      </c>
      <c r="T447" s="28" t="str">
        <f>IF(B447="","",TRIM(IF(COUNTIF($B$5:$B$504,B447)&gt;1,"Număr dublat. ","")&amp;IF(N(P447)=0,"Oferta nu are linii. ","")&amp;IF(M447="","Completează ce NU include oferta. ","")&amp;IF(AND(ISNUMBER(R447),R447&lt;MarjaMin),"Marjă totală sub minim. ","")&amp;IF(COUNTIFS('Linii ofertă'!$B$5:$B$1004,B447,'Linii ofertă'!$R$5:$R$1004,"Marjă*")&gt;0,"Are linii cu marjă sub minim. ","")&amp;IF(AND(S447="Expirată"),"Valabilitatea a expirat: reconfirmă prețurile. ","")))</f>
        <v/>
      </c>
    </row>
    <row r="448" spans="2:20" x14ac:dyDescent="0.2">
      <c r="B448" s="20"/>
      <c r="C448" s="21"/>
      <c r="D448" s="22"/>
      <c r="E448" s="22"/>
      <c r="F448" s="22"/>
      <c r="G448" s="20"/>
      <c r="H448" s="23" t="str">
        <f t="shared" si="12"/>
        <v/>
      </c>
      <c r="I448" s="22"/>
      <c r="J448" s="22"/>
      <c r="K448" s="24"/>
      <c r="L448" s="22"/>
      <c r="M448" s="22"/>
      <c r="N448" s="20"/>
      <c r="O448" s="21"/>
      <c r="P448" s="25" t="str">
        <f>IF(B448="","",SUMIF('Linii ofertă'!$B$5:$B$1004,B448,'Linii ofertă'!$J$5:$J$1004))</f>
        <v/>
      </c>
      <c r="Q448" s="25" t="str">
        <f>IF(B448="","",SUMIF('Linii ofertă'!$B$5:$B$1004,B448,'Linii ofertă'!$M$5:$M$1004))</f>
        <v/>
      </c>
      <c r="R448" s="26" t="str">
        <f>IF(OR(B448="",N(P448)=0),"",SUMIF('Linii ofertă'!$B$5:$B$1004,B448,'Linii ofertă'!$P$5:$P$1004)/P448)</f>
        <v/>
      </c>
      <c r="S448" s="27" t="str">
        <f t="shared" ca="1" si="13"/>
        <v/>
      </c>
      <c r="T448" s="28" t="str">
        <f>IF(B448="","",TRIM(IF(COUNTIF($B$5:$B$504,B448)&gt;1,"Număr dublat. ","")&amp;IF(N(P448)=0,"Oferta nu are linii. ","")&amp;IF(M448="","Completează ce NU include oferta. ","")&amp;IF(AND(ISNUMBER(R448),R448&lt;MarjaMin),"Marjă totală sub minim. ","")&amp;IF(COUNTIFS('Linii ofertă'!$B$5:$B$1004,B448,'Linii ofertă'!$R$5:$R$1004,"Marjă*")&gt;0,"Are linii cu marjă sub minim. ","")&amp;IF(AND(S448="Expirată"),"Valabilitatea a expirat: reconfirmă prețurile. ","")))</f>
        <v/>
      </c>
    </row>
    <row r="449" spans="2:20" x14ac:dyDescent="0.2">
      <c r="B449" s="20"/>
      <c r="C449" s="21"/>
      <c r="D449" s="22"/>
      <c r="E449" s="22"/>
      <c r="F449" s="22"/>
      <c r="G449" s="20"/>
      <c r="H449" s="23" t="str">
        <f t="shared" si="12"/>
        <v/>
      </c>
      <c r="I449" s="22"/>
      <c r="J449" s="22"/>
      <c r="K449" s="24"/>
      <c r="L449" s="22"/>
      <c r="M449" s="22"/>
      <c r="N449" s="20"/>
      <c r="O449" s="21"/>
      <c r="P449" s="25" t="str">
        <f>IF(B449="","",SUMIF('Linii ofertă'!$B$5:$B$1004,B449,'Linii ofertă'!$J$5:$J$1004))</f>
        <v/>
      </c>
      <c r="Q449" s="25" t="str">
        <f>IF(B449="","",SUMIF('Linii ofertă'!$B$5:$B$1004,B449,'Linii ofertă'!$M$5:$M$1004))</f>
        <v/>
      </c>
      <c r="R449" s="26" t="str">
        <f>IF(OR(B449="",N(P449)=0),"",SUMIF('Linii ofertă'!$B$5:$B$1004,B449,'Linii ofertă'!$P$5:$P$1004)/P449)</f>
        <v/>
      </c>
      <c r="S449" s="27" t="str">
        <f t="shared" ca="1" si="13"/>
        <v/>
      </c>
      <c r="T449" s="28" t="str">
        <f>IF(B449="","",TRIM(IF(COUNTIF($B$5:$B$504,B449)&gt;1,"Număr dublat. ","")&amp;IF(N(P449)=0,"Oferta nu are linii. ","")&amp;IF(M449="","Completează ce NU include oferta. ","")&amp;IF(AND(ISNUMBER(R449),R449&lt;MarjaMin),"Marjă totală sub minim. ","")&amp;IF(COUNTIFS('Linii ofertă'!$B$5:$B$1004,B449,'Linii ofertă'!$R$5:$R$1004,"Marjă*")&gt;0,"Are linii cu marjă sub minim. ","")&amp;IF(AND(S449="Expirată"),"Valabilitatea a expirat: reconfirmă prețurile. ","")))</f>
        <v/>
      </c>
    </row>
    <row r="450" spans="2:20" x14ac:dyDescent="0.2">
      <c r="B450" s="20"/>
      <c r="C450" s="21"/>
      <c r="D450" s="22"/>
      <c r="E450" s="22"/>
      <c r="F450" s="22"/>
      <c r="G450" s="20"/>
      <c r="H450" s="23" t="str">
        <f t="shared" si="12"/>
        <v/>
      </c>
      <c r="I450" s="22"/>
      <c r="J450" s="22"/>
      <c r="K450" s="24"/>
      <c r="L450" s="22"/>
      <c r="M450" s="22"/>
      <c r="N450" s="20"/>
      <c r="O450" s="21"/>
      <c r="P450" s="25" t="str">
        <f>IF(B450="","",SUMIF('Linii ofertă'!$B$5:$B$1004,B450,'Linii ofertă'!$J$5:$J$1004))</f>
        <v/>
      </c>
      <c r="Q450" s="25" t="str">
        <f>IF(B450="","",SUMIF('Linii ofertă'!$B$5:$B$1004,B450,'Linii ofertă'!$M$5:$M$1004))</f>
        <v/>
      </c>
      <c r="R450" s="26" t="str">
        <f>IF(OR(B450="",N(P450)=0),"",SUMIF('Linii ofertă'!$B$5:$B$1004,B450,'Linii ofertă'!$P$5:$P$1004)/P450)</f>
        <v/>
      </c>
      <c r="S450" s="27" t="str">
        <f t="shared" ca="1" si="13"/>
        <v/>
      </c>
      <c r="T450" s="28" t="str">
        <f>IF(B450="","",TRIM(IF(COUNTIF($B$5:$B$504,B450)&gt;1,"Număr dublat. ","")&amp;IF(N(P450)=0,"Oferta nu are linii. ","")&amp;IF(M450="","Completează ce NU include oferta. ","")&amp;IF(AND(ISNUMBER(R450),R450&lt;MarjaMin),"Marjă totală sub minim. ","")&amp;IF(COUNTIFS('Linii ofertă'!$B$5:$B$1004,B450,'Linii ofertă'!$R$5:$R$1004,"Marjă*")&gt;0,"Are linii cu marjă sub minim. ","")&amp;IF(AND(S450="Expirată"),"Valabilitatea a expirat: reconfirmă prețurile. ","")))</f>
        <v/>
      </c>
    </row>
    <row r="451" spans="2:20" x14ac:dyDescent="0.2">
      <c r="B451" s="20"/>
      <c r="C451" s="21"/>
      <c r="D451" s="22"/>
      <c r="E451" s="22"/>
      <c r="F451" s="22"/>
      <c r="G451" s="20"/>
      <c r="H451" s="23" t="str">
        <f t="shared" si="12"/>
        <v/>
      </c>
      <c r="I451" s="22"/>
      <c r="J451" s="22"/>
      <c r="K451" s="24"/>
      <c r="L451" s="22"/>
      <c r="M451" s="22"/>
      <c r="N451" s="20"/>
      <c r="O451" s="21"/>
      <c r="P451" s="25" t="str">
        <f>IF(B451="","",SUMIF('Linii ofertă'!$B$5:$B$1004,B451,'Linii ofertă'!$J$5:$J$1004))</f>
        <v/>
      </c>
      <c r="Q451" s="25" t="str">
        <f>IF(B451="","",SUMIF('Linii ofertă'!$B$5:$B$1004,B451,'Linii ofertă'!$M$5:$M$1004))</f>
        <v/>
      </c>
      <c r="R451" s="26" t="str">
        <f>IF(OR(B451="",N(P451)=0),"",SUMIF('Linii ofertă'!$B$5:$B$1004,B451,'Linii ofertă'!$P$5:$P$1004)/P451)</f>
        <v/>
      </c>
      <c r="S451" s="27" t="str">
        <f t="shared" ca="1" si="13"/>
        <v/>
      </c>
      <c r="T451" s="28" t="str">
        <f>IF(B451="","",TRIM(IF(COUNTIF($B$5:$B$504,B451)&gt;1,"Număr dublat. ","")&amp;IF(N(P451)=0,"Oferta nu are linii. ","")&amp;IF(M451="","Completează ce NU include oferta. ","")&amp;IF(AND(ISNUMBER(R451),R451&lt;MarjaMin),"Marjă totală sub minim. ","")&amp;IF(COUNTIFS('Linii ofertă'!$B$5:$B$1004,B451,'Linii ofertă'!$R$5:$R$1004,"Marjă*")&gt;0,"Are linii cu marjă sub minim. ","")&amp;IF(AND(S451="Expirată"),"Valabilitatea a expirat: reconfirmă prețurile. ","")))</f>
        <v/>
      </c>
    </row>
    <row r="452" spans="2:20" x14ac:dyDescent="0.2">
      <c r="B452" s="20"/>
      <c r="C452" s="21"/>
      <c r="D452" s="22"/>
      <c r="E452" s="22"/>
      <c r="F452" s="22"/>
      <c r="G452" s="20"/>
      <c r="H452" s="23" t="str">
        <f t="shared" si="12"/>
        <v/>
      </c>
      <c r="I452" s="22"/>
      <c r="J452" s="22"/>
      <c r="K452" s="24"/>
      <c r="L452" s="22"/>
      <c r="M452" s="22"/>
      <c r="N452" s="20"/>
      <c r="O452" s="21"/>
      <c r="P452" s="25" t="str">
        <f>IF(B452="","",SUMIF('Linii ofertă'!$B$5:$B$1004,B452,'Linii ofertă'!$J$5:$J$1004))</f>
        <v/>
      </c>
      <c r="Q452" s="25" t="str">
        <f>IF(B452="","",SUMIF('Linii ofertă'!$B$5:$B$1004,B452,'Linii ofertă'!$M$5:$M$1004))</f>
        <v/>
      </c>
      <c r="R452" s="26" t="str">
        <f>IF(OR(B452="",N(P452)=0),"",SUMIF('Linii ofertă'!$B$5:$B$1004,B452,'Linii ofertă'!$P$5:$P$1004)/P452)</f>
        <v/>
      </c>
      <c r="S452" s="27" t="str">
        <f t="shared" ca="1" si="13"/>
        <v/>
      </c>
      <c r="T452" s="28" t="str">
        <f>IF(B452="","",TRIM(IF(COUNTIF($B$5:$B$504,B452)&gt;1,"Număr dublat. ","")&amp;IF(N(P452)=0,"Oferta nu are linii. ","")&amp;IF(M452="","Completează ce NU include oferta. ","")&amp;IF(AND(ISNUMBER(R452),R452&lt;MarjaMin),"Marjă totală sub minim. ","")&amp;IF(COUNTIFS('Linii ofertă'!$B$5:$B$1004,B452,'Linii ofertă'!$R$5:$R$1004,"Marjă*")&gt;0,"Are linii cu marjă sub minim. ","")&amp;IF(AND(S452="Expirată"),"Valabilitatea a expirat: reconfirmă prețurile. ","")))</f>
        <v/>
      </c>
    </row>
    <row r="453" spans="2:20" x14ac:dyDescent="0.2">
      <c r="B453" s="20"/>
      <c r="C453" s="21"/>
      <c r="D453" s="22"/>
      <c r="E453" s="22"/>
      <c r="F453" s="22"/>
      <c r="G453" s="20"/>
      <c r="H453" s="23" t="str">
        <f t="shared" ref="H453:H516" si="14">IF(OR(B453="",C453=""),"",C453+IF(G453="",ValImpl,G453))</f>
        <v/>
      </c>
      <c r="I453" s="22"/>
      <c r="J453" s="22"/>
      <c r="K453" s="24"/>
      <c r="L453" s="22"/>
      <c r="M453" s="22"/>
      <c r="N453" s="20"/>
      <c r="O453" s="21"/>
      <c r="P453" s="25" t="str">
        <f>IF(B453="","",SUMIF('Linii ofertă'!$B$5:$B$1004,B453,'Linii ofertă'!$J$5:$J$1004))</f>
        <v/>
      </c>
      <c r="Q453" s="25" t="str">
        <f>IF(B453="","",SUMIF('Linii ofertă'!$B$5:$B$1004,B453,'Linii ofertă'!$M$5:$M$1004))</f>
        <v/>
      </c>
      <c r="R453" s="26" t="str">
        <f>IF(OR(B453="",N(P453)=0),"",SUMIF('Linii ofertă'!$B$5:$B$1004,B453,'Linii ofertă'!$P$5:$P$1004)/P453)</f>
        <v/>
      </c>
      <c r="S453" s="27" t="str">
        <f t="shared" ref="S453:S504" ca="1" si="15">IF(B453="","",IF(AND(OR(N453="Trimisă",N453="În lucru"),ISNUMBER(H453),TODAY()&gt;H453),"Expirată",IF(N453="","În lucru",N453)))</f>
        <v/>
      </c>
      <c r="T453" s="28" t="str">
        <f>IF(B453="","",TRIM(IF(COUNTIF($B$5:$B$504,B453)&gt;1,"Număr dublat. ","")&amp;IF(N(P453)=0,"Oferta nu are linii. ","")&amp;IF(M453="","Completează ce NU include oferta. ","")&amp;IF(AND(ISNUMBER(R453),R453&lt;MarjaMin),"Marjă totală sub minim. ","")&amp;IF(COUNTIFS('Linii ofertă'!$B$5:$B$1004,B453,'Linii ofertă'!$R$5:$R$1004,"Marjă*")&gt;0,"Are linii cu marjă sub minim. ","")&amp;IF(AND(S453="Expirată"),"Valabilitatea a expirat: reconfirmă prețurile. ","")))</f>
        <v/>
      </c>
    </row>
    <row r="454" spans="2:20" x14ac:dyDescent="0.2">
      <c r="B454" s="20"/>
      <c r="C454" s="21"/>
      <c r="D454" s="22"/>
      <c r="E454" s="22"/>
      <c r="F454" s="22"/>
      <c r="G454" s="20"/>
      <c r="H454" s="23" t="str">
        <f t="shared" si="14"/>
        <v/>
      </c>
      <c r="I454" s="22"/>
      <c r="J454" s="22"/>
      <c r="K454" s="24"/>
      <c r="L454" s="22"/>
      <c r="M454" s="22"/>
      <c r="N454" s="20"/>
      <c r="O454" s="21"/>
      <c r="P454" s="25" t="str">
        <f>IF(B454="","",SUMIF('Linii ofertă'!$B$5:$B$1004,B454,'Linii ofertă'!$J$5:$J$1004))</f>
        <v/>
      </c>
      <c r="Q454" s="25" t="str">
        <f>IF(B454="","",SUMIF('Linii ofertă'!$B$5:$B$1004,B454,'Linii ofertă'!$M$5:$M$1004))</f>
        <v/>
      </c>
      <c r="R454" s="26" t="str">
        <f>IF(OR(B454="",N(P454)=0),"",SUMIF('Linii ofertă'!$B$5:$B$1004,B454,'Linii ofertă'!$P$5:$P$1004)/P454)</f>
        <v/>
      </c>
      <c r="S454" s="27" t="str">
        <f t="shared" ca="1" si="15"/>
        <v/>
      </c>
      <c r="T454" s="28" t="str">
        <f>IF(B454="","",TRIM(IF(COUNTIF($B$5:$B$504,B454)&gt;1,"Număr dublat. ","")&amp;IF(N(P454)=0,"Oferta nu are linii. ","")&amp;IF(M454="","Completează ce NU include oferta. ","")&amp;IF(AND(ISNUMBER(R454),R454&lt;MarjaMin),"Marjă totală sub minim. ","")&amp;IF(COUNTIFS('Linii ofertă'!$B$5:$B$1004,B454,'Linii ofertă'!$R$5:$R$1004,"Marjă*")&gt;0,"Are linii cu marjă sub minim. ","")&amp;IF(AND(S454="Expirată"),"Valabilitatea a expirat: reconfirmă prețurile. ","")))</f>
        <v/>
      </c>
    </row>
    <row r="455" spans="2:20" x14ac:dyDescent="0.2">
      <c r="B455" s="20"/>
      <c r="C455" s="21"/>
      <c r="D455" s="22"/>
      <c r="E455" s="22"/>
      <c r="F455" s="22"/>
      <c r="G455" s="20"/>
      <c r="H455" s="23" t="str">
        <f t="shared" si="14"/>
        <v/>
      </c>
      <c r="I455" s="22"/>
      <c r="J455" s="22"/>
      <c r="K455" s="24"/>
      <c r="L455" s="22"/>
      <c r="M455" s="22"/>
      <c r="N455" s="20"/>
      <c r="O455" s="21"/>
      <c r="P455" s="25" t="str">
        <f>IF(B455="","",SUMIF('Linii ofertă'!$B$5:$B$1004,B455,'Linii ofertă'!$J$5:$J$1004))</f>
        <v/>
      </c>
      <c r="Q455" s="25" t="str">
        <f>IF(B455="","",SUMIF('Linii ofertă'!$B$5:$B$1004,B455,'Linii ofertă'!$M$5:$M$1004))</f>
        <v/>
      </c>
      <c r="R455" s="26" t="str">
        <f>IF(OR(B455="",N(P455)=0),"",SUMIF('Linii ofertă'!$B$5:$B$1004,B455,'Linii ofertă'!$P$5:$P$1004)/P455)</f>
        <v/>
      </c>
      <c r="S455" s="27" t="str">
        <f t="shared" ca="1" si="15"/>
        <v/>
      </c>
      <c r="T455" s="28" t="str">
        <f>IF(B455="","",TRIM(IF(COUNTIF($B$5:$B$504,B455)&gt;1,"Număr dublat. ","")&amp;IF(N(P455)=0,"Oferta nu are linii. ","")&amp;IF(M455="","Completează ce NU include oferta. ","")&amp;IF(AND(ISNUMBER(R455),R455&lt;MarjaMin),"Marjă totală sub minim. ","")&amp;IF(COUNTIFS('Linii ofertă'!$B$5:$B$1004,B455,'Linii ofertă'!$R$5:$R$1004,"Marjă*")&gt;0,"Are linii cu marjă sub minim. ","")&amp;IF(AND(S455="Expirată"),"Valabilitatea a expirat: reconfirmă prețurile. ","")))</f>
        <v/>
      </c>
    </row>
    <row r="456" spans="2:20" x14ac:dyDescent="0.2">
      <c r="B456" s="20"/>
      <c r="C456" s="21"/>
      <c r="D456" s="22"/>
      <c r="E456" s="22"/>
      <c r="F456" s="22"/>
      <c r="G456" s="20"/>
      <c r="H456" s="23" t="str">
        <f t="shared" si="14"/>
        <v/>
      </c>
      <c r="I456" s="22"/>
      <c r="J456" s="22"/>
      <c r="K456" s="24"/>
      <c r="L456" s="22"/>
      <c r="M456" s="22"/>
      <c r="N456" s="20"/>
      <c r="O456" s="21"/>
      <c r="P456" s="25" t="str">
        <f>IF(B456="","",SUMIF('Linii ofertă'!$B$5:$B$1004,B456,'Linii ofertă'!$J$5:$J$1004))</f>
        <v/>
      </c>
      <c r="Q456" s="25" t="str">
        <f>IF(B456="","",SUMIF('Linii ofertă'!$B$5:$B$1004,B456,'Linii ofertă'!$M$5:$M$1004))</f>
        <v/>
      </c>
      <c r="R456" s="26" t="str">
        <f>IF(OR(B456="",N(P456)=0),"",SUMIF('Linii ofertă'!$B$5:$B$1004,B456,'Linii ofertă'!$P$5:$P$1004)/P456)</f>
        <v/>
      </c>
      <c r="S456" s="27" t="str">
        <f t="shared" ca="1" si="15"/>
        <v/>
      </c>
      <c r="T456" s="28" t="str">
        <f>IF(B456="","",TRIM(IF(COUNTIF($B$5:$B$504,B456)&gt;1,"Număr dublat. ","")&amp;IF(N(P456)=0,"Oferta nu are linii. ","")&amp;IF(M456="","Completează ce NU include oferta. ","")&amp;IF(AND(ISNUMBER(R456),R456&lt;MarjaMin),"Marjă totală sub minim. ","")&amp;IF(COUNTIFS('Linii ofertă'!$B$5:$B$1004,B456,'Linii ofertă'!$R$5:$R$1004,"Marjă*")&gt;0,"Are linii cu marjă sub minim. ","")&amp;IF(AND(S456="Expirată"),"Valabilitatea a expirat: reconfirmă prețurile. ","")))</f>
        <v/>
      </c>
    </row>
    <row r="457" spans="2:20" x14ac:dyDescent="0.2">
      <c r="B457" s="20"/>
      <c r="C457" s="21"/>
      <c r="D457" s="22"/>
      <c r="E457" s="22"/>
      <c r="F457" s="22"/>
      <c r="G457" s="20"/>
      <c r="H457" s="23" t="str">
        <f t="shared" si="14"/>
        <v/>
      </c>
      <c r="I457" s="22"/>
      <c r="J457" s="22"/>
      <c r="K457" s="24"/>
      <c r="L457" s="22"/>
      <c r="M457" s="22"/>
      <c r="N457" s="20"/>
      <c r="O457" s="21"/>
      <c r="P457" s="25" t="str">
        <f>IF(B457="","",SUMIF('Linii ofertă'!$B$5:$B$1004,B457,'Linii ofertă'!$J$5:$J$1004))</f>
        <v/>
      </c>
      <c r="Q457" s="25" t="str">
        <f>IF(B457="","",SUMIF('Linii ofertă'!$B$5:$B$1004,B457,'Linii ofertă'!$M$5:$M$1004))</f>
        <v/>
      </c>
      <c r="R457" s="26" t="str">
        <f>IF(OR(B457="",N(P457)=0),"",SUMIF('Linii ofertă'!$B$5:$B$1004,B457,'Linii ofertă'!$P$5:$P$1004)/P457)</f>
        <v/>
      </c>
      <c r="S457" s="27" t="str">
        <f t="shared" ca="1" si="15"/>
        <v/>
      </c>
      <c r="T457" s="28" t="str">
        <f>IF(B457="","",TRIM(IF(COUNTIF($B$5:$B$504,B457)&gt;1,"Număr dublat. ","")&amp;IF(N(P457)=0,"Oferta nu are linii. ","")&amp;IF(M457="","Completează ce NU include oferta. ","")&amp;IF(AND(ISNUMBER(R457),R457&lt;MarjaMin),"Marjă totală sub minim. ","")&amp;IF(COUNTIFS('Linii ofertă'!$B$5:$B$1004,B457,'Linii ofertă'!$R$5:$R$1004,"Marjă*")&gt;0,"Are linii cu marjă sub minim. ","")&amp;IF(AND(S457="Expirată"),"Valabilitatea a expirat: reconfirmă prețurile. ","")))</f>
        <v/>
      </c>
    </row>
    <row r="458" spans="2:20" x14ac:dyDescent="0.2">
      <c r="B458" s="20"/>
      <c r="C458" s="21"/>
      <c r="D458" s="22"/>
      <c r="E458" s="22"/>
      <c r="F458" s="22"/>
      <c r="G458" s="20"/>
      <c r="H458" s="23" t="str">
        <f t="shared" si="14"/>
        <v/>
      </c>
      <c r="I458" s="22"/>
      <c r="J458" s="22"/>
      <c r="K458" s="24"/>
      <c r="L458" s="22"/>
      <c r="M458" s="22"/>
      <c r="N458" s="20"/>
      <c r="O458" s="21"/>
      <c r="P458" s="25" t="str">
        <f>IF(B458="","",SUMIF('Linii ofertă'!$B$5:$B$1004,B458,'Linii ofertă'!$J$5:$J$1004))</f>
        <v/>
      </c>
      <c r="Q458" s="25" t="str">
        <f>IF(B458="","",SUMIF('Linii ofertă'!$B$5:$B$1004,B458,'Linii ofertă'!$M$5:$M$1004))</f>
        <v/>
      </c>
      <c r="R458" s="26" t="str">
        <f>IF(OR(B458="",N(P458)=0),"",SUMIF('Linii ofertă'!$B$5:$B$1004,B458,'Linii ofertă'!$P$5:$P$1004)/P458)</f>
        <v/>
      </c>
      <c r="S458" s="27" t="str">
        <f t="shared" ca="1" si="15"/>
        <v/>
      </c>
      <c r="T458" s="28" t="str">
        <f>IF(B458="","",TRIM(IF(COUNTIF($B$5:$B$504,B458)&gt;1,"Număr dublat. ","")&amp;IF(N(P458)=0,"Oferta nu are linii. ","")&amp;IF(M458="","Completează ce NU include oferta. ","")&amp;IF(AND(ISNUMBER(R458),R458&lt;MarjaMin),"Marjă totală sub minim. ","")&amp;IF(COUNTIFS('Linii ofertă'!$B$5:$B$1004,B458,'Linii ofertă'!$R$5:$R$1004,"Marjă*")&gt;0,"Are linii cu marjă sub minim. ","")&amp;IF(AND(S458="Expirată"),"Valabilitatea a expirat: reconfirmă prețurile. ","")))</f>
        <v/>
      </c>
    </row>
    <row r="459" spans="2:20" x14ac:dyDescent="0.2">
      <c r="B459" s="20"/>
      <c r="C459" s="21"/>
      <c r="D459" s="22"/>
      <c r="E459" s="22"/>
      <c r="F459" s="22"/>
      <c r="G459" s="20"/>
      <c r="H459" s="23" t="str">
        <f t="shared" si="14"/>
        <v/>
      </c>
      <c r="I459" s="22"/>
      <c r="J459" s="22"/>
      <c r="K459" s="24"/>
      <c r="L459" s="22"/>
      <c r="M459" s="22"/>
      <c r="N459" s="20"/>
      <c r="O459" s="21"/>
      <c r="P459" s="25" t="str">
        <f>IF(B459="","",SUMIF('Linii ofertă'!$B$5:$B$1004,B459,'Linii ofertă'!$J$5:$J$1004))</f>
        <v/>
      </c>
      <c r="Q459" s="25" t="str">
        <f>IF(B459="","",SUMIF('Linii ofertă'!$B$5:$B$1004,B459,'Linii ofertă'!$M$5:$M$1004))</f>
        <v/>
      </c>
      <c r="R459" s="26" t="str">
        <f>IF(OR(B459="",N(P459)=0),"",SUMIF('Linii ofertă'!$B$5:$B$1004,B459,'Linii ofertă'!$P$5:$P$1004)/P459)</f>
        <v/>
      </c>
      <c r="S459" s="27" t="str">
        <f t="shared" ca="1" si="15"/>
        <v/>
      </c>
      <c r="T459" s="28" t="str">
        <f>IF(B459="","",TRIM(IF(COUNTIF($B$5:$B$504,B459)&gt;1,"Număr dublat. ","")&amp;IF(N(P459)=0,"Oferta nu are linii. ","")&amp;IF(M459="","Completează ce NU include oferta. ","")&amp;IF(AND(ISNUMBER(R459),R459&lt;MarjaMin),"Marjă totală sub minim. ","")&amp;IF(COUNTIFS('Linii ofertă'!$B$5:$B$1004,B459,'Linii ofertă'!$R$5:$R$1004,"Marjă*")&gt;0,"Are linii cu marjă sub minim. ","")&amp;IF(AND(S459="Expirată"),"Valabilitatea a expirat: reconfirmă prețurile. ","")))</f>
        <v/>
      </c>
    </row>
    <row r="460" spans="2:20" x14ac:dyDescent="0.2">
      <c r="B460" s="20"/>
      <c r="C460" s="21"/>
      <c r="D460" s="22"/>
      <c r="E460" s="22"/>
      <c r="F460" s="22"/>
      <c r="G460" s="20"/>
      <c r="H460" s="23" t="str">
        <f t="shared" si="14"/>
        <v/>
      </c>
      <c r="I460" s="22"/>
      <c r="J460" s="22"/>
      <c r="K460" s="24"/>
      <c r="L460" s="22"/>
      <c r="M460" s="22"/>
      <c r="N460" s="20"/>
      <c r="O460" s="21"/>
      <c r="P460" s="25" t="str">
        <f>IF(B460="","",SUMIF('Linii ofertă'!$B$5:$B$1004,B460,'Linii ofertă'!$J$5:$J$1004))</f>
        <v/>
      </c>
      <c r="Q460" s="25" t="str">
        <f>IF(B460="","",SUMIF('Linii ofertă'!$B$5:$B$1004,B460,'Linii ofertă'!$M$5:$M$1004))</f>
        <v/>
      </c>
      <c r="R460" s="26" t="str">
        <f>IF(OR(B460="",N(P460)=0),"",SUMIF('Linii ofertă'!$B$5:$B$1004,B460,'Linii ofertă'!$P$5:$P$1004)/P460)</f>
        <v/>
      </c>
      <c r="S460" s="27" t="str">
        <f t="shared" ca="1" si="15"/>
        <v/>
      </c>
      <c r="T460" s="28" t="str">
        <f>IF(B460="","",TRIM(IF(COUNTIF($B$5:$B$504,B460)&gt;1,"Număr dublat. ","")&amp;IF(N(P460)=0,"Oferta nu are linii. ","")&amp;IF(M460="","Completează ce NU include oferta. ","")&amp;IF(AND(ISNUMBER(R460),R460&lt;MarjaMin),"Marjă totală sub minim. ","")&amp;IF(COUNTIFS('Linii ofertă'!$B$5:$B$1004,B460,'Linii ofertă'!$R$5:$R$1004,"Marjă*")&gt;0,"Are linii cu marjă sub minim. ","")&amp;IF(AND(S460="Expirată"),"Valabilitatea a expirat: reconfirmă prețurile. ","")))</f>
        <v/>
      </c>
    </row>
    <row r="461" spans="2:20" x14ac:dyDescent="0.2">
      <c r="B461" s="20"/>
      <c r="C461" s="21"/>
      <c r="D461" s="22"/>
      <c r="E461" s="22"/>
      <c r="F461" s="22"/>
      <c r="G461" s="20"/>
      <c r="H461" s="23" t="str">
        <f t="shared" si="14"/>
        <v/>
      </c>
      <c r="I461" s="22"/>
      <c r="J461" s="22"/>
      <c r="K461" s="24"/>
      <c r="L461" s="22"/>
      <c r="M461" s="22"/>
      <c r="N461" s="20"/>
      <c r="O461" s="21"/>
      <c r="P461" s="25" t="str">
        <f>IF(B461="","",SUMIF('Linii ofertă'!$B$5:$B$1004,B461,'Linii ofertă'!$J$5:$J$1004))</f>
        <v/>
      </c>
      <c r="Q461" s="25" t="str">
        <f>IF(B461="","",SUMIF('Linii ofertă'!$B$5:$B$1004,B461,'Linii ofertă'!$M$5:$M$1004))</f>
        <v/>
      </c>
      <c r="R461" s="26" t="str">
        <f>IF(OR(B461="",N(P461)=0),"",SUMIF('Linii ofertă'!$B$5:$B$1004,B461,'Linii ofertă'!$P$5:$P$1004)/P461)</f>
        <v/>
      </c>
      <c r="S461" s="27" t="str">
        <f t="shared" ca="1" si="15"/>
        <v/>
      </c>
      <c r="T461" s="28" t="str">
        <f>IF(B461="","",TRIM(IF(COUNTIF($B$5:$B$504,B461)&gt;1,"Număr dublat. ","")&amp;IF(N(P461)=0,"Oferta nu are linii. ","")&amp;IF(M461="","Completează ce NU include oferta. ","")&amp;IF(AND(ISNUMBER(R461),R461&lt;MarjaMin),"Marjă totală sub minim. ","")&amp;IF(COUNTIFS('Linii ofertă'!$B$5:$B$1004,B461,'Linii ofertă'!$R$5:$R$1004,"Marjă*")&gt;0,"Are linii cu marjă sub minim. ","")&amp;IF(AND(S461="Expirată"),"Valabilitatea a expirat: reconfirmă prețurile. ","")))</f>
        <v/>
      </c>
    </row>
    <row r="462" spans="2:20" x14ac:dyDescent="0.2">
      <c r="B462" s="20"/>
      <c r="C462" s="21"/>
      <c r="D462" s="22"/>
      <c r="E462" s="22"/>
      <c r="F462" s="22"/>
      <c r="G462" s="20"/>
      <c r="H462" s="23" t="str">
        <f t="shared" si="14"/>
        <v/>
      </c>
      <c r="I462" s="22"/>
      <c r="J462" s="22"/>
      <c r="K462" s="24"/>
      <c r="L462" s="22"/>
      <c r="M462" s="22"/>
      <c r="N462" s="20"/>
      <c r="O462" s="21"/>
      <c r="P462" s="25" t="str">
        <f>IF(B462="","",SUMIF('Linii ofertă'!$B$5:$B$1004,B462,'Linii ofertă'!$J$5:$J$1004))</f>
        <v/>
      </c>
      <c r="Q462" s="25" t="str">
        <f>IF(B462="","",SUMIF('Linii ofertă'!$B$5:$B$1004,B462,'Linii ofertă'!$M$5:$M$1004))</f>
        <v/>
      </c>
      <c r="R462" s="26" t="str">
        <f>IF(OR(B462="",N(P462)=0),"",SUMIF('Linii ofertă'!$B$5:$B$1004,B462,'Linii ofertă'!$P$5:$P$1004)/P462)</f>
        <v/>
      </c>
      <c r="S462" s="27" t="str">
        <f t="shared" ca="1" si="15"/>
        <v/>
      </c>
      <c r="T462" s="28" t="str">
        <f>IF(B462="","",TRIM(IF(COUNTIF($B$5:$B$504,B462)&gt;1,"Număr dublat. ","")&amp;IF(N(P462)=0,"Oferta nu are linii. ","")&amp;IF(M462="","Completează ce NU include oferta. ","")&amp;IF(AND(ISNUMBER(R462),R462&lt;MarjaMin),"Marjă totală sub minim. ","")&amp;IF(COUNTIFS('Linii ofertă'!$B$5:$B$1004,B462,'Linii ofertă'!$R$5:$R$1004,"Marjă*")&gt;0,"Are linii cu marjă sub minim. ","")&amp;IF(AND(S462="Expirată"),"Valabilitatea a expirat: reconfirmă prețurile. ","")))</f>
        <v/>
      </c>
    </row>
    <row r="463" spans="2:20" x14ac:dyDescent="0.2">
      <c r="B463" s="20"/>
      <c r="C463" s="21"/>
      <c r="D463" s="22"/>
      <c r="E463" s="22"/>
      <c r="F463" s="22"/>
      <c r="G463" s="20"/>
      <c r="H463" s="23" t="str">
        <f t="shared" si="14"/>
        <v/>
      </c>
      <c r="I463" s="22"/>
      <c r="J463" s="22"/>
      <c r="K463" s="24"/>
      <c r="L463" s="22"/>
      <c r="M463" s="22"/>
      <c r="N463" s="20"/>
      <c r="O463" s="21"/>
      <c r="P463" s="25" t="str">
        <f>IF(B463="","",SUMIF('Linii ofertă'!$B$5:$B$1004,B463,'Linii ofertă'!$J$5:$J$1004))</f>
        <v/>
      </c>
      <c r="Q463" s="25" t="str">
        <f>IF(B463="","",SUMIF('Linii ofertă'!$B$5:$B$1004,B463,'Linii ofertă'!$M$5:$M$1004))</f>
        <v/>
      </c>
      <c r="R463" s="26" t="str">
        <f>IF(OR(B463="",N(P463)=0),"",SUMIF('Linii ofertă'!$B$5:$B$1004,B463,'Linii ofertă'!$P$5:$P$1004)/P463)</f>
        <v/>
      </c>
      <c r="S463" s="27" t="str">
        <f t="shared" ca="1" si="15"/>
        <v/>
      </c>
      <c r="T463" s="28" t="str">
        <f>IF(B463="","",TRIM(IF(COUNTIF($B$5:$B$504,B463)&gt;1,"Număr dublat. ","")&amp;IF(N(P463)=0,"Oferta nu are linii. ","")&amp;IF(M463="","Completează ce NU include oferta. ","")&amp;IF(AND(ISNUMBER(R463),R463&lt;MarjaMin),"Marjă totală sub minim. ","")&amp;IF(COUNTIFS('Linii ofertă'!$B$5:$B$1004,B463,'Linii ofertă'!$R$5:$R$1004,"Marjă*")&gt;0,"Are linii cu marjă sub minim. ","")&amp;IF(AND(S463="Expirată"),"Valabilitatea a expirat: reconfirmă prețurile. ","")))</f>
        <v/>
      </c>
    </row>
    <row r="464" spans="2:20" x14ac:dyDescent="0.2">
      <c r="B464" s="20"/>
      <c r="C464" s="21"/>
      <c r="D464" s="22"/>
      <c r="E464" s="22"/>
      <c r="F464" s="22"/>
      <c r="G464" s="20"/>
      <c r="H464" s="23" t="str">
        <f t="shared" si="14"/>
        <v/>
      </c>
      <c r="I464" s="22"/>
      <c r="J464" s="22"/>
      <c r="K464" s="24"/>
      <c r="L464" s="22"/>
      <c r="M464" s="22"/>
      <c r="N464" s="20"/>
      <c r="O464" s="21"/>
      <c r="P464" s="25" t="str">
        <f>IF(B464="","",SUMIF('Linii ofertă'!$B$5:$B$1004,B464,'Linii ofertă'!$J$5:$J$1004))</f>
        <v/>
      </c>
      <c r="Q464" s="25" t="str">
        <f>IF(B464="","",SUMIF('Linii ofertă'!$B$5:$B$1004,B464,'Linii ofertă'!$M$5:$M$1004))</f>
        <v/>
      </c>
      <c r="R464" s="26" t="str">
        <f>IF(OR(B464="",N(P464)=0),"",SUMIF('Linii ofertă'!$B$5:$B$1004,B464,'Linii ofertă'!$P$5:$P$1004)/P464)</f>
        <v/>
      </c>
      <c r="S464" s="27" t="str">
        <f t="shared" ca="1" si="15"/>
        <v/>
      </c>
      <c r="T464" s="28" t="str">
        <f>IF(B464="","",TRIM(IF(COUNTIF($B$5:$B$504,B464)&gt;1,"Număr dublat. ","")&amp;IF(N(P464)=0,"Oferta nu are linii. ","")&amp;IF(M464="","Completează ce NU include oferta. ","")&amp;IF(AND(ISNUMBER(R464),R464&lt;MarjaMin),"Marjă totală sub minim. ","")&amp;IF(COUNTIFS('Linii ofertă'!$B$5:$B$1004,B464,'Linii ofertă'!$R$5:$R$1004,"Marjă*")&gt;0,"Are linii cu marjă sub minim. ","")&amp;IF(AND(S464="Expirată"),"Valabilitatea a expirat: reconfirmă prețurile. ","")))</f>
        <v/>
      </c>
    </row>
    <row r="465" spans="2:20" x14ac:dyDescent="0.2">
      <c r="B465" s="20"/>
      <c r="C465" s="21"/>
      <c r="D465" s="22"/>
      <c r="E465" s="22"/>
      <c r="F465" s="22"/>
      <c r="G465" s="20"/>
      <c r="H465" s="23" t="str">
        <f t="shared" si="14"/>
        <v/>
      </c>
      <c r="I465" s="22"/>
      <c r="J465" s="22"/>
      <c r="K465" s="24"/>
      <c r="L465" s="22"/>
      <c r="M465" s="22"/>
      <c r="N465" s="20"/>
      <c r="O465" s="21"/>
      <c r="P465" s="25" t="str">
        <f>IF(B465="","",SUMIF('Linii ofertă'!$B$5:$B$1004,B465,'Linii ofertă'!$J$5:$J$1004))</f>
        <v/>
      </c>
      <c r="Q465" s="25" t="str">
        <f>IF(B465="","",SUMIF('Linii ofertă'!$B$5:$B$1004,B465,'Linii ofertă'!$M$5:$M$1004))</f>
        <v/>
      </c>
      <c r="R465" s="26" t="str">
        <f>IF(OR(B465="",N(P465)=0),"",SUMIF('Linii ofertă'!$B$5:$B$1004,B465,'Linii ofertă'!$P$5:$P$1004)/P465)</f>
        <v/>
      </c>
      <c r="S465" s="27" t="str">
        <f t="shared" ca="1" si="15"/>
        <v/>
      </c>
      <c r="T465" s="28" t="str">
        <f>IF(B465="","",TRIM(IF(COUNTIF($B$5:$B$504,B465)&gt;1,"Număr dublat. ","")&amp;IF(N(P465)=0,"Oferta nu are linii. ","")&amp;IF(M465="","Completează ce NU include oferta. ","")&amp;IF(AND(ISNUMBER(R465),R465&lt;MarjaMin),"Marjă totală sub minim. ","")&amp;IF(COUNTIFS('Linii ofertă'!$B$5:$B$1004,B465,'Linii ofertă'!$R$5:$R$1004,"Marjă*")&gt;0,"Are linii cu marjă sub minim. ","")&amp;IF(AND(S465="Expirată"),"Valabilitatea a expirat: reconfirmă prețurile. ","")))</f>
        <v/>
      </c>
    </row>
    <row r="466" spans="2:20" x14ac:dyDescent="0.2">
      <c r="B466" s="20"/>
      <c r="C466" s="21"/>
      <c r="D466" s="22"/>
      <c r="E466" s="22"/>
      <c r="F466" s="22"/>
      <c r="G466" s="20"/>
      <c r="H466" s="23" t="str">
        <f t="shared" si="14"/>
        <v/>
      </c>
      <c r="I466" s="22"/>
      <c r="J466" s="22"/>
      <c r="K466" s="24"/>
      <c r="L466" s="22"/>
      <c r="M466" s="22"/>
      <c r="N466" s="20"/>
      <c r="O466" s="21"/>
      <c r="P466" s="25" t="str">
        <f>IF(B466="","",SUMIF('Linii ofertă'!$B$5:$B$1004,B466,'Linii ofertă'!$J$5:$J$1004))</f>
        <v/>
      </c>
      <c r="Q466" s="25" t="str">
        <f>IF(B466="","",SUMIF('Linii ofertă'!$B$5:$B$1004,B466,'Linii ofertă'!$M$5:$M$1004))</f>
        <v/>
      </c>
      <c r="R466" s="26" t="str">
        <f>IF(OR(B466="",N(P466)=0),"",SUMIF('Linii ofertă'!$B$5:$B$1004,B466,'Linii ofertă'!$P$5:$P$1004)/P466)</f>
        <v/>
      </c>
      <c r="S466" s="27" t="str">
        <f t="shared" ca="1" si="15"/>
        <v/>
      </c>
      <c r="T466" s="28" t="str">
        <f>IF(B466="","",TRIM(IF(COUNTIF($B$5:$B$504,B466)&gt;1,"Număr dublat. ","")&amp;IF(N(P466)=0,"Oferta nu are linii. ","")&amp;IF(M466="","Completează ce NU include oferta. ","")&amp;IF(AND(ISNUMBER(R466),R466&lt;MarjaMin),"Marjă totală sub minim. ","")&amp;IF(COUNTIFS('Linii ofertă'!$B$5:$B$1004,B466,'Linii ofertă'!$R$5:$R$1004,"Marjă*")&gt;0,"Are linii cu marjă sub minim. ","")&amp;IF(AND(S466="Expirată"),"Valabilitatea a expirat: reconfirmă prețurile. ","")))</f>
        <v/>
      </c>
    </row>
    <row r="467" spans="2:20" x14ac:dyDescent="0.2">
      <c r="B467" s="20"/>
      <c r="C467" s="21"/>
      <c r="D467" s="22"/>
      <c r="E467" s="22"/>
      <c r="F467" s="22"/>
      <c r="G467" s="20"/>
      <c r="H467" s="23" t="str">
        <f t="shared" si="14"/>
        <v/>
      </c>
      <c r="I467" s="22"/>
      <c r="J467" s="22"/>
      <c r="K467" s="24"/>
      <c r="L467" s="22"/>
      <c r="M467" s="22"/>
      <c r="N467" s="20"/>
      <c r="O467" s="21"/>
      <c r="P467" s="25" t="str">
        <f>IF(B467="","",SUMIF('Linii ofertă'!$B$5:$B$1004,B467,'Linii ofertă'!$J$5:$J$1004))</f>
        <v/>
      </c>
      <c r="Q467" s="25" t="str">
        <f>IF(B467="","",SUMIF('Linii ofertă'!$B$5:$B$1004,B467,'Linii ofertă'!$M$5:$M$1004))</f>
        <v/>
      </c>
      <c r="R467" s="26" t="str">
        <f>IF(OR(B467="",N(P467)=0),"",SUMIF('Linii ofertă'!$B$5:$B$1004,B467,'Linii ofertă'!$P$5:$P$1004)/P467)</f>
        <v/>
      </c>
      <c r="S467" s="27" t="str">
        <f t="shared" ca="1" si="15"/>
        <v/>
      </c>
      <c r="T467" s="28" t="str">
        <f>IF(B467="","",TRIM(IF(COUNTIF($B$5:$B$504,B467)&gt;1,"Număr dublat. ","")&amp;IF(N(P467)=0,"Oferta nu are linii. ","")&amp;IF(M467="","Completează ce NU include oferta. ","")&amp;IF(AND(ISNUMBER(R467),R467&lt;MarjaMin),"Marjă totală sub minim. ","")&amp;IF(COUNTIFS('Linii ofertă'!$B$5:$B$1004,B467,'Linii ofertă'!$R$5:$R$1004,"Marjă*")&gt;0,"Are linii cu marjă sub minim. ","")&amp;IF(AND(S467="Expirată"),"Valabilitatea a expirat: reconfirmă prețurile. ","")))</f>
        <v/>
      </c>
    </row>
    <row r="468" spans="2:20" x14ac:dyDescent="0.2">
      <c r="B468" s="20"/>
      <c r="C468" s="21"/>
      <c r="D468" s="22"/>
      <c r="E468" s="22"/>
      <c r="F468" s="22"/>
      <c r="G468" s="20"/>
      <c r="H468" s="23" t="str">
        <f t="shared" si="14"/>
        <v/>
      </c>
      <c r="I468" s="22"/>
      <c r="J468" s="22"/>
      <c r="K468" s="24"/>
      <c r="L468" s="22"/>
      <c r="M468" s="22"/>
      <c r="N468" s="20"/>
      <c r="O468" s="21"/>
      <c r="P468" s="25" t="str">
        <f>IF(B468="","",SUMIF('Linii ofertă'!$B$5:$B$1004,B468,'Linii ofertă'!$J$5:$J$1004))</f>
        <v/>
      </c>
      <c r="Q468" s="25" t="str">
        <f>IF(B468="","",SUMIF('Linii ofertă'!$B$5:$B$1004,B468,'Linii ofertă'!$M$5:$M$1004))</f>
        <v/>
      </c>
      <c r="R468" s="26" t="str">
        <f>IF(OR(B468="",N(P468)=0),"",SUMIF('Linii ofertă'!$B$5:$B$1004,B468,'Linii ofertă'!$P$5:$P$1004)/P468)</f>
        <v/>
      </c>
      <c r="S468" s="27" t="str">
        <f t="shared" ca="1" si="15"/>
        <v/>
      </c>
      <c r="T468" s="28" t="str">
        <f>IF(B468="","",TRIM(IF(COUNTIF($B$5:$B$504,B468)&gt;1,"Număr dublat. ","")&amp;IF(N(P468)=0,"Oferta nu are linii. ","")&amp;IF(M468="","Completează ce NU include oferta. ","")&amp;IF(AND(ISNUMBER(R468),R468&lt;MarjaMin),"Marjă totală sub minim. ","")&amp;IF(COUNTIFS('Linii ofertă'!$B$5:$B$1004,B468,'Linii ofertă'!$R$5:$R$1004,"Marjă*")&gt;0,"Are linii cu marjă sub minim. ","")&amp;IF(AND(S468="Expirată"),"Valabilitatea a expirat: reconfirmă prețurile. ","")))</f>
        <v/>
      </c>
    </row>
    <row r="469" spans="2:20" x14ac:dyDescent="0.2">
      <c r="B469" s="20"/>
      <c r="C469" s="21"/>
      <c r="D469" s="22"/>
      <c r="E469" s="22"/>
      <c r="F469" s="22"/>
      <c r="G469" s="20"/>
      <c r="H469" s="23" t="str">
        <f t="shared" si="14"/>
        <v/>
      </c>
      <c r="I469" s="22"/>
      <c r="J469" s="22"/>
      <c r="K469" s="24"/>
      <c r="L469" s="22"/>
      <c r="M469" s="22"/>
      <c r="N469" s="20"/>
      <c r="O469" s="21"/>
      <c r="P469" s="25" t="str">
        <f>IF(B469="","",SUMIF('Linii ofertă'!$B$5:$B$1004,B469,'Linii ofertă'!$J$5:$J$1004))</f>
        <v/>
      </c>
      <c r="Q469" s="25" t="str">
        <f>IF(B469="","",SUMIF('Linii ofertă'!$B$5:$B$1004,B469,'Linii ofertă'!$M$5:$M$1004))</f>
        <v/>
      </c>
      <c r="R469" s="26" t="str">
        <f>IF(OR(B469="",N(P469)=0),"",SUMIF('Linii ofertă'!$B$5:$B$1004,B469,'Linii ofertă'!$P$5:$P$1004)/P469)</f>
        <v/>
      </c>
      <c r="S469" s="27" t="str">
        <f t="shared" ca="1" si="15"/>
        <v/>
      </c>
      <c r="T469" s="28" t="str">
        <f>IF(B469="","",TRIM(IF(COUNTIF($B$5:$B$504,B469)&gt;1,"Număr dublat. ","")&amp;IF(N(P469)=0,"Oferta nu are linii. ","")&amp;IF(M469="","Completează ce NU include oferta. ","")&amp;IF(AND(ISNUMBER(R469),R469&lt;MarjaMin),"Marjă totală sub minim. ","")&amp;IF(COUNTIFS('Linii ofertă'!$B$5:$B$1004,B469,'Linii ofertă'!$R$5:$R$1004,"Marjă*")&gt;0,"Are linii cu marjă sub minim. ","")&amp;IF(AND(S469="Expirată"),"Valabilitatea a expirat: reconfirmă prețurile. ","")))</f>
        <v/>
      </c>
    </row>
    <row r="470" spans="2:20" x14ac:dyDescent="0.2">
      <c r="B470" s="20"/>
      <c r="C470" s="21"/>
      <c r="D470" s="22"/>
      <c r="E470" s="22"/>
      <c r="F470" s="22"/>
      <c r="G470" s="20"/>
      <c r="H470" s="23" t="str">
        <f t="shared" si="14"/>
        <v/>
      </c>
      <c r="I470" s="22"/>
      <c r="J470" s="22"/>
      <c r="K470" s="24"/>
      <c r="L470" s="22"/>
      <c r="M470" s="22"/>
      <c r="N470" s="20"/>
      <c r="O470" s="21"/>
      <c r="P470" s="25" t="str">
        <f>IF(B470="","",SUMIF('Linii ofertă'!$B$5:$B$1004,B470,'Linii ofertă'!$J$5:$J$1004))</f>
        <v/>
      </c>
      <c r="Q470" s="25" t="str">
        <f>IF(B470="","",SUMIF('Linii ofertă'!$B$5:$B$1004,B470,'Linii ofertă'!$M$5:$M$1004))</f>
        <v/>
      </c>
      <c r="R470" s="26" t="str">
        <f>IF(OR(B470="",N(P470)=0),"",SUMIF('Linii ofertă'!$B$5:$B$1004,B470,'Linii ofertă'!$P$5:$P$1004)/P470)</f>
        <v/>
      </c>
      <c r="S470" s="27" t="str">
        <f t="shared" ca="1" si="15"/>
        <v/>
      </c>
      <c r="T470" s="28" t="str">
        <f>IF(B470="","",TRIM(IF(COUNTIF($B$5:$B$504,B470)&gt;1,"Număr dublat. ","")&amp;IF(N(P470)=0,"Oferta nu are linii. ","")&amp;IF(M470="","Completează ce NU include oferta. ","")&amp;IF(AND(ISNUMBER(R470),R470&lt;MarjaMin),"Marjă totală sub minim. ","")&amp;IF(COUNTIFS('Linii ofertă'!$B$5:$B$1004,B470,'Linii ofertă'!$R$5:$R$1004,"Marjă*")&gt;0,"Are linii cu marjă sub minim. ","")&amp;IF(AND(S470="Expirată"),"Valabilitatea a expirat: reconfirmă prețurile. ","")))</f>
        <v/>
      </c>
    </row>
    <row r="471" spans="2:20" x14ac:dyDescent="0.2">
      <c r="B471" s="20"/>
      <c r="C471" s="21"/>
      <c r="D471" s="22"/>
      <c r="E471" s="22"/>
      <c r="F471" s="22"/>
      <c r="G471" s="20"/>
      <c r="H471" s="23" t="str">
        <f t="shared" si="14"/>
        <v/>
      </c>
      <c r="I471" s="22"/>
      <c r="J471" s="22"/>
      <c r="K471" s="24"/>
      <c r="L471" s="22"/>
      <c r="M471" s="22"/>
      <c r="N471" s="20"/>
      <c r="O471" s="21"/>
      <c r="P471" s="25" t="str">
        <f>IF(B471="","",SUMIF('Linii ofertă'!$B$5:$B$1004,B471,'Linii ofertă'!$J$5:$J$1004))</f>
        <v/>
      </c>
      <c r="Q471" s="25" t="str">
        <f>IF(B471="","",SUMIF('Linii ofertă'!$B$5:$B$1004,B471,'Linii ofertă'!$M$5:$M$1004))</f>
        <v/>
      </c>
      <c r="R471" s="26" t="str">
        <f>IF(OR(B471="",N(P471)=0),"",SUMIF('Linii ofertă'!$B$5:$B$1004,B471,'Linii ofertă'!$P$5:$P$1004)/P471)</f>
        <v/>
      </c>
      <c r="S471" s="27" t="str">
        <f t="shared" ca="1" si="15"/>
        <v/>
      </c>
      <c r="T471" s="28" t="str">
        <f>IF(B471="","",TRIM(IF(COUNTIF($B$5:$B$504,B471)&gt;1,"Număr dublat. ","")&amp;IF(N(P471)=0,"Oferta nu are linii. ","")&amp;IF(M471="","Completează ce NU include oferta. ","")&amp;IF(AND(ISNUMBER(R471),R471&lt;MarjaMin),"Marjă totală sub minim. ","")&amp;IF(COUNTIFS('Linii ofertă'!$B$5:$B$1004,B471,'Linii ofertă'!$R$5:$R$1004,"Marjă*")&gt;0,"Are linii cu marjă sub minim. ","")&amp;IF(AND(S471="Expirată"),"Valabilitatea a expirat: reconfirmă prețurile. ","")))</f>
        <v/>
      </c>
    </row>
    <row r="472" spans="2:20" x14ac:dyDescent="0.2">
      <c r="B472" s="20"/>
      <c r="C472" s="21"/>
      <c r="D472" s="22"/>
      <c r="E472" s="22"/>
      <c r="F472" s="22"/>
      <c r="G472" s="20"/>
      <c r="H472" s="23" t="str">
        <f t="shared" si="14"/>
        <v/>
      </c>
      <c r="I472" s="22"/>
      <c r="J472" s="22"/>
      <c r="K472" s="24"/>
      <c r="L472" s="22"/>
      <c r="M472" s="22"/>
      <c r="N472" s="20"/>
      <c r="O472" s="21"/>
      <c r="P472" s="25" t="str">
        <f>IF(B472="","",SUMIF('Linii ofertă'!$B$5:$B$1004,B472,'Linii ofertă'!$J$5:$J$1004))</f>
        <v/>
      </c>
      <c r="Q472" s="25" t="str">
        <f>IF(B472="","",SUMIF('Linii ofertă'!$B$5:$B$1004,B472,'Linii ofertă'!$M$5:$M$1004))</f>
        <v/>
      </c>
      <c r="R472" s="26" t="str">
        <f>IF(OR(B472="",N(P472)=0),"",SUMIF('Linii ofertă'!$B$5:$B$1004,B472,'Linii ofertă'!$P$5:$P$1004)/P472)</f>
        <v/>
      </c>
      <c r="S472" s="27" t="str">
        <f t="shared" ca="1" si="15"/>
        <v/>
      </c>
      <c r="T472" s="28" t="str">
        <f>IF(B472="","",TRIM(IF(COUNTIF($B$5:$B$504,B472)&gt;1,"Număr dublat. ","")&amp;IF(N(P472)=0,"Oferta nu are linii. ","")&amp;IF(M472="","Completează ce NU include oferta. ","")&amp;IF(AND(ISNUMBER(R472),R472&lt;MarjaMin),"Marjă totală sub minim. ","")&amp;IF(COUNTIFS('Linii ofertă'!$B$5:$B$1004,B472,'Linii ofertă'!$R$5:$R$1004,"Marjă*")&gt;0,"Are linii cu marjă sub minim. ","")&amp;IF(AND(S472="Expirată"),"Valabilitatea a expirat: reconfirmă prețurile. ","")))</f>
        <v/>
      </c>
    </row>
    <row r="473" spans="2:20" x14ac:dyDescent="0.2">
      <c r="B473" s="20"/>
      <c r="C473" s="21"/>
      <c r="D473" s="22"/>
      <c r="E473" s="22"/>
      <c r="F473" s="22"/>
      <c r="G473" s="20"/>
      <c r="H473" s="23" t="str">
        <f t="shared" si="14"/>
        <v/>
      </c>
      <c r="I473" s="22"/>
      <c r="J473" s="22"/>
      <c r="K473" s="24"/>
      <c r="L473" s="22"/>
      <c r="M473" s="22"/>
      <c r="N473" s="20"/>
      <c r="O473" s="21"/>
      <c r="P473" s="25" t="str">
        <f>IF(B473="","",SUMIF('Linii ofertă'!$B$5:$B$1004,B473,'Linii ofertă'!$J$5:$J$1004))</f>
        <v/>
      </c>
      <c r="Q473" s="25" t="str">
        <f>IF(B473="","",SUMIF('Linii ofertă'!$B$5:$B$1004,B473,'Linii ofertă'!$M$5:$M$1004))</f>
        <v/>
      </c>
      <c r="R473" s="26" t="str">
        <f>IF(OR(B473="",N(P473)=0),"",SUMIF('Linii ofertă'!$B$5:$B$1004,B473,'Linii ofertă'!$P$5:$P$1004)/P473)</f>
        <v/>
      </c>
      <c r="S473" s="27" t="str">
        <f t="shared" ca="1" si="15"/>
        <v/>
      </c>
      <c r="T473" s="28" t="str">
        <f>IF(B473="","",TRIM(IF(COUNTIF($B$5:$B$504,B473)&gt;1,"Număr dublat. ","")&amp;IF(N(P473)=0,"Oferta nu are linii. ","")&amp;IF(M473="","Completează ce NU include oferta. ","")&amp;IF(AND(ISNUMBER(R473),R473&lt;MarjaMin),"Marjă totală sub minim. ","")&amp;IF(COUNTIFS('Linii ofertă'!$B$5:$B$1004,B473,'Linii ofertă'!$R$5:$R$1004,"Marjă*")&gt;0,"Are linii cu marjă sub minim. ","")&amp;IF(AND(S473="Expirată"),"Valabilitatea a expirat: reconfirmă prețurile. ","")))</f>
        <v/>
      </c>
    </row>
    <row r="474" spans="2:20" x14ac:dyDescent="0.2">
      <c r="B474" s="20"/>
      <c r="C474" s="21"/>
      <c r="D474" s="22"/>
      <c r="E474" s="22"/>
      <c r="F474" s="22"/>
      <c r="G474" s="20"/>
      <c r="H474" s="23" t="str">
        <f t="shared" si="14"/>
        <v/>
      </c>
      <c r="I474" s="22"/>
      <c r="J474" s="22"/>
      <c r="K474" s="24"/>
      <c r="L474" s="22"/>
      <c r="M474" s="22"/>
      <c r="N474" s="20"/>
      <c r="O474" s="21"/>
      <c r="P474" s="25" t="str">
        <f>IF(B474="","",SUMIF('Linii ofertă'!$B$5:$B$1004,B474,'Linii ofertă'!$J$5:$J$1004))</f>
        <v/>
      </c>
      <c r="Q474" s="25" t="str">
        <f>IF(B474="","",SUMIF('Linii ofertă'!$B$5:$B$1004,B474,'Linii ofertă'!$M$5:$M$1004))</f>
        <v/>
      </c>
      <c r="R474" s="26" t="str">
        <f>IF(OR(B474="",N(P474)=0),"",SUMIF('Linii ofertă'!$B$5:$B$1004,B474,'Linii ofertă'!$P$5:$P$1004)/P474)</f>
        <v/>
      </c>
      <c r="S474" s="27" t="str">
        <f t="shared" ca="1" si="15"/>
        <v/>
      </c>
      <c r="T474" s="28" t="str">
        <f>IF(B474="","",TRIM(IF(COUNTIF($B$5:$B$504,B474)&gt;1,"Număr dublat. ","")&amp;IF(N(P474)=0,"Oferta nu are linii. ","")&amp;IF(M474="","Completează ce NU include oferta. ","")&amp;IF(AND(ISNUMBER(R474),R474&lt;MarjaMin),"Marjă totală sub minim. ","")&amp;IF(COUNTIFS('Linii ofertă'!$B$5:$B$1004,B474,'Linii ofertă'!$R$5:$R$1004,"Marjă*")&gt;0,"Are linii cu marjă sub minim. ","")&amp;IF(AND(S474="Expirată"),"Valabilitatea a expirat: reconfirmă prețurile. ","")))</f>
        <v/>
      </c>
    </row>
    <row r="475" spans="2:20" x14ac:dyDescent="0.2">
      <c r="B475" s="20"/>
      <c r="C475" s="21"/>
      <c r="D475" s="22"/>
      <c r="E475" s="22"/>
      <c r="F475" s="22"/>
      <c r="G475" s="20"/>
      <c r="H475" s="23" t="str">
        <f t="shared" si="14"/>
        <v/>
      </c>
      <c r="I475" s="22"/>
      <c r="J475" s="22"/>
      <c r="K475" s="24"/>
      <c r="L475" s="22"/>
      <c r="M475" s="22"/>
      <c r="N475" s="20"/>
      <c r="O475" s="21"/>
      <c r="P475" s="25" t="str">
        <f>IF(B475="","",SUMIF('Linii ofertă'!$B$5:$B$1004,B475,'Linii ofertă'!$J$5:$J$1004))</f>
        <v/>
      </c>
      <c r="Q475" s="25" t="str">
        <f>IF(B475="","",SUMIF('Linii ofertă'!$B$5:$B$1004,B475,'Linii ofertă'!$M$5:$M$1004))</f>
        <v/>
      </c>
      <c r="R475" s="26" t="str">
        <f>IF(OR(B475="",N(P475)=0),"",SUMIF('Linii ofertă'!$B$5:$B$1004,B475,'Linii ofertă'!$P$5:$P$1004)/P475)</f>
        <v/>
      </c>
      <c r="S475" s="27" t="str">
        <f t="shared" ca="1" si="15"/>
        <v/>
      </c>
      <c r="T475" s="28" t="str">
        <f>IF(B475="","",TRIM(IF(COUNTIF($B$5:$B$504,B475)&gt;1,"Număr dublat. ","")&amp;IF(N(P475)=0,"Oferta nu are linii. ","")&amp;IF(M475="","Completează ce NU include oferta. ","")&amp;IF(AND(ISNUMBER(R475),R475&lt;MarjaMin),"Marjă totală sub minim. ","")&amp;IF(COUNTIFS('Linii ofertă'!$B$5:$B$1004,B475,'Linii ofertă'!$R$5:$R$1004,"Marjă*")&gt;0,"Are linii cu marjă sub minim. ","")&amp;IF(AND(S475="Expirată"),"Valabilitatea a expirat: reconfirmă prețurile. ","")))</f>
        <v/>
      </c>
    </row>
    <row r="476" spans="2:20" x14ac:dyDescent="0.2">
      <c r="B476" s="20"/>
      <c r="C476" s="21"/>
      <c r="D476" s="22"/>
      <c r="E476" s="22"/>
      <c r="F476" s="22"/>
      <c r="G476" s="20"/>
      <c r="H476" s="23" t="str">
        <f t="shared" si="14"/>
        <v/>
      </c>
      <c r="I476" s="22"/>
      <c r="J476" s="22"/>
      <c r="K476" s="24"/>
      <c r="L476" s="22"/>
      <c r="M476" s="22"/>
      <c r="N476" s="20"/>
      <c r="O476" s="21"/>
      <c r="P476" s="25" t="str">
        <f>IF(B476="","",SUMIF('Linii ofertă'!$B$5:$B$1004,B476,'Linii ofertă'!$J$5:$J$1004))</f>
        <v/>
      </c>
      <c r="Q476" s="25" t="str">
        <f>IF(B476="","",SUMIF('Linii ofertă'!$B$5:$B$1004,B476,'Linii ofertă'!$M$5:$M$1004))</f>
        <v/>
      </c>
      <c r="R476" s="26" t="str">
        <f>IF(OR(B476="",N(P476)=0),"",SUMIF('Linii ofertă'!$B$5:$B$1004,B476,'Linii ofertă'!$P$5:$P$1004)/P476)</f>
        <v/>
      </c>
      <c r="S476" s="27" t="str">
        <f t="shared" ca="1" si="15"/>
        <v/>
      </c>
      <c r="T476" s="28" t="str">
        <f>IF(B476="","",TRIM(IF(COUNTIF($B$5:$B$504,B476)&gt;1,"Număr dublat. ","")&amp;IF(N(P476)=0,"Oferta nu are linii. ","")&amp;IF(M476="","Completează ce NU include oferta. ","")&amp;IF(AND(ISNUMBER(R476),R476&lt;MarjaMin),"Marjă totală sub minim. ","")&amp;IF(COUNTIFS('Linii ofertă'!$B$5:$B$1004,B476,'Linii ofertă'!$R$5:$R$1004,"Marjă*")&gt;0,"Are linii cu marjă sub minim. ","")&amp;IF(AND(S476="Expirată"),"Valabilitatea a expirat: reconfirmă prețurile. ","")))</f>
        <v/>
      </c>
    </row>
    <row r="477" spans="2:20" x14ac:dyDescent="0.2">
      <c r="B477" s="20"/>
      <c r="C477" s="21"/>
      <c r="D477" s="22"/>
      <c r="E477" s="22"/>
      <c r="F477" s="22"/>
      <c r="G477" s="20"/>
      <c r="H477" s="23" t="str">
        <f t="shared" si="14"/>
        <v/>
      </c>
      <c r="I477" s="22"/>
      <c r="J477" s="22"/>
      <c r="K477" s="24"/>
      <c r="L477" s="22"/>
      <c r="M477" s="22"/>
      <c r="N477" s="20"/>
      <c r="O477" s="21"/>
      <c r="P477" s="25" t="str">
        <f>IF(B477="","",SUMIF('Linii ofertă'!$B$5:$B$1004,B477,'Linii ofertă'!$J$5:$J$1004))</f>
        <v/>
      </c>
      <c r="Q477" s="25" t="str">
        <f>IF(B477="","",SUMIF('Linii ofertă'!$B$5:$B$1004,B477,'Linii ofertă'!$M$5:$M$1004))</f>
        <v/>
      </c>
      <c r="R477" s="26" t="str">
        <f>IF(OR(B477="",N(P477)=0),"",SUMIF('Linii ofertă'!$B$5:$B$1004,B477,'Linii ofertă'!$P$5:$P$1004)/P477)</f>
        <v/>
      </c>
      <c r="S477" s="27" t="str">
        <f t="shared" ca="1" si="15"/>
        <v/>
      </c>
      <c r="T477" s="28" t="str">
        <f>IF(B477="","",TRIM(IF(COUNTIF($B$5:$B$504,B477)&gt;1,"Număr dublat. ","")&amp;IF(N(P477)=0,"Oferta nu are linii. ","")&amp;IF(M477="","Completează ce NU include oferta. ","")&amp;IF(AND(ISNUMBER(R477),R477&lt;MarjaMin),"Marjă totală sub minim. ","")&amp;IF(COUNTIFS('Linii ofertă'!$B$5:$B$1004,B477,'Linii ofertă'!$R$5:$R$1004,"Marjă*")&gt;0,"Are linii cu marjă sub minim. ","")&amp;IF(AND(S477="Expirată"),"Valabilitatea a expirat: reconfirmă prețurile. ","")))</f>
        <v/>
      </c>
    </row>
    <row r="478" spans="2:20" x14ac:dyDescent="0.2">
      <c r="B478" s="20"/>
      <c r="C478" s="21"/>
      <c r="D478" s="22"/>
      <c r="E478" s="22"/>
      <c r="F478" s="22"/>
      <c r="G478" s="20"/>
      <c r="H478" s="23" t="str">
        <f t="shared" si="14"/>
        <v/>
      </c>
      <c r="I478" s="22"/>
      <c r="J478" s="22"/>
      <c r="K478" s="24"/>
      <c r="L478" s="22"/>
      <c r="M478" s="22"/>
      <c r="N478" s="20"/>
      <c r="O478" s="21"/>
      <c r="P478" s="25" t="str">
        <f>IF(B478="","",SUMIF('Linii ofertă'!$B$5:$B$1004,B478,'Linii ofertă'!$J$5:$J$1004))</f>
        <v/>
      </c>
      <c r="Q478" s="25" t="str">
        <f>IF(B478="","",SUMIF('Linii ofertă'!$B$5:$B$1004,B478,'Linii ofertă'!$M$5:$M$1004))</f>
        <v/>
      </c>
      <c r="R478" s="26" t="str">
        <f>IF(OR(B478="",N(P478)=0),"",SUMIF('Linii ofertă'!$B$5:$B$1004,B478,'Linii ofertă'!$P$5:$P$1004)/P478)</f>
        <v/>
      </c>
      <c r="S478" s="27" t="str">
        <f t="shared" ca="1" si="15"/>
        <v/>
      </c>
      <c r="T478" s="28" t="str">
        <f>IF(B478="","",TRIM(IF(COUNTIF($B$5:$B$504,B478)&gt;1,"Număr dublat. ","")&amp;IF(N(P478)=0,"Oferta nu are linii. ","")&amp;IF(M478="","Completează ce NU include oferta. ","")&amp;IF(AND(ISNUMBER(R478),R478&lt;MarjaMin),"Marjă totală sub minim. ","")&amp;IF(COUNTIFS('Linii ofertă'!$B$5:$B$1004,B478,'Linii ofertă'!$R$5:$R$1004,"Marjă*")&gt;0,"Are linii cu marjă sub minim. ","")&amp;IF(AND(S478="Expirată"),"Valabilitatea a expirat: reconfirmă prețurile. ","")))</f>
        <v/>
      </c>
    </row>
    <row r="479" spans="2:20" x14ac:dyDescent="0.2">
      <c r="B479" s="20"/>
      <c r="C479" s="21"/>
      <c r="D479" s="22"/>
      <c r="E479" s="22"/>
      <c r="F479" s="22"/>
      <c r="G479" s="20"/>
      <c r="H479" s="23" t="str">
        <f t="shared" si="14"/>
        <v/>
      </c>
      <c r="I479" s="22"/>
      <c r="J479" s="22"/>
      <c r="K479" s="24"/>
      <c r="L479" s="22"/>
      <c r="M479" s="22"/>
      <c r="N479" s="20"/>
      <c r="O479" s="21"/>
      <c r="P479" s="25" t="str">
        <f>IF(B479="","",SUMIF('Linii ofertă'!$B$5:$B$1004,B479,'Linii ofertă'!$J$5:$J$1004))</f>
        <v/>
      </c>
      <c r="Q479" s="25" t="str">
        <f>IF(B479="","",SUMIF('Linii ofertă'!$B$5:$B$1004,B479,'Linii ofertă'!$M$5:$M$1004))</f>
        <v/>
      </c>
      <c r="R479" s="26" t="str">
        <f>IF(OR(B479="",N(P479)=0),"",SUMIF('Linii ofertă'!$B$5:$B$1004,B479,'Linii ofertă'!$P$5:$P$1004)/P479)</f>
        <v/>
      </c>
      <c r="S479" s="27" t="str">
        <f t="shared" ca="1" si="15"/>
        <v/>
      </c>
      <c r="T479" s="28" t="str">
        <f>IF(B479="","",TRIM(IF(COUNTIF($B$5:$B$504,B479)&gt;1,"Număr dublat. ","")&amp;IF(N(P479)=0,"Oferta nu are linii. ","")&amp;IF(M479="","Completează ce NU include oferta. ","")&amp;IF(AND(ISNUMBER(R479),R479&lt;MarjaMin),"Marjă totală sub minim. ","")&amp;IF(COUNTIFS('Linii ofertă'!$B$5:$B$1004,B479,'Linii ofertă'!$R$5:$R$1004,"Marjă*")&gt;0,"Are linii cu marjă sub minim. ","")&amp;IF(AND(S479="Expirată"),"Valabilitatea a expirat: reconfirmă prețurile. ","")))</f>
        <v/>
      </c>
    </row>
    <row r="480" spans="2:20" x14ac:dyDescent="0.2">
      <c r="B480" s="20"/>
      <c r="C480" s="21"/>
      <c r="D480" s="22"/>
      <c r="E480" s="22"/>
      <c r="F480" s="22"/>
      <c r="G480" s="20"/>
      <c r="H480" s="23" t="str">
        <f t="shared" si="14"/>
        <v/>
      </c>
      <c r="I480" s="22"/>
      <c r="J480" s="22"/>
      <c r="K480" s="24"/>
      <c r="L480" s="22"/>
      <c r="M480" s="22"/>
      <c r="N480" s="20"/>
      <c r="O480" s="21"/>
      <c r="P480" s="25" t="str">
        <f>IF(B480="","",SUMIF('Linii ofertă'!$B$5:$B$1004,B480,'Linii ofertă'!$J$5:$J$1004))</f>
        <v/>
      </c>
      <c r="Q480" s="25" t="str">
        <f>IF(B480="","",SUMIF('Linii ofertă'!$B$5:$B$1004,B480,'Linii ofertă'!$M$5:$M$1004))</f>
        <v/>
      </c>
      <c r="R480" s="26" t="str">
        <f>IF(OR(B480="",N(P480)=0),"",SUMIF('Linii ofertă'!$B$5:$B$1004,B480,'Linii ofertă'!$P$5:$P$1004)/P480)</f>
        <v/>
      </c>
      <c r="S480" s="27" t="str">
        <f t="shared" ca="1" si="15"/>
        <v/>
      </c>
      <c r="T480" s="28" t="str">
        <f>IF(B480="","",TRIM(IF(COUNTIF($B$5:$B$504,B480)&gt;1,"Număr dublat. ","")&amp;IF(N(P480)=0,"Oferta nu are linii. ","")&amp;IF(M480="","Completează ce NU include oferta. ","")&amp;IF(AND(ISNUMBER(R480),R480&lt;MarjaMin),"Marjă totală sub minim. ","")&amp;IF(COUNTIFS('Linii ofertă'!$B$5:$B$1004,B480,'Linii ofertă'!$R$5:$R$1004,"Marjă*")&gt;0,"Are linii cu marjă sub minim. ","")&amp;IF(AND(S480="Expirată"),"Valabilitatea a expirat: reconfirmă prețurile. ","")))</f>
        <v/>
      </c>
    </row>
    <row r="481" spans="2:20" x14ac:dyDescent="0.2">
      <c r="B481" s="20"/>
      <c r="C481" s="21"/>
      <c r="D481" s="22"/>
      <c r="E481" s="22"/>
      <c r="F481" s="22"/>
      <c r="G481" s="20"/>
      <c r="H481" s="23" t="str">
        <f t="shared" si="14"/>
        <v/>
      </c>
      <c r="I481" s="22"/>
      <c r="J481" s="22"/>
      <c r="K481" s="24"/>
      <c r="L481" s="22"/>
      <c r="M481" s="22"/>
      <c r="N481" s="20"/>
      <c r="O481" s="21"/>
      <c r="P481" s="25" t="str">
        <f>IF(B481="","",SUMIF('Linii ofertă'!$B$5:$B$1004,B481,'Linii ofertă'!$J$5:$J$1004))</f>
        <v/>
      </c>
      <c r="Q481" s="25" t="str">
        <f>IF(B481="","",SUMIF('Linii ofertă'!$B$5:$B$1004,B481,'Linii ofertă'!$M$5:$M$1004))</f>
        <v/>
      </c>
      <c r="R481" s="26" t="str">
        <f>IF(OR(B481="",N(P481)=0),"",SUMIF('Linii ofertă'!$B$5:$B$1004,B481,'Linii ofertă'!$P$5:$P$1004)/P481)</f>
        <v/>
      </c>
      <c r="S481" s="27" t="str">
        <f t="shared" ca="1" si="15"/>
        <v/>
      </c>
      <c r="T481" s="28" t="str">
        <f>IF(B481="","",TRIM(IF(COUNTIF($B$5:$B$504,B481)&gt;1,"Număr dublat. ","")&amp;IF(N(P481)=0,"Oferta nu are linii. ","")&amp;IF(M481="","Completează ce NU include oferta. ","")&amp;IF(AND(ISNUMBER(R481),R481&lt;MarjaMin),"Marjă totală sub minim. ","")&amp;IF(COUNTIFS('Linii ofertă'!$B$5:$B$1004,B481,'Linii ofertă'!$R$5:$R$1004,"Marjă*")&gt;0,"Are linii cu marjă sub minim. ","")&amp;IF(AND(S481="Expirată"),"Valabilitatea a expirat: reconfirmă prețurile. ","")))</f>
        <v/>
      </c>
    </row>
    <row r="482" spans="2:20" x14ac:dyDescent="0.2">
      <c r="B482" s="20"/>
      <c r="C482" s="21"/>
      <c r="D482" s="22"/>
      <c r="E482" s="22"/>
      <c r="F482" s="22"/>
      <c r="G482" s="20"/>
      <c r="H482" s="23" t="str">
        <f t="shared" si="14"/>
        <v/>
      </c>
      <c r="I482" s="22"/>
      <c r="J482" s="22"/>
      <c r="K482" s="24"/>
      <c r="L482" s="22"/>
      <c r="M482" s="22"/>
      <c r="N482" s="20"/>
      <c r="O482" s="21"/>
      <c r="P482" s="25" t="str">
        <f>IF(B482="","",SUMIF('Linii ofertă'!$B$5:$B$1004,B482,'Linii ofertă'!$J$5:$J$1004))</f>
        <v/>
      </c>
      <c r="Q482" s="25" t="str">
        <f>IF(B482="","",SUMIF('Linii ofertă'!$B$5:$B$1004,B482,'Linii ofertă'!$M$5:$M$1004))</f>
        <v/>
      </c>
      <c r="R482" s="26" t="str">
        <f>IF(OR(B482="",N(P482)=0),"",SUMIF('Linii ofertă'!$B$5:$B$1004,B482,'Linii ofertă'!$P$5:$P$1004)/P482)</f>
        <v/>
      </c>
      <c r="S482" s="27" t="str">
        <f t="shared" ca="1" si="15"/>
        <v/>
      </c>
      <c r="T482" s="28" t="str">
        <f>IF(B482="","",TRIM(IF(COUNTIF($B$5:$B$504,B482)&gt;1,"Număr dublat. ","")&amp;IF(N(P482)=0,"Oferta nu are linii. ","")&amp;IF(M482="","Completează ce NU include oferta. ","")&amp;IF(AND(ISNUMBER(R482),R482&lt;MarjaMin),"Marjă totală sub minim. ","")&amp;IF(COUNTIFS('Linii ofertă'!$B$5:$B$1004,B482,'Linii ofertă'!$R$5:$R$1004,"Marjă*")&gt;0,"Are linii cu marjă sub minim. ","")&amp;IF(AND(S482="Expirată"),"Valabilitatea a expirat: reconfirmă prețurile. ","")))</f>
        <v/>
      </c>
    </row>
    <row r="483" spans="2:20" x14ac:dyDescent="0.2">
      <c r="B483" s="20"/>
      <c r="C483" s="21"/>
      <c r="D483" s="22"/>
      <c r="E483" s="22"/>
      <c r="F483" s="22"/>
      <c r="G483" s="20"/>
      <c r="H483" s="23" t="str">
        <f t="shared" si="14"/>
        <v/>
      </c>
      <c r="I483" s="22"/>
      <c r="J483" s="22"/>
      <c r="K483" s="24"/>
      <c r="L483" s="22"/>
      <c r="M483" s="22"/>
      <c r="N483" s="20"/>
      <c r="O483" s="21"/>
      <c r="P483" s="25" t="str">
        <f>IF(B483="","",SUMIF('Linii ofertă'!$B$5:$B$1004,B483,'Linii ofertă'!$J$5:$J$1004))</f>
        <v/>
      </c>
      <c r="Q483" s="25" t="str">
        <f>IF(B483="","",SUMIF('Linii ofertă'!$B$5:$B$1004,B483,'Linii ofertă'!$M$5:$M$1004))</f>
        <v/>
      </c>
      <c r="R483" s="26" t="str">
        <f>IF(OR(B483="",N(P483)=0),"",SUMIF('Linii ofertă'!$B$5:$B$1004,B483,'Linii ofertă'!$P$5:$P$1004)/P483)</f>
        <v/>
      </c>
      <c r="S483" s="27" t="str">
        <f t="shared" ca="1" si="15"/>
        <v/>
      </c>
      <c r="T483" s="28" t="str">
        <f>IF(B483="","",TRIM(IF(COUNTIF($B$5:$B$504,B483)&gt;1,"Număr dublat. ","")&amp;IF(N(P483)=0,"Oferta nu are linii. ","")&amp;IF(M483="","Completează ce NU include oferta. ","")&amp;IF(AND(ISNUMBER(R483),R483&lt;MarjaMin),"Marjă totală sub minim. ","")&amp;IF(COUNTIFS('Linii ofertă'!$B$5:$B$1004,B483,'Linii ofertă'!$R$5:$R$1004,"Marjă*")&gt;0,"Are linii cu marjă sub minim. ","")&amp;IF(AND(S483="Expirată"),"Valabilitatea a expirat: reconfirmă prețurile. ","")))</f>
        <v/>
      </c>
    </row>
    <row r="484" spans="2:20" x14ac:dyDescent="0.2">
      <c r="B484" s="20"/>
      <c r="C484" s="21"/>
      <c r="D484" s="22"/>
      <c r="E484" s="22"/>
      <c r="F484" s="22"/>
      <c r="G484" s="20"/>
      <c r="H484" s="23" t="str">
        <f t="shared" si="14"/>
        <v/>
      </c>
      <c r="I484" s="22"/>
      <c r="J484" s="22"/>
      <c r="K484" s="24"/>
      <c r="L484" s="22"/>
      <c r="M484" s="22"/>
      <c r="N484" s="20"/>
      <c r="O484" s="21"/>
      <c r="P484" s="25" t="str">
        <f>IF(B484="","",SUMIF('Linii ofertă'!$B$5:$B$1004,B484,'Linii ofertă'!$J$5:$J$1004))</f>
        <v/>
      </c>
      <c r="Q484" s="25" t="str">
        <f>IF(B484="","",SUMIF('Linii ofertă'!$B$5:$B$1004,B484,'Linii ofertă'!$M$5:$M$1004))</f>
        <v/>
      </c>
      <c r="R484" s="26" t="str">
        <f>IF(OR(B484="",N(P484)=0),"",SUMIF('Linii ofertă'!$B$5:$B$1004,B484,'Linii ofertă'!$P$5:$P$1004)/P484)</f>
        <v/>
      </c>
      <c r="S484" s="27" t="str">
        <f t="shared" ca="1" si="15"/>
        <v/>
      </c>
      <c r="T484" s="28" t="str">
        <f>IF(B484="","",TRIM(IF(COUNTIF($B$5:$B$504,B484)&gt;1,"Număr dublat. ","")&amp;IF(N(P484)=0,"Oferta nu are linii. ","")&amp;IF(M484="","Completează ce NU include oferta. ","")&amp;IF(AND(ISNUMBER(R484),R484&lt;MarjaMin),"Marjă totală sub minim. ","")&amp;IF(COUNTIFS('Linii ofertă'!$B$5:$B$1004,B484,'Linii ofertă'!$R$5:$R$1004,"Marjă*")&gt;0,"Are linii cu marjă sub minim. ","")&amp;IF(AND(S484="Expirată"),"Valabilitatea a expirat: reconfirmă prețurile. ","")))</f>
        <v/>
      </c>
    </row>
    <row r="485" spans="2:20" x14ac:dyDescent="0.2">
      <c r="B485" s="20"/>
      <c r="C485" s="21"/>
      <c r="D485" s="22"/>
      <c r="E485" s="22"/>
      <c r="F485" s="22"/>
      <c r="G485" s="20"/>
      <c r="H485" s="23" t="str">
        <f t="shared" si="14"/>
        <v/>
      </c>
      <c r="I485" s="22"/>
      <c r="J485" s="22"/>
      <c r="K485" s="24"/>
      <c r="L485" s="22"/>
      <c r="M485" s="22"/>
      <c r="N485" s="20"/>
      <c r="O485" s="21"/>
      <c r="P485" s="25" t="str">
        <f>IF(B485="","",SUMIF('Linii ofertă'!$B$5:$B$1004,B485,'Linii ofertă'!$J$5:$J$1004))</f>
        <v/>
      </c>
      <c r="Q485" s="25" t="str">
        <f>IF(B485="","",SUMIF('Linii ofertă'!$B$5:$B$1004,B485,'Linii ofertă'!$M$5:$M$1004))</f>
        <v/>
      </c>
      <c r="R485" s="26" t="str">
        <f>IF(OR(B485="",N(P485)=0),"",SUMIF('Linii ofertă'!$B$5:$B$1004,B485,'Linii ofertă'!$P$5:$P$1004)/P485)</f>
        <v/>
      </c>
      <c r="S485" s="27" t="str">
        <f t="shared" ca="1" si="15"/>
        <v/>
      </c>
      <c r="T485" s="28" t="str">
        <f>IF(B485="","",TRIM(IF(COUNTIF($B$5:$B$504,B485)&gt;1,"Număr dublat. ","")&amp;IF(N(P485)=0,"Oferta nu are linii. ","")&amp;IF(M485="","Completează ce NU include oferta. ","")&amp;IF(AND(ISNUMBER(R485),R485&lt;MarjaMin),"Marjă totală sub minim. ","")&amp;IF(COUNTIFS('Linii ofertă'!$B$5:$B$1004,B485,'Linii ofertă'!$R$5:$R$1004,"Marjă*")&gt;0,"Are linii cu marjă sub minim. ","")&amp;IF(AND(S485="Expirată"),"Valabilitatea a expirat: reconfirmă prețurile. ","")))</f>
        <v/>
      </c>
    </row>
    <row r="486" spans="2:20" x14ac:dyDescent="0.2">
      <c r="B486" s="20"/>
      <c r="C486" s="21"/>
      <c r="D486" s="22"/>
      <c r="E486" s="22"/>
      <c r="F486" s="22"/>
      <c r="G486" s="20"/>
      <c r="H486" s="23" t="str">
        <f t="shared" si="14"/>
        <v/>
      </c>
      <c r="I486" s="22"/>
      <c r="J486" s="22"/>
      <c r="K486" s="24"/>
      <c r="L486" s="22"/>
      <c r="M486" s="22"/>
      <c r="N486" s="20"/>
      <c r="O486" s="21"/>
      <c r="P486" s="25" t="str">
        <f>IF(B486="","",SUMIF('Linii ofertă'!$B$5:$B$1004,B486,'Linii ofertă'!$J$5:$J$1004))</f>
        <v/>
      </c>
      <c r="Q486" s="25" t="str">
        <f>IF(B486="","",SUMIF('Linii ofertă'!$B$5:$B$1004,B486,'Linii ofertă'!$M$5:$M$1004))</f>
        <v/>
      </c>
      <c r="R486" s="26" t="str">
        <f>IF(OR(B486="",N(P486)=0),"",SUMIF('Linii ofertă'!$B$5:$B$1004,B486,'Linii ofertă'!$P$5:$P$1004)/P486)</f>
        <v/>
      </c>
      <c r="S486" s="27" t="str">
        <f t="shared" ca="1" si="15"/>
        <v/>
      </c>
      <c r="T486" s="28" t="str">
        <f>IF(B486="","",TRIM(IF(COUNTIF($B$5:$B$504,B486)&gt;1,"Număr dublat. ","")&amp;IF(N(P486)=0,"Oferta nu are linii. ","")&amp;IF(M486="","Completează ce NU include oferta. ","")&amp;IF(AND(ISNUMBER(R486),R486&lt;MarjaMin),"Marjă totală sub minim. ","")&amp;IF(COUNTIFS('Linii ofertă'!$B$5:$B$1004,B486,'Linii ofertă'!$R$5:$R$1004,"Marjă*")&gt;0,"Are linii cu marjă sub minim. ","")&amp;IF(AND(S486="Expirată"),"Valabilitatea a expirat: reconfirmă prețurile. ","")))</f>
        <v/>
      </c>
    </row>
    <row r="487" spans="2:20" x14ac:dyDescent="0.2">
      <c r="B487" s="20"/>
      <c r="C487" s="21"/>
      <c r="D487" s="22"/>
      <c r="E487" s="22"/>
      <c r="F487" s="22"/>
      <c r="G487" s="20"/>
      <c r="H487" s="23" t="str">
        <f t="shared" si="14"/>
        <v/>
      </c>
      <c r="I487" s="22"/>
      <c r="J487" s="22"/>
      <c r="K487" s="24"/>
      <c r="L487" s="22"/>
      <c r="M487" s="22"/>
      <c r="N487" s="20"/>
      <c r="O487" s="21"/>
      <c r="P487" s="25" t="str">
        <f>IF(B487="","",SUMIF('Linii ofertă'!$B$5:$B$1004,B487,'Linii ofertă'!$J$5:$J$1004))</f>
        <v/>
      </c>
      <c r="Q487" s="25" t="str">
        <f>IF(B487="","",SUMIF('Linii ofertă'!$B$5:$B$1004,B487,'Linii ofertă'!$M$5:$M$1004))</f>
        <v/>
      </c>
      <c r="R487" s="26" t="str">
        <f>IF(OR(B487="",N(P487)=0),"",SUMIF('Linii ofertă'!$B$5:$B$1004,B487,'Linii ofertă'!$P$5:$P$1004)/P487)</f>
        <v/>
      </c>
      <c r="S487" s="27" t="str">
        <f t="shared" ca="1" si="15"/>
        <v/>
      </c>
      <c r="T487" s="28" t="str">
        <f>IF(B487="","",TRIM(IF(COUNTIF($B$5:$B$504,B487)&gt;1,"Număr dublat. ","")&amp;IF(N(P487)=0,"Oferta nu are linii. ","")&amp;IF(M487="","Completează ce NU include oferta. ","")&amp;IF(AND(ISNUMBER(R487),R487&lt;MarjaMin),"Marjă totală sub minim. ","")&amp;IF(COUNTIFS('Linii ofertă'!$B$5:$B$1004,B487,'Linii ofertă'!$R$5:$R$1004,"Marjă*")&gt;0,"Are linii cu marjă sub minim. ","")&amp;IF(AND(S487="Expirată"),"Valabilitatea a expirat: reconfirmă prețurile. ","")))</f>
        <v/>
      </c>
    </row>
    <row r="488" spans="2:20" x14ac:dyDescent="0.2">
      <c r="B488" s="20"/>
      <c r="C488" s="21"/>
      <c r="D488" s="22"/>
      <c r="E488" s="22"/>
      <c r="F488" s="22"/>
      <c r="G488" s="20"/>
      <c r="H488" s="23" t="str">
        <f t="shared" si="14"/>
        <v/>
      </c>
      <c r="I488" s="22"/>
      <c r="J488" s="22"/>
      <c r="K488" s="24"/>
      <c r="L488" s="22"/>
      <c r="M488" s="22"/>
      <c r="N488" s="20"/>
      <c r="O488" s="21"/>
      <c r="P488" s="25" t="str">
        <f>IF(B488="","",SUMIF('Linii ofertă'!$B$5:$B$1004,B488,'Linii ofertă'!$J$5:$J$1004))</f>
        <v/>
      </c>
      <c r="Q488" s="25" t="str">
        <f>IF(B488="","",SUMIF('Linii ofertă'!$B$5:$B$1004,B488,'Linii ofertă'!$M$5:$M$1004))</f>
        <v/>
      </c>
      <c r="R488" s="26" t="str">
        <f>IF(OR(B488="",N(P488)=0),"",SUMIF('Linii ofertă'!$B$5:$B$1004,B488,'Linii ofertă'!$P$5:$P$1004)/P488)</f>
        <v/>
      </c>
      <c r="S488" s="27" t="str">
        <f t="shared" ca="1" si="15"/>
        <v/>
      </c>
      <c r="T488" s="28" t="str">
        <f>IF(B488="","",TRIM(IF(COUNTIF($B$5:$B$504,B488)&gt;1,"Număr dublat. ","")&amp;IF(N(P488)=0,"Oferta nu are linii. ","")&amp;IF(M488="","Completează ce NU include oferta. ","")&amp;IF(AND(ISNUMBER(R488),R488&lt;MarjaMin),"Marjă totală sub minim. ","")&amp;IF(COUNTIFS('Linii ofertă'!$B$5:$B$1004,B488,'Linii ofertă'!$R$5:$R$1004,"Marjă*")&gt;0,"Are linii cu marjă sub minim. ","")&amp;IF(AND(S488="Expirată"),"Valabilitatea a expirat: reconfirmă prețurile. ","")))</f>
        <v/>
      </c>
    </row>
    <row r="489" spans="2:20" x14ac:dyDescent="0.2">
      <c r="B489" s="20"/>
      <c r="C489" s="21"/>
      <c r="D489" s="22"/>
      <c r="E489" s="22"/>
      <c r="F489" s="22"/>
      <c r="G489" s="20"/>
      <c r="H489" s="23" t="str">
        <f t="shared" si="14"/>
        <v/>
      </c>
      <c r="I489" s="22"/>
      <c r="J489" s="22"/>
      <c r="K489" s="24"/>
      <c r="L489" s="22"/>
      <c r="M489" s="22"/>
      <c r="N489" s="20"/>
      <c r="O489" s="21"/>
      <c r="P489" s="25" t="str">
        <f>IF(B489="","",SUMIF('Linii ofertă'!$B$5:$B$1004,B489,'Linii ofertă'!$J$5:$J$1004))</f>
        <v/>
      </c>
      <c r="Q489" s="25" t="str">
        <f>IF(B489="","",SUMIF('Linii ofertă'!$B$5:$B$1004,B489,'Linii ofertă'!$M$5:$M$1004))</f>
        <v/>
      </c>
      <c r="R489" s="26" t="str">
        <f>IF(OR(B489="",N(P489)=0),"",SUMIF('Linii ofertă'!$B$5:$B$1004,B489,'Linii ofertă'!$P$5:$P$1004)/P489)</f>
        <v/>
      </c>
      <c r="S489" s="27" t="str">
        <f t="shared" ca="1" si="15"/>
        <v/>
      </c>
      <c r="T489" s="28" t="str">
        <f>IF(B489="","",TRIM(IF(COUNTIF($B$5:$B$504,B489)&gt;1,"Număr dublat. ","")&amp;IF(N(P489)=0,"Oferta nu are linii. ","")&amp;IF(M489="","Completează ce NU include oferta. ","")&amp;IF(AND(ISNUMBER(R489),R489&lt;MarjaMin),"Marjă totală sub minim. ","")&amp;IF(COUNTIFS('Linii ofertă'!$B$5:$B$1004,B489,'Linii ofertă'!$R$5:$R$1004,"Marjă*")&gt;0,"Are linii cu marjă sub minim. ","")&amp;IF(AND(S489="Expirată"),"Valabilitatea a expirat: reconfirmă prețurile. ","")))</f>
        <v/>
      </c>
    </row>
    <row r="490" spans="2:20" x14ac:dyDescent="0.2">
      <c r="B490" s="20"/>
      <c r="C490" s="21"/>
      <c r="D490" s="22"/>
      <c r="E490" s="22"/>
      <c r="F490" s="22"/>
      <c r="G490" s="20"/>
      <c r="H490" s="23" t="str">
        <f t="shared" si="14"/>
        <v/>
      </c>
      <c r="I490" s="22"/>
      <c r="J490" s="22"/>
      <c r="K490" s="24"/>
      <c r="L490" s="22"/>
      <c r="M490" s="22"/>
      <c r="N490" s="20"/>
      <c r="O490" s="21"/>
      <c r="P490" s="25" t="str">
        <f>IF(B490="","",SUMIF('Linii ofertă'!$B$5:$B$1004,B490,'Linii ofertă'!$J$5:$J$1004))</f>
        <v/>
      </c>
      <c r="Q490" s="25" t="str">
        <f>IF(B490="","",SUMIF('Linii ofertă'!$B$5:$B$1004,B490,'Linii ofertă'!$M$5:$M$1004))</f>
        <v/>
      </c>
      <c r="R490" s="26" t="str">
        <f>IF(OR(B490="",N(P490)=0),"",SUMIF('Linii ofertă'!$B$5:$B$1004,B490,'Linii ofertă'!$P$5:$P$1004)/P490)</f>
        <v/>
      </c>
      <c r="S490" s="27" t="str">
        <f t="shared" ca="1" si="15"/>
        <v/>
      </c>
      <c r="T490" s="28" t="str">
        <f>IF(B490="","",TRIM(IF(COUNTIF($B$5:$B$504,B490)&gt;1,"Număr dublat. ","")&amp;IF(N(P490)=0,"Oferta nu are linii. ","")&amp;IF(M490="","Completează ce NU include oferta. ","")&amp;IF(AND(ISNUMBER(R490),R490&lt;MarjaMin),"Marjă totală sub minim. ","")&amp;IF(COUNTIFS('Linii ofertă'!$B$5:$B$1004,B490,'Linii ofertă'!$R$5:$R$1004,"Marjă*")&gt;0,"Are linii cu marjă sub minim. ","")&amp;IF(AND(S490="Expirată"),"Valabilitatea a expirat: reconfirmă prețurile. ","")))</f>
        <v/>
      </c>
    </row>
    <row r="491" spans="2:20" x14ac:dyDescent="0.2">
      <c r="B491" s="20"/>
      <c r="C491" s="21"/>
      <c r="D491" s="22"/>
      <c r="E491" s="22"/>
      <c r="F491" s="22"/>
      <c r="G491" s="20"/>
      <c r="H491" s="23" t="str">
        <f t="shared" si="14"/>
        <v/>
      </c>
      <c r="I491" s="22"/>
      <c r="J491" s="22"/>
      <c r="K491" s="24"/>
      <c r="L491" s="22"/>
      <c r="M491" s="22"/>
      <c r="N491" s="20"/>
      <c r="O491" s="21"/>
      <c r="P491" s="25" t="str">
        <f>IF(B491="","",SUMIF('Linii ofertă'!$B$5:$B$1004,B491,'Linii ofertă'!$J$5:$J$1004))</f>
        <v/>
      </c>
      <c r="Q491" s="25" t="str">
        <f>IF(B491="","",SUMIF('Linii ofertă'!$B$5:$B$1004,B491,'Linii ofertă'!$M$5:$M$1004))</f>
        <v/>
      </c>
      <c r="R491" s="26" t="str">
        <f>IF(OR(B491="",N(P491)=0),"",SUMIF('Linii ofertă'!$B$5:$B$1004,B491,'Linii ofertă'!$P$5:$P$1004)/P491)</f>
        <v/>
      </c>
      <c r="S491" s="27" t="str">
        <f t="shared" ca="1" si="15"/>
        <v/>
      </c>
      <c r="T491" s="28" t="str">
        <f>IF(B491="","",TRIM(IF(COUNTIF($B$5:$B$504,B491)&gt;1,"Număr dublat. ","")&amp;IF(N(P491)=0,"Oferta nu are linii. ","")&amp;IF(M491="","Completează ce NU include oferta. ","")&amp;IF(AND(ISNUMBER(R491),R491&lt;MarjaMin),"Marjă totală sub minim. ","")&amp;IF(COUNTIFS('Linii ofertă'!$B$5:$B$1004,B491,'Linii ofertă'!$R$5:$R$1004,"Marjă*")&gt;0,"Are linii cu marjă sub minim. ","")&amp;IF(AND(S491="Expirată"),"Valabilitatea a expirat: reconfirmă prețurile. ","")))</f>
        <v/>
      </c>
    </row>
    <row r="492" spans="2:20" x14ac:dyDescent="0.2">
      <c r="B492" s="20"/>
      <c r="C492" s="21"/>
      <c r="D492" s="22"/>
      <c r="E492" s="22"/>
      <c r="F492" s="22"/>
      <c r="G492" s="20"/>
      <c r="H492" s="23" t="str">
        <f t="shared" si="14"/>
        <v/>
      </c>
      <c r="I492" s="22"/>
      <c r="J492" s="22"/>
      <c r="K492" s="24"/>
      <c r="L492" s="22"/>
      <c r="M492" s="22"/>
      <c r="N492" s="20"/>
      <c r="O492" s="21"/>
      <c r="P492" s="25" t="str">
        <f>IF(B492="","",SUMIF('Linii ofertă'!$B$5:$B$1004,B492,'Linii ofertă'!$J$5:$J$1004))</f>
        <v/>
      </c>
      <c r="Q492" s="25" t="str">
        <f>IF(B492="","",SUMIF('Linii ofertă'!$B$5:$B$1004,B492,'Linii ofertă'!$M$5:$M$1004))</f>
        <v/>
      </c>
      <c r="R492" s="26" t="str">
        <f>IF(OR(B492="",N(P492)=0),"",SUMIF('Linii ofertă'!$B$5:$B$1004,B492,'Linii ofertă'!$P$5:$P$1004)/P492)</f>
        <v/>
      </c>
      <c r="S492" s="27" t="str">
        <f t="shared" ca="1" si="15"/>
        <v/>
      </c>
      <c r="T492" s="28" t="str">
        <f>IF(B492="","",TRIM(IF(COUNTIF($B$5:$B$504,B492)&gt;1,"Număr dublat. ","")&amp;IF(N(P492)=0,"Oferta nu are linii. ","")&amp;IF(M492="","Completează ce NU include oferta. ","")&amp;IF(AND(ISNUMBER(R492),R492&lt;MarjaMin),"Marjă totală sub minim. ","")&amp;IF(COUNTIFS('Linii ofertă'!$B$5:$B$1004,B492,'Linii ofertă'!$R$5:$R$1004,"Marjă*")&gt;0,"Are linii cu marjă sub minim. ","")&amp;IF(AND(S492="Expirată"),"Valabilitatea a expirat: reconfirmă prețurile. ","")))</f>
        <v/>
      </c>
    </row>
    <row r="493" spans="2:20" x14ac:dyDescent="0.2">
      <c r="B493" s="20"/>
      <c r="C493" s="21"/>
      <c r="D493" s="22"/>
      <c r="E493" s="22"/>
      <c r="F493" s="22"/>
      <c r="G493" s="20"/>
      <c r="H493" s="23" t="str">
        <f t="shared" si="14"/>
        <v/>
      </c>
      <c r="I493" s="22"/>
      <c r="J493" s="22"/>
      <c r="K493" s="24"/>
      <c r="L493" s="22"/>
      <c r="M493" s="22"/>
      <c r="N493" s="20"/>
      <c r="O493" s="21"/>
      <c r="P493" s="25" t="str">
        <f>IF(B493="","",SUMIF('Linii ofertă'!$B$5:$B$1004,B493,'Linii ofertă'!$J$5:$J$1004))</f>
        <v/>
      </c>
      <c r="Q493" s="25" t="str">
        <f>IF(B493="","",SUMIF('Linii ofertă'!$B$5:$B$1004,B493,'Linii ofertă'!$M$5:$M$1004))</f>
        <v/>
      </c>
      <c r="R493" s="26" t="str">
        <f>IF(OR(B493="",N(P493)=0),"",SUMIF('Linii ofertă'!$B$5:$B$1004,B493,'Linii ofertă'!$P$5:$P$1004)/P493)</f>
        <v/>
      </c>
      <c r="S493" s="27" t="str">
        <f t="shared" ca="1" si="15"/>
        <v/>
      </c>
      <c r="T493" s="28" t="str">
        <f>IF(B493="","",TRIM(IF(COUNTIF($B$5:$B$504,B493)&gt;1,"Număr dublat. ","")&amp;IF(N(P493)=0,"Oferta nu are linii. ","")&amp;IF(M493="","Completează ce NU include oferta. ","")&amp;IF(AND(ISNUMBER(R493),R493&lt;MarjaMin),"Marjă totală sub minim. ","")&amp;IF(COUNTIFS('Linii ofertă'!$B$5:$B$1004,B493,'Linii ofertă'!$R$5:$R$1004,"Marjă*")&gt;0,"Are linii cu marjă sub minim. ","")&amp;IF(AND(S493="Expirată"),"Valabilitatea a expirat: reconfirmă prețurile. ","")))</f>
        <v/>
      </c>
    </row>
    <row r="494" spans="2:20" x14ac:dyDescent="0.2">
      <c r="B494" s="20"/>
      <c r="C494" s="21"/>
      <c r="D494" s="22"/>
      <c r="E494" s="22"/>
      <c r="F494" s="22"/>
      <c r="G494" s="20"/>
      <c r="H494" s="23" t="str">
        <f t="shared" si="14"/>
        <v/>
      </c>
      <c r="I494" s="22"/>
      <c r="J494" s="22"/>
      <c r="K494" s="24"/>
      <c r="L494" s="22"/>
      <c r="M494" s="22"/>
      <c r="N494" s="20"/>
      <c r="O494" s="21"/>
      <c r="P494" s="25" t="str">
        <f>IF(B494="","",SUMIF('Linii ofertă'!$B$5:$B$1004,B494,'Linii ofertă'!$J$5:$J$1004))</f>
        <v/>
      </c>
      <c r="Q494" s="25" t="str">
        <f>IF(B494="","",SUMIF('Linii ofertă'!$B$5:$B$1004,B494,'Linii ofertă'!$M$5:$M$1004))</f>
        <v/>
      </c>
      <c r="R494" s="26" t="str">
        <f>IF(OR(B494="",N(P494)=0),"",SUMIF('Linii ofertă'!$B$5:$B$1004,B494,'Linii ofertă'!$P$5:$P$1004)/P494)</f>
        <v/>
      </c>
      <c r="S494" s="27" t="str">
        <f t="shared" ca="1" si="15"/>
        <v/>
      </c>
      <c r="T494" s="28" t="str">
        <f>IF(B494="","",TRIM(IF(COUNTIF($B$5:$B$504,B494)&gt;1,"Număr dublat. ","")&amp;IF(N(P494)=0,"Oferta nu are linii. ","")&amp;IF(M494="","Completează ce NU include oferta. ","")&amp;IF(AND(ISNUMBER(R494),R494&lt;MarjaMin),"Marjă totală sub minim. ","")&amp;IF(COUNTIFS('Linii ofertă'!$B$5:$B$1004,B494,'Linii ofertă'!$R$5:$R$1004,"Marjă*")&gt;0,"Are linii cu marjă sub minim. ","")&amp;IF(AND(S494="Expirată"),"Valabilitatea a expirat: reconfirmă prețurile. ","")))</f>
        <v/>
      </c>
    </row>
    <row r="495" spans="2:20" x14ac:dyDescent="0.2">
      <c r="B495" s="20"/>
      <c r="C495" s="21"/>
      <c r="D495" s="22"/>
      <c r="E495" s="22"/>
      <c r="F495" s="22"/>
      <c r="G495" s="20"/>
      <c r="H495" s="23" t="str">
        <f t="shared" si="14"/>
        <v/>
      </c>
      <c r="I495" s="22"/>
      <c r="J495" s="22"/>
      <c r="K495" s="24"/>
      <c r="L495" s="22"/>
      <c r="M495" s="22"/>
      <c r="N495" s="20"/>
      <c r="O495" s="21"/>
      <c r="P495" s="25" t="str">
        <f>IF(B495="","",SUMIF('Linii ofertă'!$B$5:$B$1004,B495,'Linii ofertă'!$J$5:$J$1004))</f>
        <v/>
      </c>
      <c r="Q495" s="25" t="str">
        <f>IF(B495="","",SUMIF('Linii ofertă'!$B$5:$B$1004,B495,'Linii ofertă'!$M$5:$M$1004))</f>
        <v/>
      </c>
      <c r="R495" s="26" t="str">
        <f>IF(OR(B495="",N(P495)=0),"",SUMIF('Linii ofertă'!$B$5:$B$1004,B495,'Linii ofertă'!$P$5:$P$1004)/P495)</f>
        <v/>
      </c>
      <c r="S495" s="27" t="str">
        <f t="shared" ca="1" si="15"/>
        <v/>
      </c>
      <c r="T495" s="28" t="str">
        <f>IF(B495="","",TRIM(IF(COUNTIF($B$5:$B$504,B495)&gt;1,"Număr dublat. ","")&amp;IF(N(P495)=0,"Oferta nu are linii. ","")&amp;IF(M495="","Completează ce NU include oferta. ","")&amp;IF(AND(ISNUMBER(R495),R495&lt;MarjaMin),"Marjă totală sub minim. ","")&amp;IF(COUNTIFS('Linii ofertă'!$B$5:$B$1004,B495,'Linii ofertă'!$R$5:$R$1004,"Marjă*")&gt;0,"Are linii cu marjă sub minim. ","")&amp;IF(AND(S495="Expirată"),"Valabilitatea a expirat: reconfirmă prețurile. ","")))</f>
        <v/>
      </c>
    </row>
    <row r="496" spans="2:20" x14ac:dyDescent="0.2">
      <c r="B496" s="20"/>
      <c r="C496" s="21"/>
      <c r="D496" s="22"/>
      <c r="E496" s="22"/>
      <c r="F496" s="22"/>
      <c r="G496" s="20"/>
      <c r="H496" s="23" t="str">
        <f t="shared" si="14"/>
        <v/>
      </c>
      <c r="I496" s="22"/>
      <c r="J496" s="22"/>
      <c r="K496" s="24"/>
      <c r="L496" s="22"/>
      <c r="M496" s="22"/>
      <c r="N496" s="20"/>
      <c r="O496" s="21"/>
      <c r="P496" s="25" t="str">
        <f>IF(B496="","",SUMIF('Linii ofertă'!$B$5:$B$1004,B496,'Linii ofertă'!$J$5:$J$1004))</f>
        <v/>
      </c>
      <c r="Q496" s="25" t="str">
        <f>IF(B496="","",SUMIF('Linii ofertă'!$B$5:$B$1004,B496,'Linii ofertă'!$M$5:$M$1004))</f>
        <v/>
      </c>
      <c r="R496" s="26" t="str">
        <f>IF(OR(B496="",N(P496)=0),"",SUMIF('Linii ofertă'!$B$5:$B$1004,B496,'Linii ofertă'!$P$5:$P$1004)/P496)</f>
        <v/>
      </c>
      <c r="S496" s="27" t="str">
        <f t="shared" ca="1" si="15"/>
        <v/>
      </c>
      <c r="T496" s="28" t="str">
        <f>IF(B496="","",TRIM(IF(COUNTIF($B$5:$B$504,B496)&gt;1,"Număr dublat. ","")&amp;IF(N(P496)=0,"Oferta nu are linii. ","")&amp;IF(M496="","Completează ce NU include oferta. ","")&amp;IF(AND(ISNUMBER(R496),R496&lt;MarjaMin),"Marjă totală sub minim. ","")&amp;IF(COUNTIFS('Linii ofertă'!$B$5:$B$1004,B496,'Linii ofertă'!$R$5:$R$1004,"Marjă*")&gt;0,"Are linii cu marjă sub minim. ","")&amp;IF(AND(S496="Expirată"),"Valabilitatea a expirat: reconfirmă prețurile. ","")))</f>
        <v/>
      </c>
    </row>
    <row r="497" spans="2:20" x14ac:dyDescent="0.2">
      <c r="B497" s="20"/>
      <c r="C497" s="21"/>
      <c r="D497" s="22"/>
      <c r="E497" s="22"/>
      <c r="F497" s="22"/>
      <c r="G497" s="20"/>
      <c r="H497" s="23" t="str">
        <f t="shared" si="14"/>
        <v/>
      </c>
      <c r="I497" s="22"/>
      <c r="J497" s="22"/>
      <c r="K497" s="24"/>
      <c r="L497" s="22"/>
      <c r="M497" s="22"/>
      <c r="N497" s="20"/>
      <c r="O497" s="21"/>
      <c r="P497" s="25" t="str">
        <f>IF(B497="","",SUMIF('Linii ofertă'!$B$5:$B$1004,B497,'Linii ofertă'!$J$5:$J$1004))</f>
        <v/>
      </c>
      <c r="Q497" s="25" t="str">
        <f>IF(B497="","",SUMIF('Linii ofertă'!$B$5:$B$1004,B497,'Linii ofertă'!$M$5:$M$1004))</f>
        <v/>
      </c>
      <c r="R497" s="26" t="str">
        <f>IF(OR(B497="",N(P497)=0),"",SUMIF('Linii ofertă'!$B$5:$B$1004,B497,'Linii ofertă'!$P$5:$P$1004)/P497)</f>
        <v/>
      </c>
      <c r="S497" s="27" t="str">
        <f t="shared" ca="1" si="15"/>
        <v/>
      </c>
      <c r="T497" s="28" t="str">
        <f>IF(B497="","",TRIM(IF(COUNTIF($B$5:$B$504,B497)&gt;1,"Număr dublat. ","")&amp;IF(N(P497)=0,"Oferta nu are linii. ","")&amp;IF(M497="","Completează ce NU include oferta. ","")&amp;IF(AND(ISNUMBER(R497),R497&lt;MarjaMin),"Marjă totală sub minim. ","")&amp;IF(COUNTIFS('Linii ofertă'!$B$5:$B$1004,B497,'Linii ofertă'!$R$5:$R$1004,"Marjă*")&gt;0,"Are linii cu marjă sub minim. ","")&amp;IF(AND(S497="Expirată"),"Valabilitatea a expirat: reconfirmă prețurile. ","")))</f>
        <v/>
      </c>
    </row>
    <row r="498" spans="2:20" x14ac:dyDescent="0.2">
      <c r="B498" s="20"/>
      <c r="C498" s="21"/>
      <c r="D498" s="22"/>
      <c r="E498" s="22"/>
      <c r="F498" s="22"/>
      <c r="G498" s="20"/>
      <c r="H498" s="23" t="str">
        <f t="shared" si="14"/>
        <v/>
      </c>
      <c r="I498" s="22"/>
      <c r="J498" s="22"/>
      <c r="K498" s="24"/>
      <c r="L498" s="22"/>
      <c r="M498" s="22"/>
      <c r="N498" s="20"/>
      <c r="O498" s="21"/>
      <c r="P498" s="25" t="str">
        <f>IF(B498="","",SUMIF('Linii ofertă'!$B$5:$B$1004,B498,'Linii ofertă'!$J$5:$J$1004))</f>
        <v/>
      </c>
      <c r="Q498" s="25" t="str">
        <f>IF(B498="","",SUMIF('Linii ofertă'!$B$5:$B$1004,B498,'Linii ofertă'!$M$5:$M$1004))</f>
        <v/>
      </c>
      <c r="R498" s="26" t="str">
        <f>IF(OR(B498="",N(P498)=0),"",SUMIF('Linii ofertă'!$B$5:$B$1004,B498,'Linii ofertă'!$P$5:$P$1004)/P498)</f>
        <v/>
      </c>
      <c r="S498" s="27" t="str">
        <f t="shared" ca="1" si="15"/>
        <v/>
      </c>
      <c r="T498" s="28" t="str">
        <f>IF(B498="","",TRIM(IF(COUNTIF($B$5:$B$504,B498)&gt;1,"Număr dublat. ","")&amp;IF(N(P498)=0,"Oferta nu are linii. ","")&amp;IF(M498="","Completează ce NU include oferta. ","")&amp;IF(AND(ISNUMBER(R498),R498&lt;MarjaMin),"Marjă totală sub minim. ","")&amp;IF(COUNTIFS('Linii ofertă'!$B$5:$B$1004,B498,'Linii ofertă'!$R$5:$R$1004,"Marjă*")&gt;0,"Are linii cu marjă sub minim. ","")&amp;IF(AND(S498="Expirată"),"Valabilitatea a expirat: reconfirmă prețurile. ","")))</f>
        <v/>
      </c>
    </row>
    <row r="499" spans="2:20" x14ac:dyDescent="0.2">
      <c r="B499" s="20"/>
      <c r="C499" s="21"/>
      <c r="D499" s="22"/>
      <c r="E499" s="22"/>
      <c r="F499" s="22"/>
      <c r="G499" s="20"/>
      <c r="H499" s="23" t="str">
        <f t="shared" si="14"/>
        <v/>
      </c>
      <c r="I499" s="22"/>
      <c r="J499" s="22"/>
      <c r="K499" s="24"/>
      <c r="L499" s="22"/>
      <c r="M499" s="22"/>
      <c r="N499" s="20"/>
      <c r="O499" s="21"/>
      <c r="P499" s="25" t="str">
        <f>IF(B499="","",SUMIF('Linii ofertă'!$B$5:$B$1004,B499,'Linii ofertă'!$J$5:$J$1004))</f>
        <v/>
      </c>
      <c r="Q499" s="25" t="str">
        <f>IF(B499="","",SUMIF('Linii ofertă'!$B$5:$B$1004,B499,'Linii ofertă'!$M$5:$M$1004))</f>
        <v/>
      </c>
      <c r="R499" s="26" t="str">
        <f>IF(OR(B499="",N(P499)=0),"",SUMIF('Linii ofertă'!$B$5:$B$1004,B499,'Linii ofertă'!$P$5:$P$1004)/P499)</f>
        <v/>
      </c>
      <c r="S499" s="27" t="str">
        <f t="shared" ca="1" si="15"/>
        <v/>
      </c>
      <c r="T499" s="28" t="str">
        <f>IF(B499="","",TRIM(IF(COUNTIF($B$5:$B$504,B499)&gt;1,"Număr dublat. ","")&amp;IF(N(P499)=0,"Oferta nu are linii. ","")&amp;IF(M499="","Completează ce NU include oferta. ","")&amp;IF(AND(ISNUMBER(R499),R499&lt;MarjaMin),"Marjă totală sub minim. ","")&amp;IF(COUNTIFS('Linii ofertă'!$B$5:$B$1004,B499,'Linii ofertă'!$R$5:$R$1004,"Marjă*")&gt;0,"Are linii cu marjă sub minim. ","")&amp;IF(AND(S499="Expirată"),"Valabilitatea a expirat: reconfirmă prețurile. ","")))</f>
        <v/>
      </c>
    </row>
    <row r="500" spans="2:20" x14ac:dyDescent="0.2">
      <c r="B500" s="20"/>
      <c r="C500" s="21"/>
      <c r="D500" s="22"/>
      <c r="E500" s="22"/>
      <c r="F500" s="22"/>
      <c r="G500" s="20"/>
      <c r="H500" s="23" t="str">
        <f t="shared" si="14"/>
        <v/>
      </c>
      <c r="I500" s="22"/>
      <c r="J500" s="22"/>
      <c r="K500" s="24"/>
      <c r="L500" s="22"/>
      <c r="M500" s="22"/>
      <c r="N500" s="20"/>
      <c r="O500" s="21"/>
      <c r="P500" s="25" t="str">
        <f>IF(B500="","",SUMIF('Linii ofertă'!$B$5:$B$1004,B500,'Linii ofertă'!$J$5:$J$1004))</f>
        <v/>
      </c>
      <c r="Q500" s="25" t="str">
        <f>IF(B500="","",SUMIF('Linii ofertă'!$B$5:$B$1004,B500,'Linii ofertă'!$M$5:$M$1004))</f>
        <v/>
      </c>
      <c r="R500" s="26" t="str">
        <f>IF(OR(B500="",N(P500)=0),"",SUMIF('Linii ofertă'!$B$5:$B$1004,B500,'Linii ofertă'!$P$5:$P$1004)/P500)</f>
        <v/>
      </c>
      <c r="S500" s="27" t="str">
        <f t="shared" ca="1" si="15"/>
        <v/>
      </c>
      <c r="T500" s="28" t="str">
        <f>IF(B500="","",TRIM(IF(COUNTIF($B$5:$B$504,B500)&gt;1,"Număr dublat. ","")&amp;IF(N(P500)=0,"Oferta nu are linii. ","")&amp;IF(M500="","Completează ce NU include oferta. ","")&amp;IF(AND(ISNUMBER(R500),R500&lt;MarjaMin),"Marjă totală sub minim. ","")&amp;IF(COUNTIFS('Linii ofertă'!$B$5:$B$1004,B500,'Linii ofertă'!$R$5:$R$1004,"Marjă*")&gt;0,"Are linii cu marjă sub minim. ","")&amp;IF(AND(S500="Expirată"),"Valabilitatea a expirat: reconfirmă prețurile. ","")))</f>
        <v/>
      </c>
    </row>
    <row r="501" spans="2:20" x14ac:dyDescent="0.2">
      <c r="B501" s="20"/>
      <c r="C501" s="21"/>
      <c r="D501" s="22"/>
      <c r="E501" s="22"/>
      <c r="F501" s="22"/>
      <c r="G501" s="20"/>
      <c r="H501" s="23" t="str">
        <f t="shared" si="14"/>
        <v/>
      </c>
      <c r="I501" s="22"/>
      <c r="J501" s="22"/>
      <c r="K501" s="24"/>
      <c r="L501" s="22"/>
      <c r="M501" s="22"/>
      <c r="N501" s="20"/>
      <c r="O501" s="21"/>
      <c r="P501" s="25" t="str">
        <f>IF(B501="","",SUMIF('Linii ofertă'!$B$5:$B$1004,B501,'Linii ofertă'!$J$5:$J$1004))</f>
        <v/>
      </c>
      <c r="Q501" s="25" t="str">
        <f>IF(B501="","",SUMIF('Linii ofertă'!$B$5:$B$1004,B501,'Linii ofertă'!$M$5:$M$1004))</f>
        <v/>
      </c>
      <c r="R501" s="26" t="str">
        <f>IF(OR(B501="",N(P501)=0),"",SUMIF('Linii ofertă'!$B$5:$B$1004,B501,'Linii ofertă'!$P$5:$P$1004)/P501)</f>
        <v/>
      </c>
      <c r="S501" s="27" t="str">
        <f t="shared" ca="1" si="15"/>
        <v/>
      </c>
      <c r="T501" s="28" t="str">
        <f>IF(B501="","",TRIM(IF(COUNTIF($B$5:$B$504,B501)&gt;1,"Număr dublat. ","")&amp;IF(N(P501)=0,"Oferta nu are linii. ","")&amp;IF(M501="","Completează ce NU include oferta. ","")&amp;IF(AND(ISNUMBER(R501),R501&lt;MarjaMin),"Marjă totală sub minim. ","")&amp;IF(COUNTIFS('Linii ofertă'!$B$5:$B$1004,B501,'Linii ofertă'!$R$5:$R$1004,"Marjă*")&gt;0,"Are linii cu marjă sub minim. ","")&amp;IF(AND(S501="Expirată"),"Valabilitatea a expirat: reconfirmă prețurile. ","")))</f>
        <v/>
      </c>
    </row>
    <row r="502" spans="2:20" x14ac:dyDescent="0.2">
      <c r="B502" s="20"/>
      <c r="C502" s="21"/>
      <c r="D502" s="22"/>
      <c r="E502" s="22"/>
      <c r="F502" s="22"/>
      <c r="G502" s="20"/>
      <c r="H502" s="23" t="str">
        <f t="shared" si="14"/>
        <v/>
      </c>
      <c r="I502" s="22"/>
      <c r="J502" s="22"/>
      <c r="K502" s="24"/>
      <c r="L502" s="22"/>
      <c r="M502" s="22"/>
      <c r="N502" s="20"/>
      <c r="O502" s="21"/>
      <c r="P502" s="25" t="str">
        <f>IF(B502="","",SUMIF('Linii ofertă'!$B$5:$B$1004,B502,'Linii ofertă'!$J$5:$J$1004))</f>
        <v/>
      </c>
      <c r="Q502" s="25" t="str">
        <f>IF(B502="","",SUMIF('Linii ofertă'!$B$5:$B$1004,B502,'Linii ofertă'!$M$5:$M$1004))</f>
        <v/>
      </c>
      <c r="R502" s="26" t="str">
        <f>IF(OR(B502="",N(P502)=0),"",SUMIF('Linii ofertă'!$B$5:$B$1004,B502,'Linii ofertă'!$P$5:$P$1004)/P502)</f>
        <v/>
      </c>
      <c r="S502" s="27" t="str">
        <f t="shared" ca="1" si="15"/>
        <v/>
      </c>
      <c r="T502" s="28" t="str">
        <f>IF(B502="","",TRIM(IF(COUNTIF($B$5:$B$504,B502)&gt;1,"Număr dublat. ","")&amp;IF(N(P502)=0,"Oferta nu are linii. ","")&amp;IF(M502="","Completează ce NU include oferta. ","")&amp;IF(AND(ISNUMBER(R502),R502&lt;MarjaMin),"Marjă totală sub minim. ","")&amp;IF(COUNTIFS('Linii ofertă'!$B$5:$B$1004,B502,'Linii ofertă'!$R$5:$R$1004,"Marjă*")&gt;0,"Are linii cu marjă sub minim. ","")&amp;IF(AND(S502="Expirată"),"Valabilitatea a expirat: reconfirmă prețurile. ","")))</f>
        <v/>
      </c>
    </row>
    <row r="503" spans="2:20" x14ac:dyDescent="0.2">
      <c r="B503" s="20"/>
      <c r="C503" s="21"/>
      <c r="D503" s="22"/>
      <c r="E503" s="22"/>
      <c r="F503" s="22"/>
      <c r="G503" s="20"/>
      <c r="H503" s="23" t="str">
        <f t="shared" si="14"/>
        <v/>
      </c>
      <c r="I503" s="22"/>
      <c r="J503" s="22"/>
      <c r="K503" s="24"/>
      <c r="L503" s="22"/>
      <c r="M503" s="22"/>
      <c r="N503" s="20"/>
      <c r="O503" s="21"/>
      <c r="P503" s="25" t="str">
        <f>IF(B503="","",SUMIF('Linii ofertă'!$B$5:$B$1004,B503,'Linii ofertă'!$J$5:$J$1004))</f>
        <v/>
      </c>
      <c r="Q503" s="25" t="str">
        <f>IF(B503="","",SUMIF('Linii ofertă'!$B$5:$B$1004,B503,'Linii ofertă'!$M$5:$M$1004))</f>
        <v/>
      </c>
      <c r="R503" s="26" t="str">
        <f>IF(OR(B503="",N(P503)=0),"",SUMIF('Linii ofertă'!$B$5:$B$1004,B503,'Linii ofertă'!$P$5:$P$1004)/P503)</f>
        <v/>
      </c>
      <c r="S503" s="27" t="str">
        <f t="shared" ca="1" si="15"/>
        <v/>
      </c>
      <c r="T503" s="28" t="str">
        <f>IF(B503="","",TRIM(IF(COUNTIF($B$5:$B$504,B503)&gt;1,"Număr dublat. ","")&amp;IF(N(P503)=0,"Oferta nu are linii. ","")&amp;IF(M503="","Completează ce NU include oferta. ","")&amp;IF(AND(ISNUMBER(R503),R503&lt;MarjaMin),"Marjă totală sub minim. ","")&amp;IF(COUNTIFS('Linii ofertă'!$B$5:$B$1004,B503,'Linii ofertă'!$R$5:$R$1004,"Marjă*")&gt;0,"Are linii cu marjă sub minim. ","")&amp;IF(AND(S503="Expirată"),"Valabilitatea a expirat: reconfirmă prețurile. ","")))</f>
        <v/>
      </c>
    </row>
    <row r="504" spans="2:20" x14ac:dyDescent="0.2">
      <c r="B504" s="20"/>
      <c r="C504" s="21"/>
      <c r="D504" s="22"/>
      <c r="E504" s="22"/>
      <c r="F504" s="22"/>
      <c r="G504" s="20"/>
      <c r="H504" s="23" t="str">
        <f t="shared" si="14"/>
        <v/>
      </c>
      <c r="I504" s="22"/>
      <c r="J504" s="22"/>
      <c r="K504" s="24"/>
      <c r="L504" s="22"/>
      <c r="M504" s="22"/>
      <c r="N504" s="20"/>
      <c r="O504" s="21"/>
      <c r="P504" s="25" t="str">
        <f>IF(B504="","",SUMIF('Linii ofertă'!$B$5:$B$1004,B504,'Linii ofertă'!$J$5:$J$1004))</f>
        <v/>
      </c>
      <c r="Q504" s="25" t="str">
        <f>IF(B504="","",SUMIF('Linii ofertă'!$B$5:$B$1004,B504,'Linii ofertă'!$M$5:$M$1004))</f>
        <v/>
      </c>
      <c r="R504" s="26" t="str">
        <f>IF(OR(B504="",N(P504)=0),"",SUMIF('Linii ofertă'!$B$5:$B$1004,B504,'Linii ofertă'!$P$5:$P$1004)/P504)</f>
        <v/>
      </c>
      <c r="S504" s="27" t="str">
        <f t="shared" ca="1" si="15"/>
        <v/>
      </c>
      <c r="T504" s="28" t="str">
        <f>IF(B504="","",TRIM(IF(COUNTIF($B$5:$B$504,B504)&gt;1,"Număr dublat. ","")&amp;IF(N(P504)=0,"Oferta nu are linii. ","")&amp;IF(M504="","Completează ce NU include oferta. ","")&amp;IF(AND(ISNUMBER(R504),R504&lt;MarjaMin),"Marjă totală sub minim. ","")&amp;IF(COUNTIFS('Linii ofertă'!$B$5:$B$1004,B504,'Linii ofertă'!$R$5:$R$1004,"Marjă*")&gt;0,"Are linii cu marjă sub minim. ","")&amp;IF(AND(S504="Expirată"),"Valabilitatea a expirat: reconfirmă prețurile. ","")))</f>
        <v/>
      </c>
    </row>
    <row r="1000" spans="702:702" ht="15" x14ac:dyDescent="0.25">
      <c r="ZZ1000"/>
    </row>
  </sheetData>
  <conditionalFormatting sqref="R5:R504">
    <cfRule type="expression" dxfId="4" priority="3" stopIfTrue="1">
      <formula>AND(ISNUMBER($R5),$R5&lt;MarjaMin)</formula>
    </cfRule>
  </conditionalFormatting>
  <conditionalFormatting sqref="S5:S504">
    <cfRule type="expression" dxfId="3" priority="1" stopIfTrue="1">
      <formula>$S5="Acceptată"</formula>
    </cfRule>
    <cfRule type="expression" dxfId="2" priority="2" stopIfTrue="1">
      <formula>OR($S5="Refuzată",$S5="Expirată")</formula>
    </cfRule>
  </conditionalFormatting>
  <dataValidations count="1">
    <dataValidation type="list" allowBlank="1" showInputMessage="1" showErrorMessage="1" sqref="N5:N504" xr:uid="{CE7584F5-1E06-4844-A15E-36B7B8DA63A1}">
      <formula1>ListaStatus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248C-C179-49E7-A15C-2AB78361F3E6}">
  <dimension ref="B1:ZZ100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6.7109375" style="1" customWidth="1"/>
    <col min="4" max="4" width="38.7109375" style="1" customWidth="1"/>
    <col min="5" max="5" width="6.7109375" style="1" customWidth="1"/>
    <col min="6" max="6" width="9.7109375" style="1" customWidth="1"/>
    <col min="7" max="7" width="11.7109375" style="1" customWidth="1"/>
    <col min="8" max="8" width="9.7109375" style="1" customWidth="1"/>
    <col min="9" max="9" width="11.7109375" style="1" customWidth="1"/>
    <col min="10" max="10" width="12.7109375" style="1" customWidth="1"/>
    <col min="11" max="11" width="7.7109375" style="1" customWidth="1"/>
    <col min="12" max="12" width="10.7109375" style="1" customWidth="1"/>
    <col min="13" max="13" width="12.7109375" style="1" customWidth="1"/>
    <col min="14" max="14" width="10.7109375" style="1" customWidth="1"/>
    <col min="15" max="16" width="11.7109375" style="1" customWidth="1"/>
    <col min="17" max="17" width="8.7109375" style="1" customWidth="1"/>
    <col min="18" max="18" width="26.7109375" style="1" customWidth="1"/>
    <col min="19" max="19" width="0" style="1" hidden="1" customWidth="1"/>
    <col min="20" max="16384" width="11.42578125" style="1"/>
  </cols>
  <sheetData>
    <row r="1" spans="2:19" ht="21" x14ac:dyDescent="0.35">
      <c r="B1" s="2" t="s">
        <v>51</v>
      </c>
    </row>
    <row r="2" spans="2:19" x14ac:dyDescent="0.2">
      <c r="B2" s="3" t="s">
        <v>52</v>
      </c>
    </row>
    <row r="4" spans="2:19" ht="30" customHeight="1" x14ac:dyDescent="0.2">
      <c r="B4" s="8" t="s">
        <v>53</v>
      </c>
      <c r="C4" s="8" t="s">
        <v>26</v>
      </c>
      <c r="D4" s="8" t="s">
        <v>27</v>
      </c>
      <c r="E4" s="8" t="s">
        <v>28</v>
      </c>
      <c r="F4" s="8" t="s">
        <v>54</v>
      </c>
      <c r="G4" s="8" t="s">
        <v>55</v>
      </c>
      <c r="H4" s="8" t="s">
        <v>56</v>
      </c>
      <c r="I4" s="8" t="s">
        <v>57</v>
      </c>
      <c r="J4" s="8" t="s">
        <v>58</v>
      </c>
      <c r="K4" s="8" t="s">
        <v>31</v>
      </c>
      <c r="L4" s="8" t="s">
        <v>59</v>
      </c>
      <c r="M4" s="8" t="s">
        <v>60</v>
      </c>
      <c r="N4" s="8" t="s">
        <v>30</v>
      </c>
      <c r="O4" s="8" t="s">
        <v>61</v>
      </c>
      <c r="P4" s="8" t="s">
        <v>62</v>
      </c>
      <c r="Q4" s="8" t="s">
        <v>63</v>
      </c>
      <c r="R4" s="8" t="s">
        <v>64</v>
      </c>
    </row>
    <row r="5" spans="2:19" x14ac:dyDescent="0.2">
      <c r="B5" s="11" t="s">
        <v>65</v>
      </c>
      <c r="C5" s="11" t="s">
        <v>36</v>
      </c>
      <c r="D5" s="10" t="str">
        <f t="shared" ref="D5:D68" si="0">IF(C5="","",IFERROR(VLOOKUP(C5,TabCat,2,FALSE),"Cod inexistent"))</f>
        <v>Tablou electric echipat, 24 module</v>
      </c>
      <c r="E5" s="15" t="str">
        <f t="shared" ref="E5:E68" si="1">IF(C5="","",IFERROR(VLOOKUP(C5,TabCat,3,FALSE),""))</f>
        <v>buc</v>
      </c>
      <c r="F5" s="11">
        <v>1</v>
      </c>
      <c r="G5" s="16">
        <f t="shared" ref="G5:G68" si="2">IF(C5="","",IFERROR(VLOOKUP(C5,TabCat,4,FALSE),0))</f>
        <v>1450</v>
      </c>
      <c r="H5" s="17"/>
      <c r="I5" s="16">
        <f t="shared" ref="I5:I68" si="3">IF(C5="","",ROUND(G5*(1-N(H5)),2))</f>
        <v>1450</v>
      </c>
      <c r="J5" s="16">
        <f t="shared" ref="J5:J68" si="4">IF(C5="","",ROUND(I5*N(F5),2))</f>
        <v>1450</v>
      </c>
      <c r="K5" s="18">
        <f t="shared" ref="K5:K68" si="5">IF(C5="","",IFERROR(VLOOKUP(C5,TabCat,6,FALSE),0))</f>
        <v>0.21</v>
      </c>
      <c r="L5" s="16">
        <f t="shared" ref="L5:L68" si="6">IF(C5="","",ROUND(J5*K5,2))</f>
        <v>304.5</v>
      </c>
      <c r="M5" s="16">
        <f t="shared" ref="M5:M68" si="7">IF(C5="","",J5+L5)</f>
        <v>1754.5</v>
      </c>
      <c r="N5" s="16">
        <f t="shared" ref="N5:N68" si="8">IF(C5="","",IFERROR(VLOOKUP(C5,TabCat,5,FALSE),0))</f>
        <v>1080</v>
      </c>
      <c r="O5" s="16">
        <f t="shared" ref="O5:O68" si="9">IF(C5="","",ROUND(N5*N(F5),2))</f>
        <v>1080</v>
      </c>
      <c r="P5" s="16">
        <f t="shared" ref="P5:P68" si="10">IF(C5="","",J5-O5)</f>
        <v>370</v>
      </c>
      <c r="Q5" s="18">
        <f t="shared" ref="Q5:Q68" si="11">IF(OR(C5="",N(J5)=0),"",P5/J5)</f>
        <v>0.25517241379310346</v>
      </c>
      <c r="R5" s="19" t="str">
        <f>IF(C5="","",IF(ISNA(MATCH(B5,'Registru oferte'!$B$5:$B$504,0)),"Oferta nu există în registru",IF(N(F5)&lt;=0,"Lipsește cantitatea",IF(AND(ISNUMBER(Q5),Q5&lt;MarjaMin),"Marjă sub minim ("&amp;TEXT(Q5*100,"0")&amp;"%)",""))))</f>
        <v/>
      </c>
      <c r="S5" s="1" t="str">
        <f>IF(B5="","",B5&amp;"|"&amp;COUNTIF($B$5:B5,B5))</f>
        <v>OF-039|1</v>
      </c>
    </row>
    <row r="6" spans="2:19" x14ac:dyDescent="0.2">
      <c r="B6" s="11" t="s">
        <v>65</v>
      </c>
      <c r="C6" s="11" t="s">
        <v>43</v>
      </c>
      <c r="D6" s="10" t="str">
        <f t="shared" si="0"/>
        <v>Manoperă montaj electrician</v>
      </c>
      <c r="E6" s="15" t="str">
        <f t="shared" si="1"/>
        <v>oră</v>
      </c>
      <c r="F6" s="11">
        <v>12</v>
      </c>
      <c r="G6" s="16">
        <f t="shared" si="2"/>
        <v>95</v>
      </c>
      <c r="H6" s="17"/>
      <c r="I6" s="16">
        <f t="shared" si="3"/>
        <v>95</v>
      </c>
      <c r="J6" s="16">
        <f t="shared" si="4"/>
        <v>1140</v>
      </c>
      <c r="K6" s="18">
        <f t="shared" si="5"/>
        <v>0.21</v>
      </c>
      <c r="L6" s="16">
        <f t="shared" si="6"/>
        <v>239.4</v>
      </c>
      <c r="M6" s="16">
        <f t="shared" si="7"/>
        <v>1379.4</v>
      </c>
      <c r="N6" s="16">
        <f t="shared" si="8"/>
        <v>55</v>
      </c>
      <c r="O6" s="16">
        <f t="shared" si="9"/>
        <v>660</v>
      </c>
      <c r="P6" s="16">
        <f t="shared" si="10"/>
        <v>480</v>
      </c>
      <c r="Q6" s="18">
        <f t="shared" si="11"/>
        <v>0.42105263157894735</v>
      </c>
      <c r="R6" s="19" t="str">
        <f>IF(C6="","",IF(ISNA(MATCH(B6,'Registru oferte'!$B$5:$B$504,0)),"Oferta nu există în registru",IF(N(F6)&lt;=0,"Lipsește cantitatea",IF(AND(ISNUMBER(Q6),Q6&lt;MarjaMin),"Marjă sub minim ("&amp;TEXT(Q6*100,"0")&amp;"%)",""))))</f>
        <v/>
      </c>
      <c r="S6" s="1" t="str">
        <f>IF(B6="","",B6&amp;"|"&amp;COUNTIF($B$5:B6,B6))</f>
        <v>OF-039|2</v>
      </c>
    </row>
    <row r="7" spans="2:19" x14ac:dyDescent="0.2">
      <c r="B7" s="11" t="s">
        <v>65</v>
      </c>
      <c r="C7" s="11" t="s">
        <v>46</v>
      </c>
      <c r="D7" s="10" t="str">
        <f t="shared" si="0"/>
        <v>Transport și deplasare</v>
      </c>
      <c r="E7" s="15" t="str">
        <f t="shared" si="1"/>
        <v>cursă</v>
      </c>
      <c r="F7" s="11">
        <v>1</v>
      </c>
      <c r="G7" s="16">
        <f t="shared" si="2"/>
        <v>250</v>
      </c>
      <c r="H7" s="17"/>
      <c r="I7" s="16">
        <f t="shared" si="3"/>
        <v>250</v>
      </c>
      <c r="J7" s="16">
        <f t="shared" si="4"/>
        <v>250</v>
      </c>
      <c r="K7" s="18">
        <f t="shared" si="5"/>
        <v>0.21</v>
      </c>
      <c r="L7" s="16">
        <f t="shared" si="6"/>
        <v>52.5</v>
      </c>
      <c r="M7" s="16">
        <f t="shared" si="7"/>
        <v>302.5</v>
      </c>
      <c r="N7" s="16">
        <f t="shared" si="8"/>
        <v>120</v>
      </c>
      <c r="O7" s="16">
        <f t="shared" si="9"/>
        <v>120</v>
      </c>
      <c r="P7" s="16">
        <f t="shared" si="10"/>
        <v>130</v>
      </c>
      <c r="Q7" s="18">
        <f t="shared" si="11"/>
        <v>0.52</v>
      </c>
      <c r="R7" s="19" t="str">
        <f>IF(C7="","",IF(ISNA(MATCH(B7,'Registru oferte'!$B$5:$B$504,0)),"Oferta nu există în registru",IF(N(F7)&lt;=0,"Lipsește cantitatea",IF(AND(ISNUMBER(Q7),Q7&lt;MarjaMin),"Marjă sub minim ("&amp;TEXT(Q7*100,"0")&amp;"%)",""))))</f>
        <v/>
      </c>
      <c r="S7" s="1" t="str">
        <f>IF(B7="","",B7&amp;"|"&amp;COUNTIF($B$5:B7,B7))</f>
        <v>OF-039|3</v>
      </c>
    </row>
    <row r="8" spans="2:19" x14ac:dyDescent="0.2">
      <c r="B8" s="11" t="s">
        <v>66</v>
      </c>
      <c r="C8" s="11" t="s">
        <v>41</v>
      </c>
      <c r="D8" s="10" t="str">
        <f t="shared" si="0"/>
        <v>Priză dublă încastrată</v>
      </c>
      <c r="E8" s="15" t="str">
        <f t="shared" si="1"/>
        <v>buc</v>
      </c>
      <c r="F8" s="11">
        <v>6</v>
      </c>
      <c r="G8" s="16">
        <f t="shared" si="2"/>
        <v>32</v>
      </c>
      <c r="H8" s="17"/>
      <c r="I8" s="16">
        <f t="shared" si="3"/>
        <v>32</v>
      </c>
      <c r="J8" s="16">
        <f t="shared" si="4"/>
        <v>192</v>
      </c>
      <c r="K8" s="18">
        <f t="shared" si="5"/>
        <v>0.21</v>
      </c>
      <c r="L8" s="16">
        <f t="shared" si="6"/>
        <v>40.32</v>
      </c>
      <c r="M8" s="16">
        <f t="shared" si="7"/>
        <v>232.32</v>
      </c>
      <c r="N8" s="16">
        <f t="shared" si="8"/>
        <v>19</v>
      </c>
      <c r="O8" s="16">
        <f t="shared" si="9"/>
        <v>114</v>
      </c>
      <c r="P8" s="16">
        <f t="shared" si="10"/>
        <v>78</v>
      </c>
      <c r="Q8" s="18">
        <f t="shared" si="11"/>
        <v>0.40625</v>
      </c>
      <c r="R8" s="19" t="str">
        <f>IF(C8="","",IF(ISNA(MATCH(B8,'Registru oferte'!$B$5:$B$504,0)),"Oferta nu există în registru",IF(N(F8)&lt;=0,"Lipsește cantitatea",IF(AND(ISNUMBER(Q8),Q8&lt;MarjaMin),"Marjă sub minim ("&amp;TEXT(Q8*100,"0")&amp;"%)",""))))</f>
        <v/>
      </c>
      <c r="S8" s="1" t="str">
        <f>IF(B8="","",B8&amp;"|"&amp;COUNTIF($B$5:B8,B8))</f>
        <v>OF-040|1</v>
      </c>
    </row>
    <row r="9" spans="2:19" x14ac:dyDescent="0.2">
      <c r="B9" s="11" t="s">
        <v>66</v>
      </c>
      <c r="C9" s="11" t="s">
        <v>33</v>
      </c>
      <c r="D9" s="10" t="str">
        <f t="shared" si="0"/>
        <v>Cablu electric CYY-F 3×2,5 mm²</v>
      </c>
      <c r="E9" s="15" t="str">
        <f t="shared" si="1"/>
        <v>m</v>
      </c>
      <c r="F9" s="11">
        <v>60</v>
      </c>
      <c r="G9" s="16">
        <f t="shared" si="2"/>
        <v>9.5</v>
      </c>
      <c r="H9" s="17"/>
      <c r="I9" s="16">
        <f t="shared" si="3"/>
        <v>9.5</v>
      </c>
      <c r="J9" s="16">
        <f t="shared" si="4"/>
        <v>570</v>
      </c>
      <c r="K9" s="18">
        <f t="shared" si="5"/>
        <v>0.21</v>
      </c>
      <c r="L9" s="16">
        <f t="shared" si="6"/>
        <v>119.7</v>
      </c>
      <c r="M9" s="16">
        <f t="shared" si="7"/>
        <v>689.7</v>
      </c>
      <c r="N9" s="16">
        <f t="shared" si="8"/>
        <v>7.8</v>
      </c>
      <c r="O9" s="16">
        <f t="shared" si="9"/>
        <v>468</v>
      </c>
      <c r="P9" s="16">
        <f t="shared" si="10"/>
        <v>102</v>
      </c>
      <c r="Q9" s="18">
        <f t="shared" si="11"/>
        <v>0.17894736842105263</v>
      </c>
      <c r="R9" s="19" t="str">
        <f>IF(C9="","",IF(ISNA(MATCH(B9,'Registru oferte'!$B$5:$B$504,0)),"Oferta nu există în registru",IF(N(F9)&lt;=0,"Lipsește cantitatea",IF(AND(ISNUMBER(Q9),Q9&lt;MarjaMin),"Marjă sub minim ("&amp;TEXT(Q9*100,"0")&amp;"%)",""))))</f>
        <v/>
      </c>
      <c r="S9" s="1" t="str">
        <f>IF(B9="","",B9&amp;"|"&amp;COUNTIF($B$5:B9,B9))</f>
        <v>OF-040|2</v>
      </c>
    </row>
    <row r="10" spans="2:19" x14ac:dyDescent="0.2">
      <c r="B10" s="11" t="s">
        <v>66</v>
      </c>
      <c r="C10" s="11" t="s">
        <v>43</v>
      </c>
      <c r="D10" s="10" t="str">
        <f t="shared" si="0"/>
        <v>Manoperă montaj electrician</v>
      </c>
      <c r="E10" s="15" t="str">
        <f t="shared" si="1"/>
        <v>oră</v>
      </c>
      <c r="F10" s="11">
        <v>16</v>
      </c>
      <c r="G10" s="16">
        <f t="shared" si="2"/>
        <v>95</v>
      </c>
      <c r="H10" s="17"/>
      <c r="I10" s="16">
        <f t="shared" si="3"/>
        <v>95</v>
      </c>
      <c r="J10" s="16">
        <f t="shared" si="4"/>
        <v>1520</v>
      </c>
      <c r="K10" s="18">
        <f t="shared" si="5"/>
        <v>0.21</v>
      </c>
      <c r="L10" s="16">
        <f t="shared" si="6"/>
        <v>319.2</v>
      </c>
      <c r="M10" s="16">
        <f t="shared" si="7"/>
        <v>1839.2</v>
      </c>
      <c r="N10" s="16">
        <f t="shared" si="8"/>
        <v>55</v>
      </c>
      <c r="O10" s="16">
        <f t="shared" si="9"/>
        <v>880</v>
      </c>
      <c r="P10" s="16">
        <f t="shared" si="10"/>
        <v>640</v>
      </c>
      <c r="Q10" s="18">
        <f t="shared" si="11"/>
        <v>0.42105263157894735</v>
      </c>
      <c r="R10" s="19" t="str">
        <f>IF(C10="","",IF(ISNA(MATCH(B10,'Registru oferte'!$B$5:$B$504,0)),"Oferta nu există în registru",IF(N(F10)&lt;=0,"Lipsește cantitatea",IF(AND(ISNUMBER(Q10),Q10&lt;MarjaMin),"Marjă sub minim ("&amp;TEXT(Q10*100,"0")&amp;"%)",""))))</f>
        <v/>
      </c>
      <c r="S10" s="1" t="str">
        <f>IF(B10="","",B10&amp;"|"&amp;COUNTIF($B$5:B10,B10))</f>
        <v>OF-040|3</v>
      </c>
    </row>
    <row r="11" spans="2:19" x14ac:dyDescent="0.2">
      <c r="B11" s="11" t="s">
        <v>66</v>
      </c>
      <c r="C11" s="11" t="s">
        <v>46</v>
      </c>
      <c r="D11" s="10" t="str">
        <f t="shared" si="0"/>
        <v>Transport și deplasare</v>
      </c>
      <c r="E11" s="15" t="str">
        <f t="shared" si="1"/>
        <v>cursă</v>
      </c>
      <c r="F11" s="11">
        <v>1</v>
      </c>
      <c r="G11" s="16">
        <f t="shared" si="2"/>
        <v>250</v>
      </c>
      <c r="H11" s="17"/>
      <c r="I11" s="16">
        <f t="shared" si="3"/>
        <v>250</v>
      </c>
      <c r="J11" s="16">
        <f t="shared" si="4"/>
        <v>250</v>
      </c>
      <c r="K11" s="18">
        <f t="shared" si="5"/>
        <v>0.21</v>
      </c>
      <c r="L11" s="16">
        <f t="shared" si="6"/>
        <v>52.5</v>
      </c>
      <c r="M11" s="16">
        <f t="shared" si="7"/>
        <v>302.5</v>
      </c>
      <c r="N11" s="16">
        <f t="shared" si="8"/>
        <v>120</v>
      </c>
      <c r="O11" s="16">
        <f t="shared" si="9"/>
        <v>120</v>
      </c>
      <c r="P11" s="16">
        <f t="shared" si="10"/>
        <v>130</v>
      </c>
      <c r="Q11" s="18">
        <f t="shared" si="11"/>
        <v>0.52</v>
      </c>
      <c r="R11" s="19" t="str">
        <f>IF(C11="","",IF(ISNA(MATCH(B11,'Registru oferte'!$B$5:$B$504,0)),"Oferta nu există în registru",IF(N(F11)&lt;=0,"Lipsește cantitatea",IF(AND(ISNUMBER(Q11),Q11&lt;MarjaMin),"Marjă sub minim ("&amp;TEXT(Q11*100,"0")&amp;"%)",""))))</f>
        <v/>
      </c>
      <c r="S11" s="1" t="str">
        <f>IF(B11="","",B11&amp;"|"&amp;COUNTIF($B$5:B11,B11))</f>
        <v>OF-040|4</v>
      </c>
    </row>
    <row r="12" spans="2:19" x14ac:dyDescent="0.2">
      <c r="B12" s="11" t="s">
        <v>67</v>
      </c>
      <c r="C12" s="11" t="s">
        <v>33</v>
      </c>
      <c r="D12" s="10" t="str">
        <f t="shared" si="0"/>
        <v>Cablu electric CYY-F 3×2,5 mm²</v>
      </c>
      <c r="E12" s="15" t="str">
        <f t="shared" si="1"/>
        <v>m</v>
      </c>
      <c r="F12" s="11">
        <v>350</v>
      </c>
      <c r="G12" s="16">
        <f t="shared" si="2"/>
        <v>9.5</v>
      </c>
      <c r="H12" s="17"/>
      <c r="I12" s="16">
        <f t="shared" si="3"/>
        <v>9.5</v>
      </c>
      <c r="J12" s="16">
        <f t="shared" si="4"/>
        <v>3325</v>
      </c>
      <c r="K12" s="18">
        <f t="shared" si="5"/>
        <v>0.21</v>
      </c>
      <c r="L12" s="16">
        <f t="shared" si="6"/>
        <v>698.25</v>
      </c>
      <c r="M12" s="16">
        <f t="shared" si="7"/>
        <v>4023.25</v>
      </c>
      <c r="N12" s="16">
        <f t="shared" si="8"/>
        <v>7.8</v>
      </c>
      <c r="O12" s="16">
        <f t="shared" si="9"/>
        <v>2730</v>
      </c>
      <c r="P12" s="16">
        <f t="shared" si="10"/>
        <v>595</v>
      </c>
      <c r="Q12" s="18">
        <f t="shared" si="11"/>
        <v>0.17894736842105263</v>
      </c>
      <c r="R12" s="19" t="str">
        <f>IF(C12="","",IF(ISNA(MATCH(B12,'Registru oferte'!$B$5:$B$504,0)),"Oferta nu există în registru",IF(N(F12)&lt;=0,"Lipsește cantitatea",IF(AND(ISNUMBER(Q12),Q12&lt;MarjaMin),"Marjă sub minim ("&amp;TEXT(Q12*100,"0")&amp;"%)",""))))</f>
        <v/>
      </c>
      <c r="S12" s="1" t="str">
        <f>IF(B12="","",B12&amp;"|"&amp;COUNTIF($B$5:B12,B12))</f>
        <v>OF-041|1</v>
      </c>
    </row>
    <row r="13" spans="2:19" x14ac:dyDescent="0.2">
      <c r="B13" s="11" t="s">
        <v>67</v>
      </c>
      <c r="C13" s="11" t="s">
        <v>36</v>
      </c>
      <c r="D13" s="10" t="str">
        <f t="shared" si="0"/>
        <v>Tablou electric echipat, 24 module</v>
      </c>
      <c r="E13" s="15" t="str">
        <f t="shared" si="1"/>
        <v>buc</v>
      </c>
      <c r="F13" s="11">
        <v>1</v>
      </c>
      <c r="G13" s="16">
        <f t="shared" si="2"/>
        <v>1450</v>
      </c>
      <c r="H13" s="17">
        <v>0.05</v>
      </c>
      <c r="I13" s="16">
        <f t="shared" si="3"/>
        <v>1377.5</v>
      </c>
      <c r="J13" s="16">
        <f t="shared" si="4"/>
        <v>1377.5</v>
      </c>
      <c r="K13" s="18">
        <f t="shared" si="5"/>
        <v>0.21</v>
      </c>
      <c r="L13" s="16">
        <f t="shared" si="6"/>
        <v>289.27999999999997</v>
      </c>
      <c r="M13" s="16">
        <f t="shared" si="7"/>
        <v>1666.78</v>
      </c>
      <c r="N13" s="16">
        <f t="shared" si="8"/>
        <v>1080</v>
      </c>
      <c r="O13" s="16">
        <f t="shared" si="9"/>
        <v>1080</v>
      </c>
      <c r="P13" s="16">
        <f t="shared" si="10"/>
        <v>297.5</v>
      </c>
      <c r="Q13" s="18">
        <f t="shared" si="11"/>
        <v>0.2159709618874773</v>
      </c>
      <c r="R13" s="19" t="str">
        <f>IF(C13="","",IF(ISNA(MATCH(B13,'Registru oferte'!$B$5:$B$504,0)),"Oferta nu există în registru",IF(N(F13)&lt;=0,"Lipsește cantitatea",IF(AND(ISNUMBER(Q13),Q13&lt;MarjaMin),"Marjă sub minim ("&amp;TEXT(Q13*100,"0")&amp;"%)",""))))</f>
        <v/>
      </c>
      <c r="S13" s="1" t="str">
        <f>IF(B13="","",B13&amp;"|"&amp;COUNTIF($B$5:B13,B13))</f>
        <v>OF-041|2</v>
      </c>
    </row>
    <row r="14" spans="2:19" x14ac:dyDescent="0.2">
      <c r="B14" s="11" t="s">
        <v>67</v>
      </c>
      <c r="C14" s="11" t="s">
        <v>39</v>
      </c>
      <c r="D14" s="10" t="str">
        <f t="shared" si="0"/>
        <v>Corp de iluminat LED tip panou 60×60, 40 W</v>
      </c>
      <c r="E14" s="15" t="str">
        <f t="shared" si="1"/>
        <v>buc</v>
      </c>
      <c r="F14" s="11">
        <v>24</v>
      </c>
      <c r="G14" s="16">
        <f t="shared" si="2"/>
        <v>185</v>
      </c>
      <c r="H14" s="17">
        <v>0.12</v>
      </c>
      <c r="I14" s="16">
        <f t="shared" si="3"/>
        <v>162.80000000000001</v>
      </c>
      <c r="J14" s="16">
        <f t="shared" si="4"/>
        <v>3907.2</v>
      </c>
      <c r="K14" s="18">
        <f t="shared" si="5"/>
        <v>0.21</v>
      </c>
      <c r="L14" s="16">
        <f t="shared" si="6"/>
        <v>820.51</v>
      </c>
      <c r="M14" s="16">
        <f t="shared" si="7"/>
        <v>4727.71</v>
      </c>
      <c r="N14" s="16">
        <f t="shared" si="8"/>
        <v>152</v>
      </c>
      <c r="O14" s="16">
        <f t="shared" si="9"/>
        <v>3648</v>
      </c>
      <c r="P14" s="16">
        <f t="shared" si="10"/>
        <v>259.19999999999982</v>
      </c>
      <c r="Q14" s="18">
        <f t="shared" si="11"/>
        <v>6.6339066339066291E-2</v>
      </c>
      <c r="R14" s="19" t="str">
        <f>IF(C14="","",IF(ISNA(MATCH(B14,'Registru oferte'!$B$5:$B$504,0)),"Oferta nu există în registru",IF(N(F14)&lt;=0,"Lipsește cantitatea",IF(AND(ISNUMBER(Q14),Q14&lt;MarjaMin),"Marjă sub minim ("&amp;TEXT(Q14*100,"0")&amp;"%)",""))))</f>
        <v>Marjă sub minim (7%)</v>
      </c>
      <c r="S14" s="1" t="str">
        <f>IF(B14="","",B14&amp;"|"&amp;COUNTIF($B$5:B14,B14))</f>
        <v>OF-041|3</v>
      </c>
    </row>
    <row r="15" spans="2:19" x14ac:dyDescent="0.2">
      <c r="B15" s="11" t="s">
        <v>67</v>
      </c>
      <c r="C15" s="11" t="s">
        <v>41</v>
      </c>
      <c r="D15" s="10" t="str">
        <f t="shared" si="0"/>
        <v>Priză dublă încastrată</v>
      </c>
      <c r="E15" s="15" t="str">
        <f t="shared" si="1"/>
        <v>buc</v>
      </c>
      <c r="F15" s="11">
        <v>18</v>
      </c>
      <c r="G15" s="16">
        <f t="shared" si="2"/>
        <v>32</v>
      </c>
      <c r="H15" s="17"/>
      <c r="I15" s="16">
        <f t="shared" si="3"/>
        <v>32</v>
      </c>
      <c r="J15" s="16">
        <f t="shared" si="4"/>
        <v>576</v>
      </c>
      <c r="K15" s="18">
        <f t="shared" si="5"/>
        <v>0.21</v>
      </c>
      <c r="L15" s="16">
        <f t="shared" si="6"/>
        <v>120.96</v>
      </c>
      <c r="M15" s="16">
        <f t="shared" si="7"/>
        <v>696.96</v>
      </c>
      <c r="N15" s="16">
        <f t="shared" si="8"/>
        <v>19</v>
      </c>
      <c r="O15" s="16">
        <f t="shared" si="9"/>
        <v>342</v>
      </c>
      <c r="P15" s="16">
        <f t="shared" si="10"/>
        <v>234</v>
      </c>
      <c r="Q15" s="18">
        <f t="shared" si="11"/>
        <v>0.40625</v>
      </c>
      <c r="R15" s="19" t="str">
        <f>IF(C15="","",IF(ISNA(MATCH(B15,'Registru oferte'!$B$5:$B$504,0)),"Oferta nu există în registru",IF(N(F15)&lt;=0,"Lipsește cantitatea",IF(AND(ISNUMBER(Q15),Q15&lt;MarjaMin),"Marjă sub minim ("&amp;TEXT(Q15*100,"0")&amp;"%)",""))))</f>
        <v/>
      </c>
      <c r="S15" s="1" t="str">
        <f>IF(B15="","",B15&amp;"|"&amp;COUNTIF($B$5:B15,B15))</f>
        <v>OF-041|4</v>
      </c>
    </row>
    <row r="16" spans="2:19" x14ac:dyDescent="0.2">
      <c r="B16" s="11" t="s">
        <v>67</v>
      </c>
      <c r="C16" s="11" t="s">
        <v>43</v>
      </c>
      <c r="D16" s="10" t="str">
        <f t="shared" si="0"/>
        <v>Manoperă montaj electrician</v>
      </c>
      <c r="E16" s="15" t="str">
        <f t="shared" si="1"/>
        <v>oră</v>
      </c>
      <c r="F16" s="11">
        <v>64</v>
      </c>
      <c r="G16" s="16">
        <f t="shared" si="2"/>
        <v>95</v>
      </c>
      <c r="H16" s="17"/>
      <c r="I16" s="16">
        <f t="shared" si="3"/>
        <v>95</v>
      </c>
      <c r="J16" s="16">
        <f t="shared" si="4"/>
        <v>6080</v>
      </c>
      <c r="K16" s="18">
        <f t="shared" si="5"/>
        <v>0.21</v>
      </c>
      <c r="L16" s="16">
        <f t="shared" si="6"/>
        <v>1276.8</v>
      </c>
      <c r="M16" s="16">
        <f t="shared" si="7"/>
        <v>7356.8</v>
      </c>
      <c r="N16" s="16">
        <f t="shared" si="8"/>
        <v>55</v>
      </c>
      <c r="O16" s="16">
        <f t="shared" si="9"/>
        <v>3520</v>
      </c>
      <c r="P16" s="16">
        <f t="shared" si="10"/>
        <v>2560</v>
      </c>
      <c r="Q16" s="18">
        <f t="shared" si="11"/>
        <v>0.42105263157894735</v>
      </c>
      <c r="R16" s="19" t="str">
        <f>IF(C16="","",IF(ISNA(MATCH(B16,'Registru oferte'!$B$5:$B$504,0)),"Oferta nu există în registru",IF(N(F16)&lt;=0,"Lipsește cantitatea",IF(AND(ISNUMBER(Q16),Q16&lt;MarjaMin),"Marjă sub minim ("&amp;TEXT(Q16*100,"0")&amp;"%)",""))))</f>
        <v/>
      </c>
      <c r="S16" s="1" t="str">
        <f>IF(B16="","",B16&amp;"|"&amp;COUNTIF($B$5:B16,B16))</f>
        <v>OF-041|5</v>
      </c>
    </row>
    <row r="17" spans="2:19" x14ac:dyDescent="0.2">
      <c r="B17" s="11" t="s">
        <v>67</v>
      </c>
      <c r="C17" s="11" t="s">
        <v>46</v>
      </c>
      <c r="D17" s="10" t="str">
        <f t="shared" si="0"/>
        <v>Transport și deplasare</v>
      </c>
      <c r="E17" s="15" t="str">
        <f t="shared" si="1"/>
        <v>cursă</v>
      </c>
      <c r="F17" s="11">
        <v>2</v>
      </c>
      <c r="G17" s="16">
        <f t="shared" si="2"/>
        <v>250</v>
      </c>
      <c r="H17" s="17"/>
      <c r="I17" s="16">
        <f t="shared" si="3"/>
        <v>250</v>
      </c>
      <c r="J17" s="16">
        <f t="shared" si="4"/>
        <v>500</v>
      </c>
      <c r="K17" s="18">
        <f t="shared" si="5"/>
        <v>0.21</v>
      </c>
      <c r="L17" s="16">
        <f t="shared" si="6"/>
        <v>105</v>
      </c>
      <c r="M17" s="16">
        <f t="shared" si="7"/>
        <v>605</v>
      </c>
      <c r="N17" s="16">
        <f t="shared" si="8"/>
        <v>120</v>
      </c>
      <c r="O17" s="16">
        <f t="shared" si="9"/>
        <v>240</v>
      </c>
      <c r="P17" s="16">
        <f t="shared" si="10"/>
        <v>260</v>
      </c>
      <c r="Q17" s="18">
        <f t="shared" si="11"/>
        <v>0.52</v>
      </c>
      <c r="R17" s="19" t="str">
        <f>IF(C17="","",IF(ISNA(MATCH(B17,'Registru oferte'!$B$5:$B$504,0)),"Oferta nu există în registru",IF(N(F17)&lt;=0,"Lipsește cantitatea",IF(AND(ISNUMBER(Q17),Q17&lt;MarjaMin),"Marjă sub minim ("&amp;TEXT(Q17*100,"0")&amp;"%)",""))))</f>
        <v/>
      </c>
      <c r="S17" s="1" t="str">
        <f>IF(B17="","",B17&amp;"|"&amp;COUNTIF($B$5:B17,B17))</f>
        <v>OF-041|6</v>
      </c>
    </row>
    <row r="18" spans="2:19" x14ac:dyDescent="0.2">
      <c r="B18" s="11" t="s">
        <v>67</v>
      </c>
      <c r="C18" s="11" t="s">
        <v>49</v>
      </c>
      <c r="D18" s="10" t="str">
        <f t="shared" si="0"/>
        <v>Măsurători PRAM și buletin de verificare</v>
      </c>
      <c r="E18" s="15" t="str">
        <f t="shared" si="1"/>
        <v>buc</v>
      </c>
      <c r="F18" s="11">
        <v>1</v>
      </c>
      <c r="G18" s="16">
        <f t="shared" si="2"/>
        <v>650</v>
      </c>
      <c r="H18" s="17"/>
      <c r="I18" s="16">
        <f t="shared" si="3"/>
        <v>650</v>
      </c>
      <c r="J18" s="16">
        <f t="shared" si="4"/>
        <v>650</v>
      </c>
      <c r="K18" s="18">
        <f t="shared" si="5"/>
        <v>0.21</v>
      </c>
      <c r="L18" s="16">
        <f t="shared" si="6"/>
        <v>136.5</v>
      </c>
      <c r="M18" s="16">
        <f t="shared" si="7"/>
        <v>786.5</v>
      </c>
      <c r="N18" s="16">
        <f t="shared" si="8"/>
        <v>300</v>
      </c>
      <c r="O18" s="16">
        <f t="shared" si="9"/>
        <v>300</v>
      </c>
      <c r="P18" s="16">
        <f t="shared" si="10"/>
        <v>350</v>
      </c>
      <c r="Q18" s="18">
        <f t="shared" si="11"/>
        <v>0.53846153846153844</v>
      </c>
      <c r="R18" s="19" t="str">
        <f>IF(C18="","",IF(ISNA(MATCH(B18,'Registru oferte'!$B$5:$B$504,0)),"Oferta nu există în registru",IF(N(F18)&lt;=0,"Lipsește cantitatea",IF(AND(ISNUMBER(Q18),Q18&lt;MarjaMin),"Marjă sub minim ("&amp;TEXT(Q18*100,"0")&amp;"%)",""))))</f>
        <v/>
      </c>
      <c r="S18" s="1" t="str">
        <f>IF(B18="","",B18&amp;"|"&amp;COUNTIF($B$5:B18,B18))</f>
        <v>OF-041|7</v>
      </c>
    </row>
    <row r="19" spans="2:19" x14ac:dyDescent="0.2">
      <c r="B19" s="11" t="s">
        <v>68</v>
      </c>
      <c r="C19" s="11" t="s">
        <v>33</v>
      </c>
      <c r="D19" s="10" t="str">
        <f t="shared" si="0"/>
        <v>Cablu electric CYY-F 3×2,5 mm²</v>
      </c>
      <c r="E19" s="15" t="str">
        <f t="shared" si="1"/>
        <v>m</v>
      </c>
      <c r="F19" s="11">
        <v>200</v>
      </c>
      <c r="G19" s="16">
        <f t="shared" si="2"/>
        <v>9.5</v>
      </c>
      <c r="H19" s="17"/>
      <c r="I19" s="16">
        <f t="shared" si="3"/>
        <v>9.5</v>
      </c>
      <c r="J19" s="16">
        <f t="shared" si="4"/>
        <v>1900</v>
      </c>
      <c r="K19" s="18">
        <f t="shared" si="5"/>
        <v>0.21</v>
      </c>
      <c r="L19" s="16">
        <f t="shared" si="6"/>
        <v>399</v>
      </c>
      <c r="M19" s="16">
        <f t="shared" si="7"/>
        <v>2299</v>
      </c>
      <c r="N19" s="16">
        <f t="shared" si="8"/>
        <v>7.8</v>
      </c>
      <c r="O19" s="16">
        <f t="shared" si="9"/>
        <v>1560</v>
      </c>
      <c r="P19" s="16">
        <f t="shared" si="10"/>
        <v>340</v>
      </c>
      <c r="Q19" s="18">
        <f t="shared" si="11"/>
        <v>0.17894736842105263</v>
      </c>
      <c r="R19" s="19" t="str">
        <f>IF(C19="","",IF(ISNA(MATCH(B19,'Registru oferte'!$B$5:$B$504,0)),"Oferta nu există în registru",IF(N(F19)&lt;=0,"Lipsește cantitatea",IF(AND(ISNUMBER(Q19),Q19&lt;MarjaMin),"Marjă sub minim ("&amp;TEXT(Q19*100,"0")&amp;"%)",""))))</f>
        <v/>
      </c>
      <c r="S19" s="1" t="str">
        <f>IF(B19="","",B19&amp;"|"&amp;COUNTIF($B$5:B19,B19))</f>
        <v>OF-042|1</v>
      </c>
    </row>
    <row r="20" spans="2:19" x14ac:dyDescent="0.2">
      <c r="B20" s="11" t="s">
        <v>68</v>
      </c>
      <c r="C20" s="11" t="s">
        <v>43</v>
      </c>
      <c r="D20" s="10" t="str">
        <f t="shared" si="0"/>
        <v>Manoperă montaj electrician</v>
      </c>
      <c r="E20" s="15" t="str">
        <f t="shared" si="1"/>
        <v>oră</v>
      </c>
      <c r="F20" s="11">
        <v>20</v>
      </c>
      <c r="G20" s="16">
        <f t="shared" si="2"/>
        <v>95</v>
      </c>
      <c r="H20" s="17"/>
      <c r="I20" s="16">
        <f t="shared" si="3"/>
        <v>95</v>
      </c>
      <c r="J20" s="16">
        <f t="shared" si="4"/>
        <v>1900</v>
      </c>
      <c r="K20" s="18">
        <f t="shared" si="5"/>
        <v>0.21</v>
      </c>
      <c r="L20" s="16">
        <f t="shared" si="6"/>
        <v>399</v>
      </c>
      <c r="M20" s="16">
        <f t="shared" si="7"/>
        <v>2299</v>
      </c>
      <c r="N20" s="16">
        <f t="shared" si="8"/>
        <v>55</v>
      </c>
      <c r="O20" s="16">
        <f t="shared" si="9"/>
        <v>1100</v>
      </c>
      <c r="P20" s="16">
        <f t="shared" si="10"/>
        <v>800</v>
      </c>
      <c r="Q20" s="18">
        <f t="shared" si="11"/>
        <v>0.42105263157894735</v>
      </c>
      <c r="R20" s="19" t="str">
        <f>IF(C20="","",IF(ISNA(MATCH(B20,'Registru oferte'!$B$5:$B$504,0)),"Oferta nu există în registru",IF(N(F20)&lt;=0,"Lipsește cantitatea",IF(AND(ISNUMBER(Q20),Q20&lt;MarjaMin),"Marjă sub minim ("&amp;TEXT(Q20*100,"0")&amp;"%)",""))))</f>
        <v/>
      </c>
      <c r="S20" s="1" t="str">
        <f>IF(B20="","",B20&amp;"|"&amp;COUNTIF($B$5:B20,B20))</f>
        <v>OF-042|2</v>
      </c>
    </row>
    <row r="21" spans="2:19" x14ac:dyDescent="0.2">
      <c r="B21" s="11" t="s">
        <v>68</v>
      </c>
      <c r="C21" s="11" t="s">
        <v>46</v>
      </c>
      <c r="D21" s="10" t="str">
        <f t="shared" si="0"/>
        <v>Transport și deplasare</v>
      </c>
      <c r="E21" s="15" t="str">
        <f t="shared" si="1"/>
        <v>cursă</v>
      </c>
      <c r="F21" s="11">
        <v>1</v>
      </c>
      <c r="G21" s="16">
        <f t="shared" si="2"/>
        <v>250</v>
      </c>
      <c r="H21" s="17"/>
      <c r="I21" s="16">
        <f t="shared" si="3"/>
        <v>250</v>
      </c>
      <c r="J21" s="16">
        <f t="shared" si="4"/>
        <v>250</v>
      </c>
      <c r="K21" s="18">
        <f t="shared" si="5"/>
        <v>0.21</v>
      </c>
      <c r="L21" s="16">
        <f t="shared" si="6"/>
        <v>52.5</v>
      </c>
      <c r="M21" s="16">
        <f t="shared" si="7"/>
        <v>302.5</v>
      </c>
      <c r="N21" s="16">
        <f t="shared" si="8"/>
        <v>120</v>
      </c>
      <c r="O21" s="16">
        <f t="shared" si="9"/>
        <v>120</v>
      </c>
      <c r="P21" s="16">
        <f t="shared" si="10"/>
        <v>130</v>
      </c>
      <c r="Q21" s="18">
        <f t="shared" si="11"/>
        <v>0.52</v>
      </c>
      <c r="R21" s="19" t="str">
        <f>IF(C21="","",IF(ISNA(MATCH(B21,'Registru oferte'!$B$5:$B$504,0)),"Oferta nu există în registru",IF(N(F21)&lt;=0,"Lipsește cantitatea",IF(AND(ISNUMBER(Q21),Q21&lt;MarjaMin),"Marjă sub minim ("&amp;TEXT(Q21*100,"0")&amp;"%)",""))))</f>
        <v/>
      </c>
      <c r="S21" s="1" t="str">
        <f>IF(B21="","",B21&amp;"|"&amp;COUNTIF($B$5:B21,B21))</f>
        <v>OF-042|3</v>
      </c>
    </row>
    <row r="22" spans="2:19" x14ac:dyDescent="0.2">
      <c r="B22" s="11"/>
      <c r="C22" s="11"/>
      <c r="D22" s="10" t="str">
        <f t="shared" si="0"/>
        <v/>
      </c>
      <c r="E22" s="15" t="str">
        <f t="shared" si="1"/>
        <v/>
      </c>
      <c r="F22" s="11"/>
      <c r="G22" s="16" t="str">
        <f t="shared" si="2"/>
        <v/>
      </c>
      <c r="H22" s="17"/>
      <c r="I22" s="16" t="str">
        <f t="shared" si="3"/>
        <v/>
      </c>
      <c r="J22" s="16" t="str">
        <f t="shared" si="4"/>
        <v/>
      </c>
      <c r="K22" s="18" t="str">
        <f t="shared" si="5"/>
        <v/>
      </c>
      <c r="L22" s="16" t="str">
        <f t="shared" si="6"/>
        <v/>
      </c>
      <c r="M22" s="16" t="str">
        <f t="shared" si="7"/>
        <v/>
      </c>
      <c r="N22" s="16" t="str">
        <f t="shared" si="8"/>
        <v/>
      </c>
      <c r="O22" s="16" t="str">
        <f t="shared" si="9"/>
        <v/>
      </c>
      <c r="P22" s="16" t="str">
        <f t="shared" si="10"/>
        <v/>
      </c>
      <c r="Q22" s="18" t="str">
        <f t="shared" si="11"/>
        <v/>
      </c>
      <c r="R22" s="19" t="str">
        <f>IF(C22="","",IF(ISNA(MATCH(B22,'Registru oferte'!$B$5:$B$504,0)),"Oferta nu există în registru",IF(N(F22)&lt;=0,"Lipsește cantitatea",IF(AND(ISNUMBER(Q22),Q22&lt;MarjaMin),"Marjă sub minim ("&amp;TEXT(Q22*100,"0")&amp;"%)",""))))</f>
        <v/>
      </c>
      <c r="S22" s="1" t="str">
        <f>IF(B22="","",B22&amp;"|"&amp;COUNTIF($B$5:B22,B22))</f>
        <v/>
      </c>
    </row>
    <row r="23" spans="2:19" x14ac:dyDescent="0.2">
      <c r="B23" s="11"/>
      <c r="C23" s="11"/>
      <c r="D23" s="10" t="str">
        <f t="shared" si="0"/>
        <v/>
      </c>
      <c r="E23" s="15" t="str">
        <f t="shared" si="1"/>
        <v/>
      </c>
      <c r="F23" s="11"/>
      <c r="G23" s="16" t="str">
        <f t="shared" si="2"/>
        <v/>
      </c>
      <c r="H23" s="17"/>
      <c r="I23" s="16" t="str">
        <f t="shared" si="3"/>
        <v/>
      </c>
      <c r="J23" s="16" t="str">
        <f t="shared" si="4"/>
        <v/>
      </c>
      <c r="K23" s="18" t="str">
        <f t="shared" si="5"/>
        <v/>
      </c>
      <c r="L23" s="16" t="str">
        <f t="shared" si="6"/>
        <v/>
      </c>
      <c r="M23" s="16" t="str">
        <f t="shared" si="7"/>
        <v/>
      </c>
      <c r="N23" s="16" t="str">
        <f t="shared" si="8"/>
        <v/>
      </c>
      <c r="O23" s="16" t="str">
        <f t="shared" si="9"/>
        <v/>
      </c>
      <c r="P23" s="16" t="str">
        <f t="shared" si="10"/>
        <v/>
      </c>
      <c r="Q23" s="18" t="str">
        <f t="shared" si="11"/>
        <v/>
      </c>
      <c r="R23" s="19" t="str">
        <f>IF(C23="","",IF(ISNA(MATCH(B23,'Registru oferte'!$B$5:$B$504,0)),"Oferta nu există în registru",IF(N(F23)&lt;=0,"Lipsește cantitatea",IF(AND(ISNUMBER(Q23),Q23&lt;MarjaMin),"Marjă sub minim ("&amp;TEXT(Q23*100,"0")&amp;"%)",""))))</f>
        <v/>
      </c>
      <c r="S23" s="1" t="str">
        <f>IF(B23="","",B23&amp;"|"&amp;COUNTIF($B$5:B23,B23))</f>
        <v/>
      </c>
    </row>
    <row r="24" spans="2:19" x14ac:dyDescent="0.2">
      <c r="B24" s="11"/>
      <c r="C24" s="11"/>
      <c r="D24" s="10" t="str">
        <f t="shared" si="0"/>
        <v/>
      </c>
      <c r="E24" s="15" t="str">
        <f t="shared" si="1"/>
        <v/>
      </c>
      <c r="F24" s="11"/>
      <c r="G24" s="16" t="str">
        <f t="shared" si="2"/>
        <v/>
      </c>
      <c r="H24" s="17"/>
      <c r="I24" s="16" t="str">
        <f t="shared" si="3"/>
        <v/>
      </c>
      <c r="J24" s="16" t="str">
        <f t="shared" si="4"/>
        <v/>
      </c>
      <c r="K24" s="18" t="str">
        <f t="shared" si="5"/>
        <v/>
      </c>
      <c r="L24" s="16" t="str">
        <f t="shared" si="6"/>
        <v/>
      </c>
      <c r="M24" s="16" t="str">
        <f t="shared" si="7"/>
        <v/>
      </c>
      <c r="N24" s="16" t="str">
        <f t="shared" si="8"/>
        <v/>
      </c>
      <c r="O24" s="16" t="str">
        <f t="shared" si="9"/>
        <v/>
      </c>
      <c r="P24" s="16" t="str">
        <f t="shared" si="10"/>
        <v/>
      </c>
      <c r="Q24" s="18" t="str">
        <f t="shared" si="11"/>
        <v/>
      </c>
      <c r="R24" s="19" t="str">
        <f>IF(C24="","",IF(ISNA(MATCH(B24,'Registru oferte'!$B$5:$B$504,0)),"Oferta nu există în registru",IF(N(F24)&lt;=0,"Lipsește cantitatea",IF(AND(ISNUMBER(Q24),Q24&lt;MarjaMin),"Marjă sub minim ("&amp;TEXT(Q24*100,"0")&amp;"%)",""))))</f>
        <v/>
      </c>
      <c r="S24" s="1" t="str">
        <f>IF(B24="","",B24&amp;"|"&amp;COUNTIF($B$5:B24,B24))</f>
        <v/>
      </c>
    </row>
    <row r="25" spans="2:19" x14ac:dyDescent="0.2">
      <c r="B25" s="11"/>
      <c r="C25" s="11"/>
      <c r="D25" s="10" t="str">
        <f t="shared" si="0"/>
        <v/>
      </c>
      <c r="E25" s="15" t="str">
        <f t="shared" si="1"/>
        <v/>
      </c>
      <c r="F25" s="11"/>
      <c r="G25" s="16" t="str">
        <f t="shared" si="2"/>
        <v/>
      </c>
      <c r="H25" s="17"/>
      <c r="I25" s="16" t="str">
        <f t="shared" si="3"/>
        <v/>
      </c>
      <c r="J25" s="16" t="str">
        <f t="shared" si="4"/>
        <v/>
      </c>
      <c r="K25" s="18" t="str">
        <f t="shared" si="5"/>
        <v/>
      </c>
      <c r="L25" s="16" t="str">
        <f t="shared" si="6"/>
        <v/>
      </c>
      <c r="M25" s="16" t="str">
        <f t="shared" si="7"/>
        <v/>
      </c>
      <c r="N25" s="16" t="str">
        <f t="shared" si="8"/>
        <v/>
      </c>
      <c r="O25" s="16" t="str">
        <f t="shared" si="9"/>
        <v/>
      </c>
      <c r="P25" s="16" t="str">
        <f t="shared" si="10"/>
        <v/>
      </c>
      <c r="Q25" s="18" t="str">
        <f t="shared" si="11"/>
        <v/>
      </c>
      <c r="R25" s="19" t="str">
        <f>IF(C25="","",IF(ISNA(MATCH(B25,'Registru oferte'!$B$5:$B$504,0)),"Oferta nu există în registru",IF(N(F25)&lt;=0,"Lipsește cantitatea",IF(AND(ISNUMBER(Q25),Q25&lt;MarjaMin),"Marjă sub minim ("&amp;TEXT(Q25*100,"0")&amp;"%)",""))))</f>
        <v/>
      </c>
      <c r="S25" s="1" t="str">
        <f>IF(B25="","",B25&amp;"|"&amp;COUNTIF($B$5:B25,B25))</f>
        <v/>
      </c>
    </row>
    <row r="26" spans="2:19" x14ac:dyDescent="0.2">
      <c r="B26" s="11"/>
      <c r="C26" s="11"/>
      <c r="D26" s="10" t="str">
        <f t="shared" si="0"/>
        <v/>
      </c>
      <c r="E26" s="15" t="str">
        <f t="shared" si="1"/>
        <v/>
      </c>
      <c r="F26" s="11"/>
      <c r="G26" s="16" t="str">
        <f t="shared" si="2"/>
        <v/>
      </c>
      <c r="H26" s="17"/>
      <c r="I26" s="16" t="str">
        <f t="shared" si="3"/>
        <v/>
      </c>
      <c r="J26" s="16" t="str">
        <f t="shared" si="4"/>
        <v/>
      </c>
      <c r="K26" s="18" t="str">
        <f t="shared" si="5"/>
        <v/>
      </c>
      <c r="L26" s="16" t="str">
        <f t="shared" si="6"/>
        <v/>
      </c>
      <c r="M26" s="16" t="str">
        <f t="shared" si="7"/>
        <v/>
      </c>
      <c r="N26" s="16" t="str">
        <f t="shared" si="8"/>
        <v/>
      </c>
      <c r="O26" s="16" t="str">
        <f t="shared" si="9"/>
        <v/>
      </c>
      <c r="P26" s="16" t="str">
        <f t="shared" si="10"/>
        <v/>
      </c>
      <c r="Q26" s="18" t="str">
        <f t="shared" si="11"/>
        <v/>
      </c>
      <c r="R26" s="19" t="str">
        <f>IF(C26="","",IF(ISNA(MATCH(B26,'Registru oferte'!$B$5:$B$504,0)),"Oferta nu există în registru",IF(N(F26)&lt;=0,"Lipsește cantitatea",IF(AND(ISNUMBER(Q26),Q26&lt;MarjaMin),"Marjă sub minim ("&amp;TEXT(Q26*100,"0")&amp;"%)",""))))</f>
        <v/>
      </c>
      <c r="S26" s="1" t="str">
        <f>IF(B26="","",B26&amp;"|"&amp;COUNTIF($B$5:B26,B26))</f>
        <v/>
      </c>
    </row>
    <row r="27" spans="2:19" x14ac:dyDescent="0.2">
      <c r="B27" s="11"/>
      <c r="C27" s="11"/>
      <c r="D27" s="10" t="str">
        <f t="shared" si="0"/>
        <v/>
      </c>
      <c r="E27" s="15" t="str">
        <f t="shared" si="1"/>
        <v/>
      </c>
      <c r="F27" s="11"/>
      <c r="G27" s="16" t="str">
        <f t="shared" si="2"/>
        <v/>
      </c>
      <c r="H27" s="17"/>
      <c r="I27" s="16" t="str">
        <f t="shared" si="3"/>
        <v/>
      </c>
      <c r="J27" s="16" t="str">
        <f t="shared" si="4"/>
        <v/>
      </c>
      <c r="K27" s="18" t="str">
        <f t="shared" si="5"/>
        <v/>
      </c>
      <c r="L27" s="16" t="str">
        <f t="shared" si="6"/>
        <v/>
      </c>
      <c r="M27" s="16" t="str">
        <f t="shared" si="7"/>
        <v/>
      </c>
      <c r="N27" s="16" t="str">
        <f t="shared" si="8"/>
        <v/>
      </c>
      <c r="O27" s="16" t="str">
        <f t="shared" si="9"/>
        <v/>
      </c>
      <c r="P27" s="16" t="str">
        <f t="shared" si="10"/>
        <v/>
      </c>
      <c r="Q27" s="18" t="str">
        <f t="shared" si="11"/>
        <v/>
      </c>
      <c r="R27" s="19" t="str">
        <f>IF(C27="","",IF(ISNA(MATCH(B27,'Registru oferte'!$B$5:$B$504,0)),"Oferta nu există în registru",IF(N(F27)&lt;=0,"Lipsește cantitatea",IF(AND(ISNUMBER(Q27),Q27&lt;MarjaMin),"Marjă sub minim ("&amp;TEXT(Q27*100,"0")&amp;"%)",""))))</f>
        <v/>
      </c>
      <c r="S27" s="1" t="str">
        <f>IF(B27="","",B27&amp;"|"&amp;COUNTIF($B$5:B27,B27))</f>
        <v/>
      </c>
    </row>
    <row r="28" spans="2:19" x14ac:dyDescent="0.2">
      <c r="B28" s="11"/>
      <c r="C28" s="11"/>
      <c r="D28" s="10" t="str">
        <f t="shared" si="0"/>
        <v/>
      </c>
      <c r="E28" s="15" t="str">
        <f t="shared" si="1"/>
        <v/>
      </c>
      <c r="F28" s="11"/>
      <c r="G28" s="16" t="str">
        <f t="shared" si="2"/>
        <v/>
      </c>
      <c r="H28" s="17"/>
      <c r="I28" s="16" t="str">
        <f t="shared" si="3"/>
        <v/>
      </c>
      <c r="J28" s="16" t="str">
        <f t="shared" si="4"/>
        <v/>
      </c>
      <c r="K28" s="18" t="str">
        <f t="shared" si="5"/>
        <v/>
      </c>
      <c r="L28" s="16" t="str">
        <f t="shared" si="6"/>
        <v/>
      </c>
      <c r="M28" s="16" t="str">
        <f t="shared" si="7"/>
        <v/>
      </c>
      <c r="N28" s="16" t="str">
        <f t="shared" si="8"/>
        <v/>
      </c>
      <c r="O28" s="16" t="str">
        <f t="shared" si="9"/>
        <v/>
      </c>
      <c r="P28" s="16" t="str">
        <f t="shared" si="10"/>
        <v/>
      </c>
      <c r="Q28" s="18" t="str">
        <f t="shared" si="11"/>
        <v/>
      </c>
      <c r="R28" s="19" t="str">
        <f>IF(C28="","",IF(ISNA(MATCH(B28,'Registru oferte'!$B$5:$B$504,0)),"Oferta nu există în registru",IF(N(F28)&lt;=0,"Lipsește cantitatea",IF(AND(ISNUMBER(Q28),Q28&lt;MarjaMin),"Marjă sub minim ("&amp;TEXT(Q28*100,"0")&amp;"%)",""))))</f>
        <v/>
      </c>
      <c r="S28" s="1" t="str">
        <f>IF(B28="","",B28&amp;"|"&amp;COUNTIF($B$5:B28,B28))</f>
        <v/>
      </c>
    </row>
    <row r="29" spans="2:19" x14ac:dyDescent="0.2">
      <c r="B29" s="11"/>
      <c r="C29" s="11"/>
      <c r="D29" s="10" t="str">
        <f t="shared" si="0"/>
        <v/>
      </c>
      <c r="E29" s="15" t="str">
        <f t="shared" si="1"/>
        <v/>
      </c>
      <c r="F29" s="11"/>
      <c r="G29" s="16" t="str">
        <f t="shared" si="2"/>
        <v/>
      </c>
      <c r="H29" s="17"/>
      <c r="I29" s="16" t="str">
        <f t="shared" si="3"/>
        <v/>
      </c>
      <c r="J29" s="16" t="str">
        <f t="shared" si="4"/>
        <v/>
      </c>
      <c r="K29" s="18" t="str">
        <f t="shared" si="5"/>
        <v/>
      </c>
      <c r="L29" s="16" t="str">
        <f t="shared" si="6"/>
        <v/>
      </c>
      <c r="M29" s="16" t="str">
        <f t="shared" si="7"/>
        <v/>
      </c>
      <c r="N29" s="16" t="str">
        <f t="shared" si="8"/>
        <v/>
      </c>
      <c r="O29" s="16" t="str">
        <f t="shared" si="9"/>
        <v/>
      </c>
      <c r="P29" s="16" t="str">
        <f t="shared" si="10"/>
        <v/>
      </c>
      <c r="Q29" s="18" t="str">
        <f t="shared" si="11"/>
        <v/>
      </c>
      <c r="R29" s="19" t="str">
        <f>IF(C29="","",IF(ISNA(MATCH(B29,'Registru oferte'!$B$5:$B$504,0)),"Oferta nu există în registru",IF(N(F29)&lt;=0,"Lipsește cantitatea",IF(AND(ISNUMBER(Q29),Q29&lt;MarjaMin),"Marjă sub minim ("&amp;TEXT(Q29*100,"0")&amp;"%)",""))))</f>
        <v/>
      </c>
      <c r="S29" s="1" t="str">
        <f>IF(B29="","",B29&amp;"|"&amp;COUNTIF($B$5:B29,B29))</f>
        <v/>
      </c>
    </row>
    <row r="30" spans="2:19" x14ac:dyDescent="0.2">
      <c r="B30" s="11"/>
      <c r="C30" s="11"/>
      <c r="D30" s="10" t="str">
        <f t="shared" si="0"/>
        <v/>
      </c>
      <c r="E30" s="15" t="str">
        <f t="shared" si="1"/>
        <v/>
      </c>
      <c r="F30" s="11"/>
      <c r="G30" s="16" t="str">
        <f t="shared" si="2"/>
        <v/>
      </c>
      <c r="H30" s="17"/>
      <c r="I30" s="16" t="str">
        <f t="shared" si="3"/>
        <v/>
      </c>
      <c r="J30" s="16" t="str">
        <f t="shared" si="4"/>
        <v/>
      </c>
      <c r="K30" s="18" t="str">
        <f t="shared" si="5"/>
        <v/>
      </c>
      <c r="L30" s="16" t="str">
        <f t="shared" si="6"/>
        <v/>
      </c>
      <c r="M30" s="16" t="str">
        <f t="shared" si="7"/>
        <v/>
      </c>
      <c r="N30" s="16" t="str">
        <f t="shared" si="8"/>
        <v/>
      </c>
      <c r="O30" s="16" t="str">
        <f t="shared" si="9"/>
        <v/>
      </c>
      <c r="P30" s="16" t="str">
        <f t="shared" si="10"/>
        <v/>
      </c>
      <c r="Q30" s="18" t="str">
        <f t="shared" si="11"/>
        <v/>
      </c>
      <c r="R30" s="19" t="str">
        <f>IF(C30="","",IF(ISNA(MATCH(B30,'Registru oferte'!$B$5:$B$504,0)),"Oferta nu există în registru",IF(N(F30)&lt;=0,"Lipsește cantitatea",IF(AND(ISNUMBER(Q30),Q30&lt;MarjaMin),"Marjă sub minim ("&amp;TEXT(Q30*100,"0")&amp;"%)",""))))</f>
        <v/>
      </c>
      <c r="S30" s="1" t="str">
        <f>IF(B30="","",B30&amp;"|"&amp;COUNTIF($B$5:B30,B30))</f>
        <v/>
      </c>
    </row>
    <row r="31" spans="2:19" x14ac:dyDescent="0.2">
      <c r="B31" s="11"/>
      <c r="C31" s="11"/>
      <c r="D31" s="10" t="str">
        <f t="shared" si="0"/>
        <v/>
      </c>
      <c r="E31" s="15" t="str">
        <f t="shared" si="1"/>
        <v/>
      </c>
      <c r="F31" s="11"/>
      <c r="G31" s="16" t="str">
        <f t="shared" si="2"/>
        <v/>
      </c>
      <c r="H31" s="17"/>
      <c r="I31" s="16" t="str">
        <f t="shared" si="3"/>
        <v/>
      </c>
      <c r="J31" s="16" t="str">
        <f t="shared" si="4"/>
        <v/>
      </c>
      <c r="K31" s="18" t="str">
        <f t="shared" si="5"/>
        <v/>
      </c>
      <c r="L31" s="16" t="str">
        <f t="shared" si="6"/>
        <v/>
      </c>
      <c r="M31" s="16" t="str">
        <f t="shared" si="7"/>
        <v/>
      </c>
      <c r="N31" s="16" t="str">
        <f t="shared" si="8"/>
        <v/>
      </c>
      <c r="O31" s="16" t="str">
        <f t="shared" si="9"/>
        <v/>
      </c>
      <c r="P31" s="16" t="str">
        <f t="shared" si="10"/>
        <v/>
      </c>
      <c r="Q31" s="18" t="str">
        <f t="shared" si="11"/>
        <v/>
      </c>
      <c r="R31" s="19" t="str">
        <f>IF(C31="","",IF(ISNA(MATCH(B31,'Registru oferte'!$B$5:$B$504,0)),"Oferta nu există în registru",IF(N(F31)&lt;=0,"Lipsește cantitatea",IF(AND(ISNUMBER(Q31),Q31&lt;MarjaMin),"Marjă sub minim ("&amp;TEXT(Q31*100,"0")&amp;"%)",""))))</f>
        <v/>
      </c>
      <c r="S31" s="1" t="str">
        <f>IF(B31="","",B31&amp;"|"&amp;COUNTIF($B$5:B31,B31))</f>
        <v/>
      </c>
    </row>
    <row r="32" spans="2:19" x14ac:dyDescent="0.2">
      <c r="B32" s="11"/>
      <c r="C32" s="11"/>
      <c r="D32" s="10" t="str">
        <f t="shared" si="0"/>
        <v/>
      </c>
      <c r="E32" s="15" t="str">
        <f t="shared" si="1"/>
        <v/>
      </c>
      <c r="F32" s="11"/>
      <c r="G32" s="16" t="str">
        <f t="shared" si="2"/>
        <v/>
      </c>
      <c r="H32" s="17"/>
      <c r="I32" s="16" t="str">
        <f t="shared" si="3"/>
        <v/>
      </c>
      <c r="J32" s="16" t="str">
        <f t="shared" si="4"/>
        <v/>
      </c>
      <c r="K32" s="18" t="str">
        <f t="shared" si="5"/>
        <v/>
      </c>
      <c r="L32" s="16" t="str">
        <f t="shared" si="6"/>
        <v/>
      </c>
      <c r="M32" s="16" t="str">
        <f t="shared" si="7"/>
        <v/>
      </c>
      <c r="N32" s="16" t="str">
        <f t="shared" si="8"/>
        <v/>
      </c>
      <c r="O32" s="16" t="str">
        <f t="shared" si="9"/>
        <v/>
      </c>
      <c r="P32" s="16" t="str">
        <f t="shared" si="10"/>
        <v/>
      </c>
      <c r="Q32" s="18" t="str">
        <f t="shared" si="11"/>
        <v/>
      </c>
      <c r="R32" s="19" t="str">
        <f>IF(C32="","",IF(ISNA(MATCH(B32,'Registru oferte'!$B$5:$B$504,0)),"Oferta nu există în registru",IF(N(F32)&lt;=0,"Lipsește cantitatea",IF(AND(ISNUMBER(Q32),Q32&lt;MarjaMin),"Marjă sub minim ("&amp;TEXT(Q32*100,"0")&amp;"%)",""))))</f>
        <v/>
      </c>
      <c r="S32" s="1" t="str">
        <f>IF(B32="","",B32&amp;"|"&amp;COUNTIF($B$5:B32,B32))</f>
        <v/>
      </c>
    </row>
    <row r="33" spans="2:19" x14ac:dyDescent="0.2">
      <c r="B33" s="11"/>
      <c r="C33" s="11"/>
      <c r="D33" s="10" t="str">
        <f t="shared" si="0"/>
        <v/>
      </c>
      <c r="E33" s="15" t="str">
        <f t="shared" si="1"/>
        <v/>
      </c>
      <c r="F33" s="11"/>
      <c r="G33" s="16" t="str">
        <f t="shared" si="2"/>
        <v/>
      </c>
      <c r="H33" s="17"/>
      <c r="I33" s="16" t="str">
        <f t="shared" si="3"/>
        <v/>
      </c>
      <c r="J33" s="16" t="str">
        <f t="shared" si="4"/>
        <v/>
      </c>
      <c r="K33" s="18" t="str">
        <f t="shared" si="5"/>
        <v/>
      </c>
      <c r="L33" s="16" t="str">
        <f t="shared" si="6"/>
        <v/>
      </c>
      <c r="M33" s="16" t="str">
        <f t="shared" si="7"/>
        <v/>
      </c>
      <c r="N33" s="16" t="str">
        <f t="shared" si="8"/>
        <v/>
      </c>
      <c r="O33" s="16" t="str">
        <f t="shared" si="9"/>
        <v/>
      </c>
      <c r="P33" s="16" t="str">
        <f t="shared" si="10"/>
        <v/>
      </c>
      <c r="Q33" s="18" t="str">
        <f t="shared" si="11"/>
        <v/>
      </c>
      <c r="R33" s="19" t="str">
        <f>IF(C33="","",IF(ISNA(MATCH(B33,'Registru oferte'!$B$5:$B$504,0)),"Oferta nu există în registru",IF(N(F33)&lt;=0,"Lipsește cantitatea",IF(AND(ISNUMBER(Q33),Q33&lt;MarjaMin),"Marjă sub minim ("&amp;TEXT(Q33*100,"0")&amp;"%)",""))))</f>
        <v/>
      </c>
      <c r="S33" s="1" t="str">
        <f>IF(B33="","",B33&amp;"|"&amp;COUNTIF($B$5:B33,B33))</f>
        <v/>
      </c>
    </row>
    <row r="34" spans="2:19" x14ac:dyDescent="0.2">
      <c r="B34" s="11"/>
      <c r="C34" s="11"/>
      <c r="D34" s="10" t="str">
        <f t="shared" si="0"/>
        <v/>
      </c>
      <c r="E34" s="15" t="str">
        <f t="shared" si="1"/>
        <v/>
      </c>
      <c r="F34" s="11"/>
      <c r="G34" s="16" t="str">
        <f t="shared" si="2"/>
        <v/>
      </c>
      <c r="H34" s="17"/>
      <c r="I34" s="16" t="str">
        <f t="shared" si="3"/>
        <v/>
      </c>
      <c r="J34" s="16" t="str">
        <f t="shared" si="4"/>
        <v/>
      </c>
      <c r="K34" s="18" t="str">
        <f t="shared" si="5"/>
        <v/>
      </c>
      <c r="L34" s="16" t="str">
        <f t="shared" si="6"/>
        <v/>
      </c>
      <c r="M34" s="16" t="str">
        <f t="shared" si="7"/>
        <v/>
      </c>
      <c r="N34" s="16" t="str">
        <f t="shared" si="8"/>
        <v/>
      </c>
      <c r="O34" s="16" t="str">
        <f t="shared" si="9"/>
        <v/>
      </c>
      <c r="P34" s="16" t="str">
        <f t="shared" si="10"/>
        <v/>
      </c>
      <c r="Q34" s="18" t="str">
        <f t="shared" si="11"/>
        <v/>
      </c>
      <c r="R34" s="19" t="str">
        <f>IF(C34="","",IF(ISNA(MATCH(B34,'Registru oferte'!$B$5:$B$504,0)),"Oferta nu există în registru",IF(N(F34)&lt;=0,"Lipsește cantitatea",IF(AND(ISNUMBER(Q34),Q34&lt;MarjaMin),"Marjă sub minim ("&amp;TEXT(Q34*100,"0")&amp;"%)",""))))</f>
        <v/>
      </c>
      <c r="S34" s="1" t="str">
        <f>IF(B34="","",B34&amp;"|"&amp;COUNTIF($B$5:B34,B34))</f>
        <v/>
      </c>
    </row>
    <row r="35" spans="2:19" x14ac:dyDescent="0.2">
      <c r="B35" s="11"/>
      <c r="C35" s="11"/>
      <c r="D35" s="10" t="str">
        <f t="shared" si="0"/>
        <v/>
      </c>
      <c r="E35" s="15" t="str">
        <f t="shared" si="1"/>
        <v/>
      </c>
      <c r="F35" s="11"/>
      <c r="G35" s="16" t="str">
        <f t="shared" si="2"/>
        <v/>
      </c>
      <c r="H35" s="17"/>
      <c r="I35" s="16" t="str">
        <f t="shared" si="3"/>
        <v/>
      </c>
      <c r="J35" s="16" t="str">
        <f t="shared" si="4"/>
        <v/>
      </c>
      <c r="K35" s="18" t="str">
        <f t="shared" si="5"/>
        <v/>
      </c>
      <c r="L35" s="16" t="str">
        <f t="shared" si="6"/>
        <v/>
      </c>
      <c r="M35" s="16" t="str">
        <f t="shared" si="7"/>
        <v/>
      </c>
      <c r="N35" s="16" t="str">
        <f t="shared" si="8"/>
        <v/>
      </c>
      <c r="O35" s="16" t="str">
        <f t="shared" si="9"/>
        <v/>
      </c>
      <c r="P35" s="16" t="str">
        <f t="shared" si="10"/>
        <v/>
      </c>
      <c r="Q35" s="18" t="str">
        <f t="shared" si="11"/>
        <v/>
      </c>
      <c r="R35" s="19" t="str">
        <f>IF(C35="","",IF(ISNA(MATCH(B35,'Registru oferte'!$B$5:$B$504,0)),"Oferta nu există în registru",IF(N(F35)&lt;=0,"Lipsește cantitatea",IF(AND(ISNUMBER(Q35),Q35&lt;MarjaMin),"Marjă sub minim ("&amp;TEXT(Q35*100,"0")&amp;"%)",""))))</f>
        <v/>
      </c>
      <c r="S35" s="1" t="str">
        <f>IF(B35="","",B35&amp;"|"&amp;COUNTIF($B$5:B35,B35))</f>
        <v/>
      </c>
    </row>
    <row r="36" spans="2:19" x14ac:dyDescent="0.2">
      <c r="B36" s="11"/>
      <c r="C36" s="11"/>
      <c r="D36" s="10" t="str">
        <f t="shared" si="0"/>
        <v/>
      </c>
      <c r="E36" s="15" t="str">
        <f t="shared" si="1"/>
        <v/>
      </c>
      <c r="F36" s="11"/>
      <c r="G36" s="16" t="str">
        <f t="shared" si="2"/>
        <v/>
      </c>
      <c r="H36" s="17"/>
      <c r="I36" s="16" t="str">
        <f t="shared" si="3"/>
        <v/>
      </c>
      <c r="J36" s="16" t="str">
        <f t="shared" si="4"/>
        <v/>
      </c>
      <c r="K36" s="18" t="str">
        <f t="shared" si="5"/>
        <v/>
      </c>
      <c r="L36" s="16" t="str">
        <f t="shared" si="6"/>
        <v/>
      </c>
      <c r="M36" s="16" t="str">
        <f t="shared" si="7"/>
        <v/>
      </c>
      <c r="N36" s="16" t="str">
        <f t="shared" si="8"/>
        <v/>
      </c>
      <c r="O36" s="16" t="str">
        <f t="shared" si="9"/>
        <v/>
      </c>
      <c r="P36" s="16" t="str">
        <f t="shared" si="10"/>
        <v/>
      </c>
      <c r="Q36" s="18" t="str">
        <f t="shared" si="11"/>
        <v/>
      </c>
      <c r="R36" s="19" t="str">
        <f>IF(C36="","",IF(ISNA(MATCH(B36,'Registru oferte'!$B$5:$B$504,0)),"Oferta nu există în registru",IF(N(F36)&lt;=0,"Lipsește cantitatea",IF(AND(ISNUMBER(Q36),Q36&lt;MarjaMin),"Marjă sub minim ("&amp;TEXT(Q36*100,"0")&amp;"%)",""))))</f>
        <v/>
      </c>
      <c r="S36" s="1" t="str">
        <f>IF(B36="","",B36&amp;"|"&amp;COUNTIF($B$5:B36,B36))</f>
        <v/>
      </c>
    </row>
    <row r="37" spans="2:19" x14ac:dyDescent="0.2">
      <c r="B37" s="11"/>
      <c r="C37" s="11"/>
      <c r="D37" s="10" t="str">
        <f t="shared" si="0"/>
        <v/>
      </c>
      <c r="E37" s="15" t="str">
        <f t="shared" si="1"/>
        <v/>
      </c>
      <c r="F37" s="11"/>
      <c r="G37" s="16" t="str">
        <f t="shared" si="2"/>
        <v/>
      </c>
      <c r="H37" s="17"/>
      <c r="I37" s="16" t="str">
        <f t="shared" si="3"/>
        <v/>
      </c>
      <c r="J37" s="16" t="str">
        <f t="shared" si="4"/>
        <v/>
      </c>
      <c r="K37" s="18" t="str">
        <f t="shared" si="5"/>
        <v/>
      </c>
      <c r="L37" s="16" t="str">
        <f t="shared" si="6"/>
        <v/>
      </c>
      <c r="M37" s="16" t="str">
        <f t="shared" si="7"/>
        <v/>
      </c>
      <c r="N37" s="16" t="str">
        <f t="shared" si="8"/>
        <v/>
      </c>
      <c r="O37" s="16" t="str">
        <f t="shared" si="9"/>
        <v/>
      </c>
      <c r="P37" s="16" t="str">
        <f t="shared" si="10"/>
        <v/>
      </c>
      <c r="Q37" s="18" t="str">
        <f t="shared" si="11"/>
        <v/>
      </c>
      <c r="R37" s="19" t="str">
        <f>IF(C37="","",IF(ISNA(MATCH(B37,'Registru oferte'!$B$5:$B$504,0)),"Oferta nu există în registru",IF(N(F37)&lt;=0,"Lipsește cantitatea",IF(AND(ISNUMBER(Q37),Q37&lt;MarjaMin),"Marjă sub minim ("&amp;TEXT(Q37*100,"0")&amp;"%)",""))))</f>
        <v/>
      </c>
      <c r="S37" s="1" t="str">
        <f>IF(B37="","",B37&amp;"|"&amp;COUNTIF($B$5:B37,B37))</f>
        <v/>
      </c>
    </row>
    <row r="38" spans="2:19" x14ac:dyDescent="0.2">
      <c r="B38" s="11"/>
      <c r="C38" s="11"/>
      <c r="D38" s="10" t="str">
        <f t="shared" si="0"/>
        <v/>
      </c>
      <c r="E38" s="15" t="str">
        <f t="shared" si="1"/>
        <v/>
      </c>
      <c r="F38" s="11"/>
      <c r="G38" s="16" t="str">
        <f t="shared" si="2"/>
        <v/>
      </c>
      <c r="H38" s="17"/>
      <c r="I38" s="16" t="str">
        <f t="shared" si="3"/>
        <v/>
      </c>
      <c r="J38" s="16" t="str">
        <f t="shared" si="4"/>
        <v/>
      </c>
      <c r="K38" s="18" t="str">
        <f t="shared" si="5"/>
        <v/>
      </c>
      <c r="L38" s="16" t="str">
        <f t="shared" si="6"/>
        <v/>
      </c>
      <c r="M38" s="16" t="str">
        <f t="shared" si="7"/>
        <v/>
      </c>
      <c r="N38" s="16" t="str">
        <f t="shared" si="8"/>
        <v/>
      </c>
      <c r="O38" s="16" t="str">
        <f t="shared" si="9"/>
        <v/>
      </c>
      <c r="P38" s="16" t="str">
        <f t="shared" si="10"/>
        <v/>
      </c>
      <c r="Q38" s="18" t="str">
        <f t="shared" si="11"/>
        <v/>
      </c>
      <c r="R38" s="19" t="str">
        <f>IF(C38="","",IF(ISNA(MATCH(B38,'Registru oferte'!$B$5:$B$504,0)),"Oferta nu există în registru",IF(N(F38)&lt;=0,"Lipsește cantitatea",IF(AND(ISNUMBER(Q38),Q38&lt;MarjaMin),"Marjă sub minim ("&amp;TEXT(Q38*100,"0")&amp;"%)",""))))</f>
        <v/>
      </c>
      <c r="S38" s="1" t="str">
        <f>IF(B38="","",B38&amp;"|"&amp;COUNTIF($B$5:B38,B38))</f>
        <v/>
      </c>
    </row>
    <row r="39" spans="2:19" x14ac:dyDescent="0.2">
      <c r="B39" s="11"/>
      <c r="C39" s="11"/>
      <c r="D39" s="10" t="str">
        <f t="shared" si="0"/>
        <v/>
      </c>
      <c r="E39" s="15" t="str">
        <f t="shared" si="1"/>
        <v/>
      </c>
      <c r="F39" s="11"/>
      <c r="G39" s="16" t="str">
        <f t="shared" si="2"/>
        <v/>
      </c>
      <c r="H39" s="17"/>
      <c r="I39" s="16" t="str">
        <f t="shared" si="3"/>
        <v/>
      </c>
      <c r="J39" s="16" t="str">
        <f t="shared" si="4"/>
        <v/>
      </c>
      <c r="K39" s="18" t="str">
        <f t="shared" si="5"/>
        <v/>
      </c>
      <c r="L39" s="16" t="str">
        <f t="shared" si="6"/>
        <v/>
      </c>
      <c r="M39" s="16" t="str">
        <f t="shared" si="7"/>
        <v/>
      </c>
      <c r="N39" s="16" t="str">
        <f t="shared" si="8"/>
        <v/>
      </c>
      <c r="O39" s="16" t="str">
        <f t="shared" si="9"/>
        <v/>
      </c>
      <c r="P39" s="16" t="str">
        <f t="shared" si="10"/>
        <v/>
      </c>
      <c r="Q39" s="18" t="str">
        <f t="shared" si="11"/>
        <v/>
      </c>
      <c r="R39" s="19" t="str">
        <f>IF(C39="","",IF(ISNA(MATCH(B39,'Registru oferte'!$B$5:$B$504,0)),"Oferta nu există în registru",IF(N(F39)&lt;=0,"Lipsește cantitatea",IF(AND(ISNUMBER(Q39),Q39&lt;MarjaMin),"Marjă sub minim ("&amp;TEXT(Q39*100,"0")&amp;"%)",""))))</f>
        <v/>
      </c>
      <c r="S39" s="1" t="str">
        <f>IF(B39="","",B39&amp;"|"&amp;COUNTIF($B$5:B39,B39))</f>
        <v/>
      </c>
    </row>
    <row r="40" spans="2:19" x14ac:dyDescent="0.2">
      <c r="B40" s="11"/>
      <c r="C40" s="11"/>
      <c r="D40" s="10" t="str">
        <f t="shared" si="0"/>
        <v/>
      </c>
      <c r="E40" s="15" t="str">
        <f t="shared" si="1"/>
        <v/>
      </c>
      <c r="F40" s="11"/>
      <c r="G40" s="16" t="str">
        <f t="shared" si="2"/>
        <v/>
      </c>
      <c r="H40" s="17"/>
      <c r="I40" s="16" t="str">
        <f t="shared" si="3"/>
        <v/>
      </c>
      <c r="J40" s="16" t="str">
        <f t="shared" si="4"/>
        <v/>
      </c>
      <c r="K40" s="18" t="str">
        <f t="shared" si="5"/>
        <v/>
      </c>
      <c r="L40" s="16" t="str">
        <f t="shared" si="6"/>
        <v/>
      </c>
      <c r="M40" s="16" t="str">
        <f t="shared" si="7"/>
        <v/>
      </c>
      <c r="N40" s="16" t="str">
        <f t="shared" si="8"/>
        <v/>
      </c>
      <c r="O40" s="16" t="str">
        <f t="shared" si="9"/>
        <v/>
      </c>
      <c r="P40" s="16" t="str">
        <f t="shared" si="10"/>
        <v/>
      </c>
      <c r="Q40" s="18" t="str">
        <f t="shared" si="11"/>
        <v/>
      </c>
      <c r="R40" s="19" t="str">
        <f>IF(C40="","",IF(ISNA(MATCH(B40,'Registru oferte'!$B$5:$B$504,0)),"Oferta nu există în registru",IF(N(F40)&lt;=0,"Lipsește cantitatea",IF(AND(ISNUMBER(Q40),Q40&lt;MarjaMin),"Marjă sub minim ("&amp;TEXT(Q40*100,"0")&amp;"%)",""))))</f>
        <v/>
      </c>
      <c r="S40" s="1" t="str">
        <f>IF(B40="","",B40&amp;"|"&amp;COUNTIF($B$5:B40,B40))</f>
        <v/>
      </c>
    </row>
    <row r="41" spans="2:19" x14ac:dyDescent="0.2">
      <c r="B41" s="11"/>
      <c r="C41" s="11"/>
      <c r="D41" s="10" t="str">
        <f t="shared" si="0"/>
        <v/>
      </c>
      <c r="E41" s="15" t="str">
        <f t="shared" si="1"/>
        <v/>
      </c>
      <c r="F41" s="11"/>
      <c r="G41" s="16" t="str">
        <f t="shared" si="2"/>
        <v/>
      </c>
      <c r="H41" s="17"/>
      <c r="I41" s="16" t="str">
        <f t="shared" si="3"/>
        <v/>
      </c>
      <c r="J41" s="16" t="str">
        <f t="shared" si="4"/>
        <v/>
      </c>
      <c r="K41" s="18" t="str">
        <f t="shared" si="5"/>
        <v/>
      </c>
      <c r="L41" s="16" t="str">
        <f t="shared" si="6"/>
        <v/>
      </c>
      <c r="M41" s="16" t="str">
        <f t="shared" si="7"/>
        <v/>
      </c>
      <c r="N41" s="16" t="str">
        <f t="shared" si="8"/>
        <v/>
      </c>
      <c r="O41" s="16" t="str">
        <f t="shared" si="9"/>
        <v/>
      </c>
      <c r="P41" s="16" t="str">
        <f t="shared" si="10"/>
        <v/>
      </c>
      <c r="Q41" s="18" t="str">
        <f t="shared" si="11"/>
        <v/>
      </c>
      <c r="R41" s="19" t="str">
        <f>IF(C41="","",IF(ISNA(MATCH(B41,'Registru oferte'!$B$5:$B$504,0)),"Oferta nu există în registru",IF(N(F41)&lt;=0,"Lipsește cantitatea",IF(AND(ISNUMBER(Q41),Q41&lt;MarjaMin),"Marjă sub minim ("&amp;TEXT(Q41*100,"0")&amp;"%)",""))))</f>
        <v/>
      </c>
      <c r="S41" s="1" t="str">
        <f>IF(B41="","",B41&amp;"|"&amp;COUNTIF($B$5:B41,B41))</f>
        <v/>
      </c>
    </row>
    <row r="42" spans="2:19" x14ac:dyDescent="0.2">
      <c r="B42" s="11"/>
      <c r="C42" s="11"/>
      <c r="D42" s="10" t="str">
        <f t="shared" si="0"/>
        <v/>
      </c>
      <c r="E42" s="15" t="str">
        <f t="shared" si="1"/>
        <v/>
      </c>
      <c r="F42" s="11"/>
      <c r="G42" s="16" t="str">
        <f t="shared" si="2"/>
        <v/>
      </c>
      <c r="H42" s="17"/>
      <c r="I42" s="16" t="str">
        <f t="shared" si="3"/>
        <v/>
      </c>
      <c r="J42" s="16" t="str">
        <f t="shared" si="4"/>
        <v/>
      </c>
      <c r="K42" s="18" t="str">
        <f t="shared" si="5"/>
        <v/>
      </c>
      <c r="L42" s="16" t="str">
        <f t="shared" si="6"/>
        <v/>
      </c>
      <c r="M42" s="16" t="str">
        <f t="shared" si="7"/>
        <v/>
      </c>
      <c r="N42" s="16" t="str">
        <f t="shared" si="8"/>
        <v/>
      </c>
      <c r="O42" s="16" t="str">
        <f t="shared" si="9"/>
        <v/>
      </c>
      <c r="P42" s="16" t="str">
        <f t="shared" si="10"/>
        <v/>
      </c>
      <c r="Q42" s="18" t="str">
        <f t="shared" si="11"/>
        <v/>
      </c>
      <c r="R42" s="19" t="str">
        <f>IF(C42="","",IF(ISNA(MATCH(B42,'Registru oferte'!$B$5:$B$504,0)),"Oferta nu există în registru",IF(N(F42)&lt;=0,"Lipsește cantitatea",IF(AND(ISNUMBER(Q42),Q42&lt;MarjaMin),"Marjă sub minim ("&amp;TEXT(Q42*100,"0")&amp;"%)",""))))</f>
        <v/>
      </c>
      <c r="S42" s="1" t="str">
        <f>IF(B42="","",B42&amp;"|"&amp;COUNTIF($B$5:B42,B42))</f>
        <v/>
      </c>
    </row>
    <row r="43" spans="2:19" x14ac:dyDescent="0.2">
      <c r="B43" s="11"/>
      <c r="C43" s="11"/>
      <c r="D43" s="10" t="str">
        <f t="shared" si="0"/>
        <v/>
      </c>
      <c r="E43" s="15" t="str">
        <f t="shared" si="1"/>
        <v/>
      </c>
      <c r="F43" s="11"/>
      <c r="G43" s="16" t="str">
        <f t="shared" si="2"/>
        <v/>
      </c>
      <c r="H43" s="17"/>
      <c r="I43" s="16" t="str">
        <f t="shared" si="3"/>
        <v/>
      </c>
      <c r="J43" s="16" t="str">
        <f t="shared" si="4"/>
        <v/>
      </c>
      <c r="K43" s="18" t="str">
        <f t="shared" si="5"/>
        <v/>
      </c>
      <c r="L43" s="16" t="str">
        <f t="shared" si="6"/>
        <v/>
      </c>
      <c r="M43" s="16" t="str">
        <f t="shared" si="7"/>
        <v/>
      </c>
      <c r="N43" s="16" t="str">
        <f t="shared" si="8"/>
        <v/>
      </c>
      <c r="O43" s="16" t="str">
        <f t="shared" si="9"/>
        <v/>
      </c>
      <c r="P43" s="16" t="str">
        <f t="shared" si="10"/>
        <v/>
      </c>
      <c r="Q43" s="18" t="str">
        <f t="shared" si="11"/>
        <v/>
      </c>
      <c r="R43" s="19" t="str">
        <f>IF(C43="","",IF(ISNA(MATCH(B43,'Registru oferte'!$B$5:$B$504,0)),"Oferta nu există în registru",IF(N(F43)&lt;=0,"Lipsește cantitatea",IF(AND(ISNUMBER(Q43),Q43&lt;MarjaMin),"Marjă sub minim ("&amp;TEXT(Q43*100,"0")&amp;"%)",""))))</f>
        <v/>
      </c>
      <c r="S43" s="1" t="str">
        <f>IF(B43="","",B43&amp;"|"&amp;COUNTIF($B$5:B43,B43))</f>
        <v/>
      </c>
    </row>
    <row r="44" spans="2:19" x14ac:dyDescent="0.2">
      <c r="B44" s="11"/>
      <c r="C44" s="11"/>
      <c r="D44" s="10" t="str">
        <f t="shared" si="0"/>
        <v/>
      </c>
      <c r="E44" s="15" t="str">
        <f t="shared" si="1"/>
        <v/>
      </c>
      <c r="F44" s="11"/>
      <c r="G44" s="16" t="str">
        <f t="shared" si="2"/>
        <v/>
      </c>
      <c r="H44" s="17"/>
      <c r="I44" s="16" t="str">
        <f t="shared" si="3"/>
        <v/>
      </c>
      <c r="J44" s="16" t="str">
        <f t="shared" si="4"/>
        <v/>
      </c>
      <c r="K44" s="18" t="str">
        <f t="shared" si="5"/>
        <v/>
      </c>
      <c r="L44" s="16" t="str">
        <f t="shared" si="6"/>
        <v/>
      </c>
      <c r="M44" s="16" t="str">
        <f t="shared" si="7"/>
        <v/>
      </c>
      <c r="N44" s="16" t="str">
        <f t="shared" si="8"/>
        <v/>
      </c>
      <c r="O44" s="16" t="str">
        <f t="shared" si="9"/>
        <v/>
      </c>
      <c r="P44" s="16" t="str">
        <f t="shared" si="10"/>
        <v/>
      </c>
      <c r="Q44" s="18" t="str">
        <f t="shared" si="11"/>
        <v/>
      </c>
      <c r="R44" s="19" t="str">
        <f>IF(C44="","",IF(ISNA(MATCH(B44,'Registru oferte'!$B$5:$B$504,0)),"Oferta nu există în registru",IF(N(F44)&lt;=0,"Lipsește cantitatea",IF(AND(ISNUMBER(Q44),Q44&lt;MarjaMin),"Marjă sub minim ("&amp;TEXT(Q44*100,"0")&amp;"%)",""))))</f>
        <v/>
      </c>
      <c r="S44" s="1" t="str">
        <f>IF(B44="","",B44&amp;"|"&amp;COUNTIF($B$5:B44,B44))</f>
        <v/>
      </c>
    </row>
    <row r="45" spans="2:19" x14ac:dyDescent="0.2">
      <c r="B45" s="11"/>
      <c r="C45" s="11"/>
      <c r="D45" s="10" t="str">
        <f t="shared" si="0"/>
        <v/>
      </c>
      <c r="E45" s="15" t="str">
        <f t="shared" si="1"/>
        <v/>
      </c>
      <c r="F45" s="11"/>
      <c r="G45" s="16" t="str">
        <f t="shared" si="2"/>
        <v/>
      </c>
      <c r="H45" s="17"/>
      <c r="I45" s="16" t="str">
        <f t="shared" si="3"/>
        <v/>
      </c>
      <c r="J45" s="16" t="str">
        <f t="shared" si="4"/>
        <v/>
      </c>
      <c r="K45" s="18" t="str">
        <f t="shared" si="5"/>
        <v/>
      </c>
      <c r="L45" s="16" t="str">
        <f t="shared" si="6"/>
        <v/>
      </c>
      <c r="M45" s="16" t="str">
        <f t="shared" si="7"/>
        <v/>
      </c>
      <c r="N45" s="16" t="str">
        <f t="shared" si="8"/>
        <v/>
      </c>
      <c r="O45" s="16" t="str">
        <f t="shared" si="9"/>
        <v/>
      </c>
      <c r="P45" s="16" t="str">
        <f t="shared" si="10"/>
        <v/>
      </c>
      <c r="Q45" s="18" t="str">
        <f t="shared" si="11"/>
        <v/>
      </c>
      <c r="R45" s="19" t="str">
        <f>IF(C45="","",IF(ISNA(MATCH(B45,'Registru oferte'!$B$5:$B$504,0)),"Oferta nu există în registru",IF(N(F45)&lt;=0,"Lipsește cantitatea",IF(AND(ISNUMBER(Q45),Q45&lt;MarjaMin),"Marjă sub minim ("&amp;TEXT(Q45*100,"0")&amp;"%)",""))))</f>
        <v/>
      </c>
      <c r="S45" s="1" t="str">
        <f>IF(B45="","",B45&amp;"|"&amp;COUNTIF($B$5:B45,B45))</f>
        <v/>
      </c>
    </row>
    <row r="46" spans="2:19" x14ac:dyDescent="0.2">
      <c r="B46" s="11"/>
      <c r="C46" s="11"/>
      <c r="D46" s="10" t="str">
        <f t="shared" si="0"/>
        <v/>
      </c>
      <c r="E46" s="15" t="str">
        <f t="shared" si="1"/>
        <v/>
      </c>
      <c r="F46" s="11"/>
      <c r="G46" s="16" t="str">
        <f t="shared" si="2"/>
        <v/>
      </c>
      <c r="H46" s="17"/>
      <c r="I46" s="16" t="str">
        <f t="shared" si="3"/>
        <v/>
      </c>
      <c r="J46" s="16" t="str">
        <f t="shared" si="4"/>
        <v/>
      </c>
      <c r="K46" s="18" t="str">
        <f t="shared" si="5"/>
        <v/>
      </c>
      <c r="L46" s="16" t="str">
        <f t="shared" si="6"/>
        <v/>
      </c>
      <c r="M46" s="16" t="str">
        <f t="shared" si="7"/>
        <v/>
      </c>
      <c r="N46" s="16" t="str">
        <f t="shared" si="8"/>
        <v/>
      </c>
      <c r="O46" s="16" t="str">
        <f t="shared" si="9"/>
        <v/>
      </c>
      <c r="P46" s="16" t="str">
        <f t="shared" si="10"/>
        <v/>
      </c>
      <c r="Q46" s="18" t="str">
        <f t="shared" si="11"/>
        <v/>
      </c>
      <c r="R46" s="19" t="str">
        <f>IF(C46="","",IF(ISNA(MATCH(B46,'Registru oferte'!$B$5:$B$504,0)),"Oferta nu există în registru",IF(N(F46)&lt;=0,"Lipsește cantitatea",IF(AND(ISNUMBER(Q46),Q46&lt;MarjaMin),"Marjă sub minim ("&amp;TEXT(Q46*100,"0")&amp;"%)",""))))</f>
        <v/>
      </c>
      <c r="S46" s="1" t="str">
        <f>IF(B46="","",B46&amp;"|"&amp;COUNTIF($B$5:B46,B46))</f>
        <v/>
      </c>
    </row>
    <row r="47" spans="2:19" x14ac:dyDescent="0.2">
      <c r="B47" s="11"/>
      <c r="C47" s="11"/>
      <c r="D47" s="10" t="str">
        <f t="shared" si="0"/>
        <v/>
      </c>
      <c r="E47" s="15" t="str">
        <f t="shared" si="1"/>
        <v/>
      </c>
      <c r="F47" s="11"/>
      <c r="G47" s="16" t="str">
        <f t="shared" si="2"/>
        <v/>
      </c>
      <c r="H47" s="17"/>
      <c r="I47" s="16" t="str">
        <f t="shared" si="3"/>
        <v/>
      </c>
      <c r="J47" s="16" t="str">
        <f t="shared" si="4"/>
        <v/>
      </c>
      <c r="K47" s="18" t="str">
        <f t="shared" si="5"/>
        <v/>
      </c>
      <c r="L47" s="16" t="str">
        <f t="shared" si="6"/>
        <v/>
      </c>
      <c r="M47" s="16" t="str">
        <f t="shared" si="7"/>
        <v/>
      </c>
      <c r="N47" s="16" t="str">
        <f t="shared" si="8"/>
        <v/>
      </c>
      <c r="O47" s="16" t="str">
        <f t="shared" si="9"/>
        <v/>
      </c>
      <c r="P47" s="16" t="str">
        <f t="shared" si="10"/>
        <v/>
      </c>
      <c r="Q47" s="18" t="str">
        <f t="shared" si="11"/>
        <v/>
      </c>
      <c r="R47" s="19" t="str">
        <f>IF(C47="","",IF(ISNA(MATCH(B47,'Registru oferte'!$B$5:$B$504,0)),"Oferta nu există în registru",IF(N(F47)&lt;=0,"Lipsește cantitatea",IF(AND(ISNUMBER(Q47),Q47&lt;MarjaMin),"Marjă sub minim ("&amp;TEXT(Q47*100,"0")&amp;"%)",""))))</f>
        <v/>
      </c>
      <c r="S47" s="1" t="str">
        <f>IF(B47="","",B47&amp;"|"&amp;COUNTIF($B$5:B47,B47))</f>
        <v/>
      </c>
    </row>
    <row r="48" spans="2:19" x14ac:dyDescent="0.2">
      <c r="B48" s="11"/>
      <c r="C48" s="11"/>
      <c r="D48" s="10" t="str">
        <f t="shared" si="0"/>
        <v/>
      </c>
      <c r="E48" s="15" t="str">
        <f t="shared" si="1"/>
        <v/>
      </c>
      <c r="F48" s="11"/>
      <c r="G48" s="16" t="str">
        <f t="shared" si="2"/>
        <v/>
      </c>
      <c r="H48" s="17"/>
      <c r="I48" s="16" t="str">
        <f t="shared" si="3"/>
        <v/>
      </c>
      <c r="J48" s="16" t="str">
        <f t="shared" si="4"/>
        <v/>
      </c>
      <c r="K48" s="18" t="str">
        <f t="shared" si="5"/>
        <v/>
      </c>
      <c r="L48" s="16" t="str">
        <f t="shared" si="6"/>
        <v/>
      </c>
      <c r="M48" s="16" t="str">
        <f t="shared" si="7"/>
        <v/>
      </c>
      <c r="N48" s="16" t="str">
        <f t="shared" si="8"/>
        <v/>
      </c>
      <c r="O48" s="16" t="str">
        <f t="shared" si="9"/>
        <v/>
      </c>
      <c r="P48" s="16" t="str">
        <f t="shared" si="10"/>
        <v/>
      </c>
      <c r="Q48" s="18" t="str">
        <f t="shared" si="11"/>
        <v/>
      </c>
      <c r="R48" s="19" t="str">
        <f>IF(C48="","",IF(ISNA(MATCH(B48,'Registru oferte'!$B$5:$B$504,0)),"Oferta nu există în registru",IF(N(F48)&lt;=0,"Lipsește cantitatea",IF(AND(ISNUMBER(Q48),Q48&lt;MarjaMin),"Marjă sub minim ("&amp;TEXT(Q48*100,"0")&amp;"%)",""))))</f>
        <v/>
      </c>
      <c r="S48" s="1" t="str">
        <f>IF(B48="","",B48&amp;"|"&amp;COUNTIF($B$5:B48,B48))</f>
        <v/>
      </c>
    </row>
    <row r="49" spans="2:19" x14ac:dyDescent="0.2">
      <c r="B49" s="11"/>
      <c r="C49" s="11"/>
      <c r="D49" s="10" t="str">
        <f t="shared" si="0"/>
        <v/>
      </c>
      <c r="E49" s="15" t="str">
        <f t="shared" si="1"/>
        <v/>
      </c>
      <c r="F49" s="11"/>
      <c r="G49" s="16" t="str">
        <f t="shared" si="2"/>
        <v/>
      </c>
      <c r="H49" s="17"/>
      <c r="I49" s="16" t="str">
        <f t="shared" si="3"/>
        <v/>
      </c>
      <c r="J49" s="16" t="str">
        <f t="shared" si="4"/>
        <v/>
      </c>
      <c r="K49" s="18" t="str">
        <f t="shared" si="5"/>
        <v/>
      </c>
      <c r="L49" s="16" t="str">
        <f t="shared" si="6"/>
        <v/>
      </c>
      <c r="M49" s="16" t="str">
        <f t="shared" si="7"/>
        <v/>
      </c>
      <c r="N49" s="16" t="str">
        <f t="shared" si="8"/>
        <v/>
      </c>
      <c r="O49" s="16" t="str">
        <f t="shared" si="9"/>
        <v/>
      </c>
      <c r="P49" s="16" t="str">
        <f t="shared" si="10"/>
        <v/>
      </c>
      <c r="Q49" s="18" t="str">
        <f t="shared" si="11"/>
        <v/>
      </c>
      <c r="R49" s="19" t="str">
        <f>IF(C49="","",IF(ISNA(MATCH(B49,'Registru oferte'!$B$5:$B$504,0)),"Oferta nu există în registru",IF(N(F49)&lt;=0,"Lipsește cantitatea",IF(AND(ISNUMBER(Q49),Q49&lt;MarjaMin),"Marjă sub minim ("&amp;TEXT(Q49*100,"0")&amp;"%)",""))))</f>
        <v/>
      </c>
      <c r="S49" s="1" t="str">
        <f>IF(B49="","",B49&amp;"|"&amp;COUNTIF($B$5:B49,B49))</f>
        <v/>
      </c>
    </row>
    <row r="50" spans="2:19" x14ac:dyDescent="0.2">
      <c r="B50" s="11"/>
      <c r="C50" s="11"/>
      <c r="D50" s="10" t="str">
        <f t="shared" si="0"/>
        <v/>
      </c>
      <c r="E50" s="15" t="str">
        <f t="shared" si="1"/>
        <v/>
      </c>
      <c r="F50" s="11"/>
      <c r="G50" s="16" t="str">
        <f t="shared" si="2"/>
        <v/>
      </c>
      <c r="H50" s="17"/>
      <c r="I50" s="16" t="str">
        <f t="shared" si="3"/>
        <v/>
      </c>
      <c r="J50" s="16" t="str">
        <f t="shared" si="4"/>
        <v/>
      </c>
      <c r="K50" s="18" t="str">
        <f t="shared" si="5"/>
        <v/>
      </c>
      <c r="L50" s="16" t="str">
        <f t="shared" si="6"/>
        <v/>
      </c>
      <c r="M50" s="16" t="str">
        <f t="shared" si="7"/>
        <v/>
      </c>
      <c r="N50" s="16" t="str">
        <f t="shared" si="8"/>
        <v/>
      </c>
      <c r="O50" s="16" t="str">
        <f t="shared" si="9"/>
        <v/>
      </c>
      <c r="P50" s="16" t="str">
        <f t="shared" si="10"/>
        <v/>
      </c>
      <c r="Q50" s="18" t="str">
        <f t="shared" si="11"/>
        <v/>
      </c>
      <c r="R50" s="19" t="str">
        <f>IF(C50="","",IF(ISNA(MATCH(B50,'Registru oferte'!$B$5:$B$504,0)),"Oferta nu există în registru",IF(N(F50)&lt;=0,"Lipsește cantitatea",IF(AND(ISNUMBER(Q50),Q50&lt;MarjaMin),"Marjă sub minim ("&amp;TEXT(Q50*100,"0")&amp;"%)",""))))</f>
        <v/>
      </c>
      <c r="S50" s="1" t="str">
        <f>IF(B50="","",B50&amp;"|"&amp;COUNTIF($B$5:B50,B50))</f>
        <v/>
      </c>
    </row>
    <row r="51" spans="2:19" x14ac:dyDescent="0.2">
      <c r="B51" s="11"/>
      <c r="C51" s="11"/>
      <c r="D51" s="10" t="str">
        <f t="shared" si="0"/>
        <v/>
      </c>
      <c r="E51" s="15" t="str">
        <f t="shared" si="1"/>
        <v/>
      </c>
      <c r="F51" s="11"/>
      <c r="G51" s="16" t="str">
        <f t="shared" si="2"/>
        <v/>
      </c>
      <c r="H51" s="17"/>
      <c r="I51" s="16" t="str">
        <f t="shared" si="3"/>
        <v/>
      </c>
      <c r="J51" s="16" t="str">
        <f t="shared" si="4"/>
        <v/>
      </c>
      <c r="K51" s="18" t="str">
        <f t="shared" si="5"/>
        <v/>
      </c>
      <c r="L51" s="16" t="str">
        <f t="shared" si="6"/>
        <v/>
      </c>
      <c r="M51" s="16" t="str">
        <f t="shared" si="7"/>
        <v/>
      </c>
      <c r="N51" s="16" t="str">
        <f t="shared" si="8"/>
        <v/>
      </c>
      <c r="O51" s="16" t="str">
        <f t="shared" si="9"/>
        <v/>
      </c>
      <c r="P51" s="16" t="str">
        <f t="shared" si="10"/>
        <v/>
      </c>
      <c r="Q51" s="18" t="str">
        <f t="shared" si="11"/>
        <v/>
      </c>
      <c r="R51" s="19" t="str">
        <f>IF(C51="","",IF(ISNA(MATCH(B51,'Registru oferte'!$B$5:$B$504,0)),"Oferta nu există în registru",IF(N(F51)&lt;=0,"Lipsește cantitatea",IF(AND(ISNUMBER(Q51),Q51&lt;MarjaMin),"Marjă sub minim ("&amp;TEXT(Q51*100,"0")&amp;"%)",""))))</f>
        <v/>
      </c>
      <c r="S51" s="1" t="str">
        <f>IF(B51="","",B51&amp;"|"&amp;COUNTIF($B$5:B51,B51))</f>
        <v/>
      </c>
    </row>
    <row r="52" spans="2:19" x14ac:dyDescent="0.2">
      <c r="B52" s="11"/>
      <c r="C52" s="11"/>
      <c r="D52" s="10" t="str">
        <f t="shared" si="0"/>
        <v/>
      </c>
      <c r="E52" s="15" t="str">
        <f t="shared" si="1"/>
        <v/>
      </c>
      <c r="F52" s="11"/>
      <c r="G52" s="16" t="str">
        <f t="shared" si="2"/>
        <v/>
      </c>
      <c r="H52" s="17"/>
      <c r="I52" s="16" t="str">
        <f t="shared" si="3"/>
        <v/>
      </c>
      <c r="J52" s="16" t="str">
        <f t="shared" si="4"/>
        <v/>
      </c>
      <c r="K52" s="18" t="str">
        <f t="shared" si="5"/>
        <v/>
      </c>
      <c r="L52" s="16" t="str">
        <f t="shared" si="6"/>
        <v/>
      </c>
      <c r="M52" s="16" t="str">
        <f t="shared" si="7"/>
        <v/>
      </c>
      <c r="N52" s="16" t="str">
        <f t="shared" si="8"/>
        <v/>
      </c>
      <c r="O52" s="16" t="str">
        <f t="shared" si="9"/>
        <v/>
      </c>
      <c r="P52" s="16" t="str">
        <f t="shared" si="10"/>
        <v/>
      </c>
      <c r="Q52" s="18" t="str">
        <f t="shared" si="11"/>
        <v/>
      </c>
      <c r="R52" s="19" t="str">
        <f>IF(C52="","",IF(ISNA(MATCH(B52,'Registru oferte'!$B$5:$B$504,0)),"Oferta nu există în registru",IF(N(F52)&lt;=0,"Lipsește cantitatea",IF(AND(ISNUMBER(Q52),Q52&lt;MarjaMin),"Marjă sub minim ("&amp;TEXT(Q52*100,"0")&amp;"%)",""))))</f>
        <v/>
      </c>
      <c r="S52" s="1" t="str">
        <f>IF(B52="","",B52&amp;"|"&amp;COUNTIF($B$5:B52,B52))</f>
        <v/>
      </c>
    </row>
    <row r="53" spans="2:19" x14ac:dyDescent="0.2">
      <c r="B53" s="11"/>
      <c r="C53" s="11"/>
      <c r="D53" s="10" t="str">
        <f t="shared" si="0"/>
        <v/>
      </c>
      <c r="E53" s="15" t="str">
        <f t="shared" si="1"/>
        <v/>
      </c>
      <c r="F53" s="11"/>
      <c r="G53" s="16" t="str">
        <f t="shared" si="2"/>
        <v/>
      </c>
      <c r="H53" s="17"/>
      <c r="I53" s="16" t="str">
        <f t="shared" si="3"/>
        <v/>
      </c>
      <c r="J53" s="16" t="str">
        <f t="shared" si="4"/>
        <v/>
      </c>
      <c r="K53" s="18" t="str">
        <f t="shared" si="5"/>
        <v/>
      </c>
      <c r="L53" s="16" t="str">
        <f t="shared" si="6"/>
        <v/>
      </c>
      <c r="M53" s="16" t="str">
        <f t="shared" si="7"/>
        <v/>
      </c>
      <c r="N53" s="16" t="str">
        <f t="shared" si="8"/>
        <v/>
      </c>
      <c r="O53" s="16" t="str">
        <f t="shared" si="9"/>
        <v/>
      </c>
      <c r="P53" s="16" t="str">
        <f t="shared" si="10"/>
        <v/>
      </c>
      <c r="Q53" s="18" t="str">
        <f t="shared" si="11"/>
        <v/>
      </c>
      <c r="R53" s="19" t="str">
        <f>IF(C53="","",IF(ISNA(MATCH(B53,'Registru oferte'!$B$5:$B$504,0)),"Oferta nu există în registru",IF(N(F53)&lt;=0,"Lipsește cantitatea",IF(AND(ISNUMBER(Q53),Q53&lt;MarjaMin),"Marjă sub minim ("&amp;TEXT(Q53*100,"0")&amp;"%)",""))))</f>
        <v/>
      </c>
      <c r="S53" s="1" t="str">
        <f>IF(B53="","",B53&amp;"|"&amp;COUNTIF($B$5:B53,B53))</f>
        <v/>
      </c>
    </row>
    <row r="54" spans="2:19" x14ac:dyDescent="0.2">
      <c r="B54" s="11"/>
      <c r="C54" s="11"/>
      <c r="D54" s="10" t="str">
        <f t="shared" si="0"/>
        <v/>
      </c>
      <c r="E54" s="15" t="str">
        <f t="shared" si="1"/>
        <v/>
      </c>
      <c r="F54" s="11"/>
      <c r="G54" s="16" t="str">
        <f t="shared" si="2"/>
        <v/>
      </c>
      <c r="H54" s="17"/>
      <c r="I54" s="16" t="str">
        <f t="shared" si="3"/>
        <v/>
      </c>
      <c r="J54" s="16" t="str">
        <f t="shared" si="4"/>
        <v/>
      </c>
      <c r="K54" s="18" t="str">
        <f t="shared" si="5"/>
        <v/>
      </c>
      <c r="L54" s="16" t="str">
        <f t="shared" si="6"/>
        <v/>
      </c>
      <c r="M54" s="16" t="str">
        <f t="shared" si="7"/>
        <v/>
      </c>
      <c r="N54" s="16" t="str">
        <f t="shared" si="8"/>
        <v/>
      </c>
      <c r="O54" s="16" t="str">
        <f t="shared" si="9"/>
        <v/>
      </c>
      <c r="P54" s="16" t="str">
        <f t="shared" si="10"/>
        <v/>
      </c>
      <c r="Q54" s="18" t="str">
        <f t="shared" si="11"/>
        <v/>
      </c>
      <c r="R54" s="19" t="str">
        <f>IF(C54="","",IF(ISNA(MATCH(B54,'Registru oferte'!$B$5:$B$504,0)),"Oferta nu există în registru",IF(N(F54)&lt;=0,"Lipsește cantitatea",IF(AND(ISNUMBER(Q54),Q54&lt;MarjaMin),"Marjă sub minim ("&amp;TEXT(Q54*100,"0")&amp;"%)",""))))</f>
        <v/>
      </c>
      <c r="S54" s="1" t="str">
        <f>IF(B54="","",B54&amp;"|"&amp;COUNTIF($B$5:B54,B54))</f>
        <v/>
      </c>
    </row>
    <row r="55" spans="2:19" x14ac:dyDescent="0.2">
      <c r="B55" s="11"/>
      <c r="C55" s="11"/>
      <c r="D55" s="10" t="str">
        <f t="shared" si="0"/>
        <v/>
      </c>
      <c r="E55" s="15" t="str">
        <f t="shared" si="1"/>
        <v/>
      </c>
      <c r="F55" s="11"/>
      <c r="G55" s="16" t="str">
        <f t="shared" si="2"/>
        <v/>
      </c>
      <c r="H55" s="17"/>
      <c r="I55" s="16" t="str">
        <f t="shared" si="3"/>
        <v/>
      </c>
      <c r="J55" s="16" t="str">
        <f t="shared" si="4"/>
        <v/>
      </c>
      <c r="K55" s="18" t="str">
        <f t="shared" si="5"/>
        <v/>
      </c>
      <c r="L55" s="16" t="str">
        <f t="shared" si="6"/>
        <v/>
      </c>
      <c r="M55" s="16" t="str">
        <f t="shared" si="7"/>
        <v/>
      </c>
      <c r="N55" s="16" t="str">
        <f t="shared" si="8"/>
        <v/>
      </c>
      <c r="O55" s="16" t="str">
        <f t="shared" si="9"/>
        <v/>
      </c>
      <c r="P55" s="16" t="str">
        <f t="shared" si="10"/>
        <v/>
      </c>
      <c r="Q55" s="18" t="str">
        <f t="shared" si="11"/>
        <v/>
      </c>
      <c r="R55" s="19" t="str">
        <f>IF(C55="","",IF(ISNA(MATCH(B55,'Registru oferte'!$B$5:$B$504,0)),"Oferta nu există în registru",IF(N(F55)&lt;=0,"Lipsește cantitatea",IF(AND(ISNUMBER(Q55),Q55&lt;MarjaMin),"Marjă sub minim ("&amp;TEXT(Q55*100,"0")&amp;"%)",""))))</f>
        <v/>
      </c>
      <c r="S55" s="1" t="str">
        <f>IF(B55="","",B55&amp;"|"&amp;COUNTIF($B$5:B55,B55))</f>
        <v/>
      </c>
    </row>
    <row r="56" spans="2:19" x14ac:dyDescent="0.2">
      <c r="B56" s="11"/>
      <c r="C56" s="11"/>
      <c r="D56" s="10" t="str">
        <f t="shared" si="0"/>
        <v/>
      </c>
      <c r="E56" s="15" t="str">
        <f t="shared" si="1"/>
        <v/>
      </c>
      <c r="F56" s="11"/>
      <c r="G56" s="16" t="str">
        <f t="shared" si="2"/>
        <v/>
      </c>
      <c r="H56" s="17"/>
      <c r="I56" s="16" t="str">
        <f t="shared" si="3"/>
        <v/>
      </c>
      <c r="J56" s="16" t="str">
        <f t="shared" si="4"/>
        <v/>
      </c>
      <c r="K56" s="18" t="str">
        <f t="shared" si="5"/>
        <v/>
      </c>
      <c r="L56" s="16" t="str">
        <f t="shared" si="6"/>
        <v/>
      </c>
      <c r="M56" s="16" t="str">
        <f t="shared" si="7"/>
        <v/>
      </c>
      <c r="N56" s="16" t="str">
        <f t="shared" si="8"/>
        <v/>
      </c>
      <c r="O56" s="16" t="str">
        <f t="shared" si="9"/>
        <v/>
      </c>
      <c r="P56" s="16" t="str">
        <f t="shared" si="10"/>
        <v/>
      </c>
      <c r="Q56" s="18" t="str">
        <f t="shared" si="11"/>
        <v/>
      </c>
      <c r="R56" s="19" t="str">
        <f>IF(C56="","",IF(ISNA(MATCH(B56,'Registru oferte'!$B$5:$B$504,0)),"Oferta nu există în registru",IF(N(F56)&lt;=0,"Lipsește cantitatea",IF(AND(ISNUMBER(Q56),Q56&lt;MarjaMin),"Marjă sub minim ("&amp;TEXT(Q56*100,"0")&amp;"%)",""))))</f>
        <v/>
      </c>
      <c r="S56" s="1" t="str">
        <f>IF(B56="","",B56&amp;"|"&amp;COUNTIF($B$5:B56,B56))</f>
        <v/>
      </c>
    </row>
    <row r="57" spans="2:19" x14ac:dyDescent="0.2">
      <c r="B57" s="11"/>
      <c r="C57" s="11"/>
      <c r="D57" s="10" t="str">
        <f t="shared" si="0"/>
        <v/>
      </c>
      <c r="E57" s="15" t="str">
        <f t="shared" si="1"/>
        <v/>
      </c>
      <c r="F57" s="11"/>
      <c r="G57" s="16" t="str">
        <f t="shared" si="2"/>
        <v/>
      </c>
      <c r="H57" s="17"/>
      <c r="I57" s="16" t="str">
        <f t="shared" si="3"/>
        <v/>
      </c>
      <c r="J57" s="16" t="str">
        <f t="shared" si="4"/>
        <v/>
      </c>
      <c r="K57" s="18" t="str">
        <f t="shared" si="5"/>
        <v/>
      </c>
      <c r="L57" s="16" t="str">
        <f t="shared" si="6"/>
        <v/>
      </c>
      <c r="M57" s="16" t="str">
        <f t="shared" si="7"/>
        <v/>
      </c>
      <c r="N57" s="16" t="str">
        <f t="shared" si="8"/>
        <v/>
      </c>
      <c r="O57" s="16" t="str">
        <f t="shared" si="9"/>
        <v/>
      </c>
      <c r="P57" s="16" t="str">
        <f t="shared" si="10"/>
        <v/>
      </c>
      <c r="Q57" s="18" t="str">
        <f t="shared" si="11"/>
        <v/>
      </c>
      <c r="R57" s="19" t="str">
        <f>IF(C57="","",IF(ISNA(MATCH(B57,'Registru oferte'!$B$5:$B$504,0)),"Oferta nu există în registru",IF(N(F57)&lt;=0,"Lipsește cantitatea",IF(AND(ISNUMBER(Q57),Q57&lt;MarjaMin),"Marjă sub minim ("&amp;TEXT(Q57*100,"0")&amp;"%)",""))))</f>
        <v/>
      </c>
      <c r="S57" s="1" t="str">
        <f>IF(B57="","",B57&amp;"|"&amp;COUNTIF($B$5:B57,B57))</f>
        <v/>
      </c>
    </row>
    <row r="58" spans="2:19" x14ac:dyDescent="0.2">
      <c r="B58" s="11"/>
      <c r="C58" s="11"/>
      <c r="D58" s="10" t="str">
        <f t="shared" si="0"/>
        <v/>
      </c>
      <c r="E58" s="15" t="str">
        <f t="shared" si="1"/>
        <v/>
      </c>
      <c r="F58" s="11"/>
      <c r="G58" s="16" t="str">
        <f t="shared" si="2"/>
        <v/>
      </c>
      <c r="H58" s="17"/>
      <c r="I58" s="16" t="str">
        <f t="shared" si="3"/>
        <v/>
      </c>
      <c r="J58" s="16" t="str">
        <f t="shared" si="4"/>
        <v/>
      </c>
      <c r="K58" s="18" t="str">
        <f t="shared" si="5"/>
        <v/>
      </c>
      <c r="L58" s="16" t="str">
        <f t="shared" si="6"/>
        <v/>
      </c>
      <c r="M58" s="16" t="str">
        <f t="shared" si="7"/>
        <v/>
      </c>
      <c r="N58" s="16" t="str">
        <f t="shared" si="8"/>
        <v/>
      </c>
      <c r="O58" s="16" t="str">
        <f t="shared" si="9"/>
        <v/>
      </c>
      <c r="P58" s="16" t="str">
        <f t="shared" si="10"/>
        <v/>
      </c>
      <c r="Q58" s="18" t="str">
        <f t="shared" si="11"/>
        <v/>
      </c>
      <c r="R58" s="19" t="str">
        <f>IF(C58="","",IF(ISNA(MATCH(B58,'Registru oferte'!$B$5:$B$504,0)),"Oferta nu există în registru",IF(N(F58)&lt;=0,"Lipsește cantitatea",IF(AND(ISNUMBER(Q58),Q58&lt;MarjaMin),"Marjă sub minim ("&amp;TEXT(Q58*100,"0")&amp;"%)",""))))</f>
        <v/>
      </c>
      <c r="S58" s="1" t="str">
        <f>IF(B58="","",B58&amp;"|"&amp;COUNTIF($B$5:B58,B58))</f>
        <v/>
      </c>
    </row>
    <row r="59" spans="2:19" x14ac:dyDescent="0.2">
      <c r="B59" s="11"/>
      <c r="C59" s="11"/>
      <c r="D59" s="10" t="str">
        <f t="shared" si="0"/>
        <v/>
      </c>
      <c r="E59" s="15" t="str">
        <f t="shared" si="1"/>
        <v/>
      </c>
      <c r="F59" s="11"/>
      <c r="G59" s="16" t="str">
        <f t="shared" si="2"/>
        <v/>
      </c>
      <c r="H59" s="17"/>
      <c r="I59" s="16" t="str">
        <f t="shared" si="3"/>
        <v/>
      </c>
      <c r="J59" s="16" t="str">
        <f t="shared" si="4"/>
        <v/>
      </c>
      <c r="K59" s="18" t="str">
        <f t="shared" si="5"/>
        <v/>
      </c>
      <c r="L59" s="16" t="str">
        <f t="shared" si="6"/>
        <v/>
      </c>
      <c r="M59" s="16" t="str">
        <f t="shared" si="7"/>
        <v/>
      </c>
      <c r="N59" s="16" t="str">
        <f t="shared" si="8"/>
        <v/>
      </c>
      <c r="O59" s="16" t="str">
        <f t="shared" si="9"/>
        <v/>
      </c>
      <c r="P59" s="16" t="str">
        <f t="shared" si="10"/>
        <v/>
      </c>
      <c r="Q59" s="18" t="str">
        <f t="shared" si="11"/>
        <v/>
      </c>
      <c r="R59" s="19" t="str">
        <f>IF(C59="","",IF(ISNA(MATCH(B59,'Registru oferte'!$B$5:$B$504,0)),"Oferta nu există în registru",IF(N(F59)&lt;=0,"Lipsește cantitatea",IF(AND(ISNUMBER(Q59),Q59&lt;MarjaMin),"Marjă sub minim ("&amp;TEXT(Q59*100,"0")&amp;"%)",""))))</f>
        <v/>
      </c>
      <c r="S59" s="1" t="str">
        <f>IF(B59="","",B59&amp;"|"&amp;COUNTIF($B$5:B59,B59))</f>
        <v/>
      </c>
    </row>
    <row r="60" spans="2:19" x14ac:dyDescent="0.2">
      <c r="B60" s="11"/>
      <c r="C60" s="11"/>
      <c r="D60" s="10" t="str">
        <f t="shared" si="0"/>
        <v/>
      </c>
      <c r="E60" s="15" t="str">
        <f t="shared" si="1"/>
        <v/>
      </c>
      <c r="F60" s="11"/>
      <c r="G60" s="16" t="str">
        <f t="shared" si="2"/>
        <v/>
      </c>
      <c r="H60" s="17"/>
      <c r="I60" s="16" t="str">
        <f t="shared" si="3"/>
        <v/>
      </c>
      <c r="J60" s="16" t="str">
        <f t="shared" si="4"/>
        <v/>
      </c>
      <c r="K60" s="18" t="str">
        <f t="shared" si="5"/>
        <v/>
      </c>
      <c r="L60" s="16" t="str">
        <f t="shared" si="6"/>
        <v/>
      </c>
      <c r="M60" s="16" t="str">
        <f t="shared" si="7"/>
        <v/>
      </c>
      <c r="N60" s="16" t="str">
        <f t="shared" si="8"/>
        <v/>
      </c>
      <c r="O60" s="16" t="str">
        <f t="shared" si="9"/>
        <v/>
      </c>
      <c r="P60" s="16" t="str">
        <f t="shared" si="10"/>
        <v/>
      </c>
      <c r="Q60" s="18" t="str">
        <f t="shared" si="11"/>
        <v/>
      </c>
      <c r="R60" s="19" t="str">
        <f>IF(C60="","",IF(ISNA(MATCH(B60,'Registru oferte'!$B$5:$B$504,0)),"Oferta nu există în registru",IF(N(F60)&lt;=0,"Lipsește cantitatea",IF(AND(ISNUMBER(Q60),Q60&lt;MarjaMin),"Marjă sub minim ("&amp;TEXT(Q60*100,"0")&amp;"%)",""))))</f>
        <v/>
      </c>
      <c r="S60" s="1" t="str">
        <f>IF(B60="","",B60&amp;"|"&amp;COUNTIF($B$5:B60,B60))</f>
        <v/>
      </c>
    </row>
    <row r="61" spans="2:19" x14ac:dyDescent="0.2">
      <c r="B61" s="11"/>
      <c r="C61" s="11"/>
      <c r="D61" s="10" t="str">
        <f t="shared" si="0"/>
        <v/>
      </c>
      <c r="E61" s="15" t="str">
        <f t="shared" si="1"/>
        <v/>
      </c>
      <c r="F61" s="11"/>
      <c r="G61" s="16" t="str">
        <f t="shared" si="2"/>
        <v/>
      </c>
      <c r="H61" s="17"/>
      <c r="I61" s="16" t="str">
        <f t="shared" si="3"/>
        <v/>
      </c>
      <c r="J61" s="16" t="str">
        <f t="shared" si="4"/>
        <v/>
      </c>
      <c r="K61" s="18" t="str">
        <f t="shared" si="5"/>
        <v/>
      </c>
      <c r="L61" s="16" t="str">
        <f t="shared" si="6"/>
        <v/>
      </c>
      <c r="M61" s="16" t="str">
        <f t="shared" si="7"/>
        <v/>
      </c>
      <c r="N61" s="16" t="str">
        <f t="shared" si="8"/>
        <v/>
      </c>
      <c r="O61" s="16" t="str">
        <f t="shared" si="9"/>
        <v/>
      </c>
      <c r="P61" s="16" t="str">
        <f t="shared" si="10"/>
        <v/>
      </c>
      <c r="Q61" s="18" t="str">
        <f t="shared" si="11"/>
        <v/>
      </c>
      <c r="R61" s="19" t="str">
        <f>IF(C61="","",IF(ISNA(MATCH(B61,'Registru oferte'!$B$5:$B$504,0)),"Oferta nu există în registru",IF(N(F61)&lt;=0,"Lipsește cantitatea",IF(AND(ISNUMBER(Q61),Q61&lt;MarjaMin),"Marjă sub minim ("&amp;TEXT(Q61*100,"0")&amp;"%)",""))))</f>
        <v/>
      </c>
      <c r="S61" s="1" t="str">
        <f>IF(B61="","",B61&amp;"|"&amp;COUNTIF($B$5:B61,B61))</f>
        <v/>
      </c>
    </row>
    <row r="62" spans="2:19" x14ac:dyDescent="0.2">
      <c r="B62" s="11"/>
      <c r="C62" s="11"/>
      <c r="D62" s="10" t="str">
        <f t="shared" si="0"/>
        <v/>
      </c>
      <c r="E62" s="15" t="str">
        <f t="shared" si="1"/>
        <v/>
      </c>
      <c r="F62" s="11"/>
      <c r="G62" s="16" t="str">
        <f t="shared" si="2"/>
        <v/>
      </c>
      <c r="H62" s="17"/>
      <c r="I62" s="16" t="str">
        <f t="shared" si="3"/>
        <v/>
      </c>
      <c r="J62" s="16" t="str">
        <f t="shared" si="4"/>
        <v/>
      </c>
      <c r="K62" s="18" t="str">
        <f t="shared" si="5"/>
        <v/>
      </c>
      <c r="L62" s="16" t="str">
        <f t="shared" si="6"/>
        <v/>
      </c>
      <c r="M62" s="16" t="str">
        <f t="shared" si="7"/>
        <v/>
      </c>
      <c r="N62" s="16" t="str">
        <f t="shared" si="8"/>
        <v/>
      </c>
      <c r="O62" s="16" t="str">
        <f t="shared" si="9"/>
        <v/>
      </c>
      <c r="P62" s="16" t="str">
        <f t="shared" si="10"/>
        <v/>
      </c>
      <c r="Q62" s="18" t="str">
        <f t="shared" si="11"/>
        <v/>
      </c>
      <c r="R62" s="19" t="str">
        <f>IF(C62="","",IF(ISNA(MATCH(B62,'Registru oferte'!$B$5:$B$504,0)),"Oferta nu există în registru",IF(N(F62)&lt;=0,"Lipsește cantitatea",IF(AND(ISNUMBER(Q62),Q62&lt;MarjaMin),"Marjă sub minim ("&amp;TEXT(Q62*100,"0")&amp;"%)",""))))</f>
        <v/>
      </c>
      <c r="S62" s="1" t="str">
        <f>IF(B62="","",B62&amp;"|"&amp;COUNTIF($B$5:B62,B62))</f>
        <v/>
      </c>
    </row>
    <row r="63" spans="2:19" x14ac:dyDescent="0.2">
      <c r="B63" s="11"/>
      <c r="C63" s="11"/>
      <c r="D63" s="10" t="str">
        <f t="shared" si="0"/>
        <v/>
      </c>
      <c r="E63" s="15" t="str">
        <f t="shared" si="1"/>
        <v/>
      </c>
      <c r="F63" s="11"/>
      <c r="G63" s="16" t="str">
        <f t="shared" si="2"/>
        <v/>
      </c>
      <c r="H63" s="17"/>
      <c r="I63" s="16" t="str">
        <f t="shared" si="3"/>
        <v/>
      </c>
      <c r="J63" s="16" t="str">
        <f t="shared" si="4"/>
        <v/>
      </c>
      <c r="K63" s="18" t="str">
        <f t="shared" si="5"/>
        <v/>
      </c>
      <c r="L63" s="16" t="str">
        <f t="shared" si="6"/>
        <v/>
      </c>
      <c r="M63" s="16" t="str">
        <f t="shared" si="7"/>
        <v/>
      </c>
      <c r="N63" s="16" t="str">
        <f t="shared" si="8"/>
        <v/>
      </c>
      <c r="O63" s="16" t="str">
        <f t="shared" si="9"/>
        <v/>
      </c>
      <c r="P63" s="16" t="str">
        <f t="shared" si="10"/>
        <v/>
      </c>
      <c r="Q63" s="18" t="str">
        <f t="shared" si="11"/>
        <v/>
      </c>
      <c r="R63" s="19" t="str">
        <f>IF(C63="","",IF(ISNA(MATCH(B63,'Registru oferte'!$B$5:$B$504,0)),"Oferta nu există în registru",IF(N(F63)&lt;=0,"Lipsește cantitatea",IF(AND(ISNUMBER(Q63),Q63&lt;MarjaMin),"Marjă sub minim ("&amp;TEXT(Q63*100,"0")&amp;"%)",""))))</f>
        <v/>
      </c>
      <c r="S63" s="1" t="str">
        <f>IF(B63="","",B63&amp;"|"&amp;COUNTIF($B$5:B63,B63))</f>
        <v/>
      </c>
    </row>
    <row r="64" spans="2:19" x14ac:dyDescent="0.2">
      <c r="B64" s="11"/>
      <c r="C64" s="11"/>
      <c r="D64" s="10" t="str">
        <f t="shared" si="0"/>
        <v/>
      </c>
      <c r="E64" s="15" t="str">
        <f t="shared" si="1"/>
        <v/>
      </c>
      <c r="F64" s="11"/>
      <c r="G64" s="16" t="str">
        <f t="shared" si="2"/>
        <v/>
      </c>
      <c r="H64" s="17"/>
      <c r="I64" s="16" t="str">
        <f t="shared" si="3"/>
        <v/>
      </c>
      <c r="J64" s="16" t="str">
        <f t="shared" si="4"/>
        <v/>
      </c>
      <c r="K64" s="18" t="str">
        <f t="shared" si="5"/>
        <v/>
      </c>
      <c r="L64" s="16" t="str">
        <f t="shared" si="6"/>
        <v/>
      </c>
      <c r="M64" s="16" t="str">
        <f t="shared" si="7"/>
        <v/>
      </c>
      <c r="N64" s="16" t="str">
        <f t="shared" si="8"/>
        <v/>
      </c>
      <c r="O64" s="16" t="str">
        <f t="shared" si="9"/>
        <v/>
      </c>
      <c r="P64" s="16" t="str">
        <f t="shared" si="10"/>
        <v/>
      </c>
      <c r="Q64" s="18" t="str">
        <f t="shared" si="11"/>
        <v/>
      </c>
      <c r="R64" s="19" t="str">
        <f>IF(C64="","",IF(ISNA(MATCH(B64,'Registru oferte'!$B$5:$B$504,0)),"Oferta nu există în registru",IF(N(F64)&lt;=0,"Lipsește cantitatea",IF(AND(ISNUMBER(Q64),Q64&lt;MarjaMin),"Marjă sub minim ("&amp;TEXT(Q64*100,"0")&amp;"%)",""))))</f>
        <v/>
      </c>
      <c r="S64" s="1" t="str">
        <f>IF(B64="","",B64&amp;"|"&amp;COUNTIF($B$5:B64,B64))</f>
        <v/>
      </c>
    </row>
    <row r="65" spans="2:19" x14ac:dyDescent="0.2">
      <c r="B65" s="11"/>
      <c r="C65" s="11"/>
      <c r="D65" s="10" t="str">
        <f t="shared" si="0"/>
        <v/>
      </c>
      <c r="E65" s="15" t="str">
        <f t="shared" si="1"/>
        <v/>
      </c>
      <c r="F65" s="11"/>
      <c r="G65" s="16" t="str">
        <f t="shared" si="2"/>
        <v/>
      </c>
      <c r="H65" s="17"/>
      <c r="I65" s="16" t="str">
        <f t="shared" si="3"/>
        <v/>
      </c>
      <c r="J65" s="16" t="str">
        <f t="shared" si="4"/>
        <v/>
      </c>
      <c r="K65" s="18" t="str">
        <f t="shared" si="5"/>
        <v/>
      </c>
      <c r="L65" s="16" t="str">
        <f t="shared" si="6"/>
        <v/>
      </c>
      <c r="M65" s="16" t="str">
        <f t="shared" si="7"/>
        <v/>
      </c>
      <c r="N65" s="16" t="str">
        <f t="shared" si="8"/>
        <v/>
      </c>
      <c r="O65" s="16" t="str">
        <f t="shared" si="9"/>
        <v/>
      </c>
      <c r="P65" s="16" t="str">
        <f t="shared" si="10"/>
        <v/>
      </c>
      <c r="Q65" s="18" t="str">
        <f t="shared" si="11"/>
        <v/>
      </c>
      <c r="R65" s="19" t="str">
        <f>IF(C65="","",IF(ISNA(MATCH(B65,'Registru oferte'!$B$5:$B$504,0)),"Oferta nu există în registru",IF(N(F65)&lt;=0,"Lipsește cantitatea",IF(AND(ISNUMBER(Q65),Q65&lt;MarjaMin),"Marjă sub minim ("&amp;TEXT(Q65*100,"0")&amp;"%)",""))))</f>
        <v/>
      </c>
      <c r="S65" s="1" t="str">
        <f>IF(B65="","",B65&amp;"|"&amp;COUNTIF($B$5:B65,B65))</f>
        <v/>
      </c>
    </row>
    <row r="66" spans="2:19" x14ac:dyDescent="0.2">
      <c r="B66" s="11"/>
      <c r="C66" s="11"/>
      <c r="D66" s="10" t="str">
        <f t="shared" si="0"/>
        <v/>
      </c>
      <c r="E66" s="15" t="str">
        <f t="shared" si="1"/>
        <v/>
      </c>
      <c r="F66" s="11"/>
      <c r="G66" s="16" t="str">
        <f t="shared" si="2"/>
        <v/>
      </c>
      <c r="H66" s="17"/>
      <c r="I66" s="16" t="str">
        <f t="shared" si="3"/>
        <v/>
      </c>
      <c r="J66" s="16" t="str">
        <f t="shared" si="4"/>
        <v/>
      </c>
      <c r="K66" s="18" t="str">
        <f t="shared" si="5"/>
        <v/>
      </c>
      <c r="L66" s="16" t="str">
        <f t="shared" si="6"/>
        <v/>
      </c>
      <c r="M66" s="16" t="str">
        <f t="shared" si="7"/>
        <v/>
      </c>
      <c r="N66" s="16" t="str">
        <f t="shared" si="8"/>
        <v/>
      </c>
      <c r="O66" s="16" t="str">
        <f t="shared" si="9"/>
        <v/>
      </c>
      <c r="P66" s="16" t="str">
        <f t="shared" si="10"/>
        <v/>
      </c>
      <c r="Q66" s="18" t="str">
        <f t="shared" si="11"/>
        <v/>
      </c>
      <c r="R66" s="19" t="str">
        <f>IF(C66="","",IF(ISNA(MATCH(B66,'Registru oferte'!$B$5:$B$504,0)),"Oferta nu există în registru",IF(N(F66)&lt;=0,"Lipsește cantitatea",IF(AND(ISNUMBER(Q66),Q66&lt;MarjaMin),"Marjă sub minim ("&amp;TEXT(Q66*100,"0")&amp;"%)",""))))</f>
        <v/>
      </c>
      <c r="S66" s="1" t="str">
        <f>IF(B66="","",B66&amp;"|"&amp;COUNTIF($B$5:B66,B66))</f>
        <v/>
      </c>
    </row>
    <row r="67" spans="2:19" x14ac:dyDescent="0.2">
      <c r="B67" s="11"/>
      <c r="C67" s="11"/>
      <c r="D67" s="10" t="str">
        <f t="shared" si="0"/>
        <v/>
      </c>
      <c r="E67" s="15" t="str">
        <f t="shared" si="1"/>
        <v/>
      </c>
      <c r="F67" s="11"/>
      <c r="G67" s="16" t="str">
        <f t="shared" si="2"/>
        <v/>
      </c>
      <c r="H67" s="17"/>
      <c r="I67" s="16" t="str">
        <f t="shared" si="3"/>
        <v/>
      </c>
      <c r="J67" s="16" t="str">
        <f t="shared" si="4"/>
        <v/>
      </c>
      <c r="K67" s="18" t="str">
        <f t="shared" si="5"/>
        <v/>
      </c>
      <c r="L67" s="16" t="str">
        <f t="shared" si="6"/>
        <v/>
      </c>
      <c r="M67" s="16" t="str">
        <f t="shared" si="7"/>
        <v/>
      </c>
      <c r="N67" s="16" t="str">
        <f t="shared" si="8"/>
        <v/>
      </c>
      <c r="O67" s="16" t="str">
        <f t="shared" si="9"/>
        <v/>
      </c>
      <c r="P67" s="16" t="str">
        <f t="shared" si="10"/>
        <v/>
      </c>
      <c r="Q67" s="18" t="str">
        <f t="shared" si="11"/>
        <v/>
      </c>
      <c r="R67" s="19" t="str">
        <f>IF(C67="","",IF(ISNA(MATCH(B67,'Registru oferte'!$B$5:$B$504,0)),"Oferta nu există în registru",IF(N(F67)&lt;=0,"Lipsește cantitatea",IF(AND(ISNUMBER(Q67),Q67&lt;MarjaMin),"Marjă sub minim ("&amp;TEXT(Q67*100,"0")&amp;"%)",""))))</f>
        <v/>
      </c>
      <c r="S67" s="1" t="str">
        <f>IF(B67="","",B67&amp;"|"&amp;COUNTIF($B$5:B67,B67))</f>
        <v/>
      </c>
    </row>
    <row r="68" spans="2:19" x14ac:dyDescent="0.2">
      <c r="B68" s="11"/>
      <c r="C68" s="11"/>
      <c r="D68" s="10" t="str">
        <f t="shared" si="0"/>
        <v/>
      </c>
      <c r="E68" s="15" t="str">
        <f t="shared" si="1"/>
        <v/>
      </c>
      <c r="F68" s="11"/>
      <c r="G68" s="16" t="str">
        <f t="shared" si="2"/>
        <v/>
      </c>
      <c r="H68" s="17"/>
      <c r="I68" s="16" t="str">
        <f t="shared" si="3"/>
        <v/>
      </c>
      <c r="J68" s="16" t="str">
        <f t="shared" si="4"/>
        <v/>
      </c>
      <c r="K68" s="18" t="str">
        <f t="shared" si="5"/>
        <v/>
      </c>
      <c r="L68" s="16" t="str">
        <f t="shared" si="6"/>
        <v/>
      </c>
      <c r="M68" s="16" t="str">
        <f t="shared" si="7"/>
        <v/>
      </c>
      <c r="N68" s="16" t="str">
        <f t="shared" si="8"/>
        <v/>
      </c>
      <c r="O68" s="16" t="str">
        <f t="shared" si="9"/>
        <v/>
      </c>
      <c r="P68" s="16" t="str">
        <f t="shared" si="10"/>
        <v/>
      </c>
      <c r="Q68" s="18" t="str">
        <f t="shared" si="11"/>
        <v/>
      </c>
      <c r="R68" s="19" t="str">
        <f>IF(C68="","",IF(ISNA(MATCH(B68,'Registru oferte'!$B$5:$B$504,0)),"Oferta nu există în registru",IF(N(F68)&lt;=0,"Lipsește cantitatea",IF(AND(ISNUMBER(Q68),Q68&lt;MarjaMin),"Marjă sub minim ("&amp;TEXT(Q68*100,"0")&amp;"%)",""))))</f>
        <v/>
      </c>
      <c r="S68" s="1" t="str">
        <f>IF(B68="","",B68&amp;"|"&amp;COUNTIF($B$5:B68,B68))</f>
        <v/>
      </c>
    </row>
    <row r="69" spans="2:19" x14ac:dyDescent="0.2">
      <c r="B69" s="11"/>
      <c r="C69" s="11"/>
      <c r="D69" s="10" t="str">
        <f t="shared" ref="D69:D132" si="12">IF(C69="","",IFERROR(VLOOKUP(C69,TabCat,2,FALSE),"Cod inexistent"))</f>
        <v/>
      </c>
      <c r="E69" s="15" t="str">
        <f t="shared" ref="E69:E132" si="13">IF(C69="","",IFERROR(VLOOKUP(C69,TabCat,3,FALSE),""))</f>
        <v/>
      </c>
      <c r="F69" s="11"/>
      <c r="G69" s="16" t="str">
        <f t="shared" ref="G69:G132" si="14">IF(C69="","",IFERROR(VLOOKUP(C69,TabCat,4,FALSE),0))</f>
        <v/>
      </c>
      <c r="H69" s="17"/>
      <c r="I69" s="16" t="str">
        <f t="shared" ref="I69:I132" si="15">IF(C69="","",ROUND(G69*(1-N(H69)),2))</f>
        <v/>
      </c>
      <c r="J69" s="16" t="str">
        <f t="shared" ref="J69:J132" si="16">IF(C69="","",ROUND(I69*N(F69),2))</f>
        <v/>
      </c>
      <c r="K69" s="18" t="str">
        <f t="shared" ref="K69:K132" si="17">IF(C69="","",IFERROR(VLOOKUP(C69,TabCat,6,FALSE),0))</f>
        <v/>
      </c>
      <c r="L69" s="16" t="str">
        <f t="shared" ref="L69:L132" si="18">IF(C69="","",ROUND(J69*K69,2))</f>
        <v/>
      </c>
      <c r="M69" s="16" t="str">
        <f t="shared" ref="M69:M132" si="19">IF(C69="","",J69+L69)</f>
        <v/>
      </c>
      <c r="N69" s="16" t="str">
        <f t="shared" ref="N69:N132" si="20">IF(C69="","",IFERROR(VLOOKUP(C69,TabCat,5,FALSE),0))</f>
        <v/>
      </c>
      <c r="O69" s="16" t="str">
        <f t="shared" ref="O69:O132" si="21">IF(C69="","",ROUND(N69*N(F69),2))</f>
        <v/>
      </c>
      <c r="P69" s="16" t="str">
        <f t="shared" ref="P69:P132" si="22">IF(C69="","",J69-O69)</f>
        <v/>
      </c>
      <c r="Q69" s="18" t="str">
        <f t="shared" ref="Q69:Q132" si="23">IF(OR(C69="",N(J69)=0),"",P69/J69)</f>
        <v/>
      </c>
      <c r="R69" s="19" t="str">
        <f>IF(C69="","",IF(ISNA(MATCH(B69,'Registru oferte'!$B$5:$B$504,0)),"Oferta nu există în registru",IF(N(F69)&lt;=0,"Lipsește cantitatea",IF(AND(ISNUMBER(Q69),Q69&lt;MarjaMin),"Marjă sub minim ("&amp;TEXT(Q69*100,"0")&amp;"%)",""))))</f>
        <v/>
      </c>
      <c r="S69" s="1" t="str">
        <f>IF(B69="","",B69&amp;"|"&amp;COUNTIF($B$5:B69,B69))</f>
        <v/>
      </c>
    </row>
    <row r="70" spans="2:19" x14ac:dyDescent="0.2">
      <c r="B70" s="11"/>
      <c r="C70" s="11"/>
      <c r="D70" s="10" t="str">
        <f t="shared" si="12"/>
        <v/>
      </c>
      <c r="E70" s="15" t="str">
        <f t="shared" si="13"/>
        <v/>
      </c>
      <c r="F70" s="11"/>
      <c r="G70" s="16" t="str">
        <f t="shared" si="14"/>
        <v/>
      </c>
      <c r="H70" s="17"/>
      <c r="I70" s="16" t="str">
        <f t="shared" si="15"/>
        <v/>
      </c>
      <c r="J70" s="16" t="str">
        <f t="shared" si="16"/>
        <v/>
      </c>
      <c r="K70" s="18" t="str">
        <f t="shared" si="17"/>
        <v/>
      </c>
      <c r="L70" s="16" t="str">
        <f t="shared" si="18"/>
        <v/>
      </c>
      <c r="M70" s="16" t="str">
        <f t="shared" si="19"/>
        <v/>
      </c>
      <c r="N70" s="16" t="str">
        <f t="shared" si="20"/>
        <v/>
      </c>
      <c r="O70" s="16" t="str">
        <f t="shared" si="21"/>
        <v/>
      </c>
      <c r="P70" s="16" t="str">
        <f t="shared" si="22"/>
        <v/>
      </c>
      <c r="Q70" s="18" t="str">
        <f t="shared" si="23"/>
        <v/>
      </c>
      <c r="R70" s="19" t="str">
        <f>IF(C70="","",IF(ISNA(MATCH(B70,'Registru oferte'!$B$5:$B$504,0)),"Oferta nu există în registru",IF(N(F70)&lt;=0,"Lipsește cantitatea",IF(AND(ISNUMBER(Q70),Q70&lt;MarjaMin),"Marjă sub minim ("&amp;TEXT(Q70*100,"0")&amp;"%)",""))))</f>
        <v/>
      </c>
      <c r="S70" s="1" t="str">
        <f>IF(B70="","",B70&amp;"|"&amp;COUNTIF($B$5:B70,B70))</f>
        <v/>
      </c>
    </row>
    <row r="71" spans="2:19" x14ac:dyDescent="0.2">
      <c r="B71" s="11"/>
      <c r="C71" s="11"/>
      <c r="D71" s="10" t="str">
        <f t="shared" si="12"/>
        <v/>
      </c>
      <c r="E71" s="15" t="str">
        <f t="shared" si="13"/>
        <v/>
      </c>
      <c r="F71" s="11"/>
      <c r="G71" s="16" t="str">
        <f t="shared" si="14"/>
        <v/>
      </c>
      <c r="H71" s="17"/>
      <c r="I71" s="16" t="str">
        <f t="shared" si="15"/>
        <v/>
      </c>
      <c r="J71" s="16" t="str">
        <f t="shared" si="16"/>
        <v/>
      </c>
      <c r="K71" s="18" t="str">
        <f t="shared" si="17"/>
        <v/>
      </c>
      <c r="L71" s="16" t="str">
        <f t="shared" si="18"/>
        <v/>
      </c>
      <c r="M71" s="16" t="str">
        <f t="shared" si="19"/>
        <v/>
      </c>
      <c r="N71" s="16" t="str">
        <f t="shared" si="20"/>
        <v/>
      </c>
      <c r="O71" s="16" t="str">
        <f t="shared" si="21"/>
        <v/>
      </c>
      <c r="P71" s="16" t="str">
        <f t="shared" si="22"/>
        <v/>
      </c>
      <c r="Q71" s="18" t="str">
        <f t="shared" si="23"/>
        <v/>
      </c>
      <c r="R71" s="19" t="str">
        <f>IF(C71="","",IF(ISNA(MATCH(B71,'Registru oferte'!$B$5:$B$504,0)),"Oferta nu există în registru",IF(N(F71)&lt;=0,"Lipsește cantitatea",IF(AND(ISNUMBER(Q71),Q71&lt;MarjaMin),"Marjă sub minim ("&amp;TEXT(Q71*100,"0")&amp;"%)",""))))</f>
        <v/>
      </c>
      <c r="S71" s="1" t="str">
        <f>IF(B71="","",B71&amp;"|"&amp;COUNTIF($B$5:B71,B71))</f>
        <v/>
      </c>
    </row>
    <row r="72" spans="2:19" x14ac:dyDescent="0.2">
      <c r="B72" s="11"/>
      <c r="C72" s="11"/>
      <c r="D72" s="10" t="str">
        <f t="shared" si="12"/>
        <v/>
      </c>
      <c r="E72" s="15" t="str">
        <f t="shared" si="13"/>
        <v/>
      </c>
      <c r="F72" s="11"/>
      <c r="G72" s="16" t="str">
        <f t="shared" si="14"/>
        <v/>
      </c>
      <c r="H72" s="17"/>
      <c r="I72" s="16" t="str">
        <f t="shared" si="15"/>
        <v/>
      </c>
      <c r="J72" s="16" t="str">
        <f t="shared" si="16"/>
        <v/>
      </c>
      <c r="K72" s="18" t="str">
        <f t="shared" si="17"/>
        <v/>
      </c>
      <c r="L72" s="16" t="str">
        <f t="shared" si="18"/>
        <v/>
      </c>
      <c r="M72" s="16" t="str">
        <f t="shared" si="19"/>
        <v/>
      </c>
      <c r="N72" s="16" t="str">
        <f t="shared" si="20"/>
        <v/>
      </c>
      <c r="O72" s="16" t="str">
        <f t="shared" si="21"/>
        <v/>
      </c>
      <c r="P72" s="16" t="str">
        <f t="shared" si="22"/>
        <v/>
      </c>
      <c r="Q72" s="18" t="str">
        <f t="shared" si="23"/>
        <v/>
      </c>
      <c r="R72" s="19" t="str">
        <f>IF(C72="","",IF(ISNA(MATCH(B72,'Registru oferte'!$B$5:$B$504,0)),"Oferta nu există în registru",IF(N(F72)&lt;=0,"Lipsește cantitatea",IF(AND(ISNUMBER(Q72),Q72&lt;MarjaMin),"Marjă sub minim ("&amp;TEXT(Q72*100,"0")&amp;"%)",""))))</f>
        <v/>
      </c>
      <c r="S72" s="1" t="str">
        <f>IF(B72="","",B72&amp;"|"&amp;COUNTIF($B$5:B72,B72))</f>
        <v/>
      </c>
    </row>
    <row r="73" spans="2:19" x14ac:dyDescent="0.2">
      <c r="B73" s="11"/>
      <c r="C73" s="11"/>
      <c r="D73" s="10" t="str">
        <f t="shared" si="12"/>
        <v/>
      </c>
      <c r="E73" s="15" t="str">
        <f t="shared" si="13"/>
        <v/>
      </c>
      <c r="F73" s="11"/>
      <c r="G73" s="16" t="str">
        <f t="shared" si="14"/>
        <v/>
      </c>
      <c r="H73" s="17"/>
      <c r="I73" s="16" t="str">
        <f t="shared" si="15"/>
        <v/>
      </c>
      <c r="J73" s="16" t="str">
        <f t="shared" si="16"/>
        <v/>
      </c>
      <c r="K73" s="18" t="str">
        <f t="shared" si="17"/>
        <v/>
      </c>
      <c r="L73" s="16" t="str">
        <f t="shared" si="18"/>
        <v/>
      </c>
      <c r="M73" s="16" t="str">
        <f t="shared" si="19"/>
        <v/>
      </c>
      <c r="N73" s="16" t="str">
        <f t="shared" si="20"/>
        <v/>
      </c>
      <c r="O73" s="16" t="str">
        <f t="shared" si="21"/>
        <v/>
      </c>
      <c r="P73" s="16" t="str">
        <f t="shared" si="22"/>
        <v/>
      </c>
      <c r="Q73" s="18" t="str">
        <f t="shared" si="23"/>
        <v/>
      </c>
      <c r="R73" s="19" t="str">
        <f>IF(C73="","",IF(ISNA(MATCH(B73,'Registru oferte'!$B$5:$B$504,0)),"Oferta nu există în registru",IF(N(F73)&lt;=0,"Lipsește cantitatea",IF(AND(ISNUMBER(Q73),Q73&lt;MarjaMin),"Marjă sub minim ("&amp;TEXT(Q73*100,"0")&amp;"%)",""))))</f>
        <v/>
      </c>
      <c r="S73" s="1" t="str">
        <f>IF(B73="","",B73&amp;"|"&amp;COUNTIF($B$5:B73,B73))</f>
        <v/>
      </c>
    </row>
    <row r="74" spans="2:19" x14ac:dyDescent="0.2">
      <c r="B74" s="11"/>
      <c r="C74" s="11"/>
      <c r="D74" s="10" t="str">
        <f t="shared" si="12"/>
        <v/>
      </c>
      <c r="E74" s="15" t="str">
        <f t="shared" si="13"/>
        <v/>
      </c>
      <c r="F74" s="11"/>
      <c r="G74" s="16" t="str">
        <f t="shared" si="14"/>
        <v/>
      </c>
      <c r="H74" s="17"/>
      <c r="I74" s="16" t="str">
        <f t="shared" si="15"/>
        <v/>
      </c>
      <c r="J74" s="16" t="str">
        <f t="shared" si="16"/>
        <v/>
      </c>
      <c r="K74" s="18" t="str">
        <f t="shared" si="17"/>
        <v/>
      </c>
      <c r="L74" s="16" t="str">
        <f t="shared" si="18"/>
        <v/>
      </c>
      <c r="M74" s="16" t="str">
        <f t="shared" si="19"/>
        <v/>
      </c>
      <c r="N74" s="16" t="str">
        <f t="shared" si="20"/>
        <v/>
      </c>
      <c r="O74" s="16" t="str">
        <f t="shared" si="21"/>
        <v/>
      </c>
      <c r="P74" s="16" t="str">
        <f t="shared" si="22"/>
        <v/>
      </c>
      <c r="Q74" s="18" t="str">
        <f t="shared" si="23"/>
        <v/>
      </c>
      <c r="R74" s="19" t="str">
        <f>IF(C74="","",IF(ISNA(MATCH(B74,'Registru oferte'!$B$5:$B$504,0)),"Oferta nu există în registru",IF(N(F74)&lt;=0,"Lipsește cantitatea",IF(AND(ISNUMBER(Q74),Q74&lt;MarjaMin),"Marjă sub minim ("&amp;TEXT(Q74*100,"0")&amp;"%)",""))))</f>
        <v/>
      </c>
      <c r="S74" s="1" t="str">
        <f>IF(B74="","",B74&amp;"|"&amp;COUNTIF($B$5:B74,B74))</f>
        <v/>
      </c>
    </row>
    <row r="75" spans="2:19" x14ac:dyDescent="0.2">
      <c r="B75" s="11"/>
      <c r="C75" s="11"/>
      <c r="D75" s="10" t="str">
        <f t="shared" si="12"/>
        <v/>
      </c>
      <c r="E75" s="15" t="str">
        <f t="shared" si="13"/>
        <v/>
      </c>
      <c r="F75" s="11"/>
      <c r="G75" s="16" t="str">
        <f t="shared" si="14"/>
        <v/>
      </c>
      <c r="H75" s="17"/>
      <c r="I75" s="16" t="str">
        <f t="shared" si="15"/>
        <v/>
      </c>
      <c r="J75" s="16" t="str">
        <f t="shared" si="16"/>
        <v/>
      </c>
      <c r="K75" s="18" t="str">
        <f t="shared" si="17"/>
        <v/>
      </c>
      <c r="L75" s="16" t="str">
        <f t="shared" si="18"/>
        <v/>
      </c>
      <c r="M75" s="16" t="str">
        <f t="shared" si="19"/>
        <v/>
      </c>
      <c r="N75" s="16" t="str">
        <f t="shared" si="20"/>
        <v/>
      </c>
      <c r="O75" s="16" t="str">
        <f t="shared" si="21"/>
        <v/>
      </c>
      <c r="P75" s="16" t="str">
        <f t="shared" si="22"/>
        <v/>
      </c>
      <c r="Q75" s="18" t="str">
        <f t="shared" si="23"/>
        <v/>
      </c>
      <c r="R75" s="19" t="str">
        <f>IF(C75="","",IF(ISNA(MATCH(B75,'Registru oferte'!$B$5:$B$504,0)),"Oferta nu există în registru",IF(N(F75)&lt;=0,"Lipsește cantitatea",IF(AND(ISNUMBER(Q75),Q75&lt;MarjaMin),"Marjă sub minim ("&amp;TEXT(Q75*100,"0")&amp;"%)",""))))</f>
        <v/>
      </c>
      <c r="S75" s="1" t="str">
        <f>IF(B75="","",B75&amp;"|"&amp;COUNTIF($B$5:B75,B75))</f>
        <v/>
      </c>
    </row>
    <row r="76" spans="2:19" x14ac:dyDescent="0.2">
      <c r="B76" s="11"/>
      <c r="C76" s="11"/>
      <c r="D76" s="10" t="str">
        <f t="shared" si="12"/>
        <v/>
      </c>
      <c r="E76" s="15" t="str">
        <f t="shared" si="13"/>
        <v/>
      </c>
      <c r="F76" s="11"/>
      <c r="G76" s="16" t="str">
        <f t="shared" si="14"/>
        <v/>
      </c>
      <c r="H76" s="17"/>
      <c r="I76" s="16" t="str">
        <f t="shared" si="15"/>
        <v/>
      </c>
      <c r="J76" s="16" t="str">
        <f t="shared" si="16"/>
        <v/>
      </c>
      <c r="K76" s="18" t="str">
        <f t="shared" si="17"/>
        <v/>
      </c>
      <c r="L76" s="16" t="str">
        <f t="shared" si="18"/>
        <v/>
      </c>
      <c r="M76" s="16" t="str">
        <f t="shared" si="19"/>
        <v/>
      </c>
      <c r="N76" s="16" t="str">
        <f t="shared" si="20"/>
        <v/>
      </c>
      <c r="O76" s="16" t="str">
        <f t="shared" si="21"/>
        <v/>
      </c>
      <c r="P76" s="16" t="str">
        <f t="shared" si="22"/>
        <v/>
      </c>
      <c r="Q76" s="18" t="str">
        <f t="shared" si="23"/>
        <v/>
      </c>
      <c r="R76" s="19" t="str">
        <f>IF(C76="","",IF(ISNA(MATCH(B76,'Registru oferte'!$B$5:$B$504,0)),"Oferta nu există în registru",IF(N(F76)&lt;=0,"Lipsește cantitatea",IF(AND(ISNUMBER(Q76),Q76&lt;MarjaMin),"Marjă sub minim ("&amp;TEXT(Q76*100,"0")&amp;"%)",""))))</f>
        <v/>
      </c>
      <c r="S76" s="1" t="str">
        <f>IF(B76="","",B76&amp;"|"&amp;COUNTIF($B$5:B76,B76))</f>
        <v/>
      </c>
    </row>
    <row r="77" spans="2:19" x14ac:dyDescent="0.2">
      <c r="B77" s="11"/>
      <c r="C77" s="11"/>
      <c r="D77" s="10" t="str">
        <f t="shared" si="12"/>
        <v/>
      </c>
      <c r="E77" s="15" t="str">
        <f t="shared" si="13"/>
        <v/>
      </c>
      <c r="F77" s="11"/>
      <c r="G77" s="16" t="str">
        <f t="shared" si="14"/>
        <v/>
      </c>
      <c r="H77" s="17"/>
      <c r="I77" s="16" t="str">
        <f t="shared" si="15"/>
        <v/>
      </c>
      <c r="J77" s="16" t="str">
        <f t="shared" si="16"/>
        <v/>
      </c>
      <c r="K77" s="18" t="str">
        <f t="shared" si="17"/>
        <v/>
      </c>
      <c r="L77" s="16" t="str">
        <f t="shared" si="18"/>
        <v/>
      </c>
      <c r="M77" s="16" t="str">
        <f t="shared" si="19"/>
        <v/>
      </c>
      <c r="N77" s="16" t="str">
        <f t="shared" si="20"/>
        <v/>
      </c>
      <c r="O77" s="16" t="str">
        <f t="shared" si="21"/>
        <v/>
      </c>
      <c r="P77" s="16" t="str">
        <f t="shared" si="22"/>
        <v/>
      </c>
      <c r="Q77" s="18" t="str">
        <f t="shared" si="23"/>
        <v/>
      </c>
      <c r="R77" s="19" t="str">
        <f>IF(C77="","",IF(ISNA(MATCH(B77,'Registru oferte'!$B$5:$B$504,0)),"Oferta nu există în registru",IF(N(F77)&lt;=0,"Lipsește cantitatea",IF(AND(ISNUMBER(Q77),Q77&lt;MarjaMin),"Marjă sub minim ("&amp;TEXT(Q77*100,"0")&amp;"%)",""))))</f>
        <v/>
      </c>
      <c r="S77" s="1" t="str">
        <f>IF(B77="","",B77&amp;"|"&amp;COUNTIF($B$5:B77,B77))</f>
        <v/>
      </c>
    </row>
    <row r="78" spans="2:19" x14ac:dyDescent="0.2">
      <c r="B78" s="11"/>
      <c r="C78" s="11"/>
      <c r="D78" s="10" t="str">
        <f t="shared" si="12"/>
        <v/>
      </c>
      <c r="E78" s="15" t="str">
        <f t="shared" si="13"/>
        <v/>
      </c>
      <c r="F78" s="11"/>
      <c r="G78" s="16" t="str">
        <f t="shared" si="14"/>
        <v/>
      </c>
      <c r="H78" s="17"/>
      <c r="I78" s="16" t="str">
        <f t="shared" si="15"/>
        <v/>
      </c>
      <c r="J78" s="16" t="str">
        <f t="shared" si="16"/>
        <v/>
      </c>
      <c r="K78" s="18" t="str">
        <f t="shared" si="17"/>
        <v/>
      </c>
      <c r="L78" s="16" t="str">
        <f t="shared" si="18"/>
        <v/>
      </c>
      <c r="M78" s="16" t="str">
        <f t="shared" si="19"/>
        <v/>
      </c>
      <c r="N78" s="16" t="str">
        <f t="shared" si="20"/>
        <v/>
      </c>
      <c r="O78" s="16" t="str">
        <f t="shared" si="21"/>
        <v/>
      </c>
      <c r="P78" s="16" t="str">
        <f t="shared" si="22"/>
        <v/>
      </c>
      <c r="Q78" s="18" t="str">
        <f t="shared" si="23"/>
        <v/>
      </c>
      <c r="R78" s="19" t="str">
        <f>IF(C78="","",IF(ISNA(MATCH(B78,'Registru oferte'!$B$5:$B$504,0)),"Oferta nu există în registru",IF(N(F78)&lt;=0,"Lipsește cantitatea",IF(AND(ISNUMBER(Q78),Q78&lt;MarjaMin),"Marjă sub minim ("&amp;TEXT(Q78*100,"0")&amp;"%)",""))))</f>
        <v/>
      </c>
      <c r="S78" s="1" t="str">
        <f>IF(B78="","",B78&amp;"|"&amp;COUNTIF($B$5:B78,B78))</f>
        <v/>
      </c>
    </row>
    <row r="79" spans="2:19" x14ac:dyDescent="0.2">
      <c r="B79" s="11"/>
      <c r="C79" s="11"/>
      <c r="D79" s="10" t="str">
        <f t="shared" si="12"/>
        <v/>
      </c>
      <c r="E79" s="15" t="str">
        <f t="shared" si="13"/>
        <v/>
      </c>
      <c r="F79" s="11"/>
      <c r="G79" s="16" t="str">
        <f t="shared" si="14"/>
        <v/>
      </c>
      <c r="H79" s="17"/>
      <c r="I79" s="16" t="str">
        <f t="shared" si="15"/>
        <v/>
      </c>
      <c r="J79" s="16" t="str">
        <f t="shared" si="16"/>
        <v/>
      </c>
      <c r="K79" s="18" t="str">
        <f t="shared" si="17"/>
        <v/>
      </c>
      <c r="L79" s="16" t="str">
        <f t="shared" si="18"/>
        <v/>
      </c>
      <c r="M79" s="16" t="str">
        <f t="shared" si="19"/>
        <v/>
      </c>
      <c r="N79" s="16" t="str">
        <f t="shared" si="20"/>
        <v/>
      </c>
      <c r="O79" s="16" t="str">
        <f t="shared" si="21"/>
        <v/>
      </c>
      <c r="P79" s="16" t="str">
        <f t="shared" si="22"/>
        <v/>
      </c>
      <c r="Q79" s="18" t="str">
        <f t="shared" si="23"/>
        <v/>
      </c>
      <c r="R79" s="19" t="str">
        <f>IF(C79="","",IF(ISNA(MATCH(B79,'Registru oferte'!$B$5:$B$504,0)),"Oferta nu există în registru",IF(N(F79)&lt;=0,"Lipsește cantitatea",IF(AND(ISNUMBER(Q79),Q79&lt;MarjaMin),"Marjă sub minim ("&amp;TEXT(Q79*100,"0")&amp;"%)",""))))</f>
        <v/>
      </c>
      <c r="S79" s="1" t="str">
        <f>IF(B79="","",B79&amp;"|"&amp;COUNTIF($B$5:B79,B79))</f>
        <v/>
      </c>
    </row>
    <row r="80" spans="2:19" x14ac:dyDescent="0.2">
      <c r="B80" s="11"/>
      <c r="C80" s="11"/>
      <c r="D80" s="10" t="str">
        <f t="shared" si="12"/>
        <v/>
      </c>
      <c r="E80" s="15" t="str">
        <f t="shared" si="13"/>
        <v/>
      </c>
      <c r="F80" s="11"/>
      <c r="G80" s="16" t="str">
        <f t="shared" si="14"/>
        <v/>
      </c>
      <c r="H80" s="17"/>
      <c r="I80" s="16" t="str">
        <f t="shared" si="15"/>
        <v/>
      </c>
      <c r="J80" s="16" t="str">
        <f t="shared" si="16"/>
        <v/>
      </c>
      <c r="K80" s="18" t="str">
        <f t="shared" si="17"/>
        <v/>
      </c>
      <c r="L80" s="16" t="str">
        <f t="shared" si="18"/>
        <v/>
      </c>
      <c r="M80" s="16" t="str">
        <f t="shared" si="19"/>
        <v/>
      </c>
      <c r="N80" s="16" t="str">
        <f t="shared" si="20"/>
        <v/>
      </c>
      <c r="O80" s="16" t="str">
        <f t="shared" si="21"/>
        <v/>
      </c>
      <c r="P80" s="16" t="str">
        <f t="shared" si="22"/>
        <v/>
      </c>
      <c r="Q80" s="18" t="str">
        <f t="shared" si="23"/>
        <v/>
      </c>
      <c r="R80" s="19" t="str">
        <f>IF(C80="","",IF(ISNA(MATCH(B80,'Registru oferte'!$B$5:$B$504,0)),"Oferta nu există în registru",IF(N(F80)&lt;=0,"Lipsește cantitatea",IF(AND(ISNUMBER(Q80),Q80&lt;MarjaMin),"Marjă sub minim ("&amp;TEXT(Q80*100,"0")&amp;"%)",""))))</f>
        <v/>
      </c>
      <c r="S80" s="1" t="str">
        <f>IF(B80="","",B80&amp;"|"&amp;COUNTIF($B$5:B80,B80))</f>
        <v/>
      </c>
    </row>
    <row r="81" spans="2:19" x14ac:dyDescent="0.2">
      <c r="B81" s="11"/>
      <c r="C81" s="11"/>
      <c r="D81" s="10" t="str">
        <f t="shared" si="12"/>
        <v/>
      </c>
      <c r="E81" s="15" t="str">
        <f t="shared" si="13"/>
        <v/>
      </c>
      <c r="F81" s="11"/>
      <c r="G81" s="16" t="str">
        <f t="shared" si="14"/>
        <v/>
      </c>
      <c r="H81" s="17"/>
      <c r="I81" s="16" t="str">
        <f t="shared" si="15"/>
        <v/>
      </c>
      <c r="J81" s="16" t="str">
        <f t="shared" si="16"/>
        <v/>
      </c>
      <c r="K81" s="18" t="str">
        <f t="shared" si="17"/>
        <v/>
      </c>
      <c r="L81" s="16" t="str">
        <f t="shared" si="18"/>
        <v/>
      </c>
      <c r="M81" s="16" t="str">
        <f t="shared" si="19"/>
        <v/>
      </c>
      <c r="N81" s="16" t="str">
        <f t="shared" si="20"/>
        <v/>
      </c>
      <c r="O81" s="16" t="str">
        <f t="shared" si="21"/>
        <v/>
      </c>
      <c r="P81" s="16" t="str">
        <f t="shared" si="22"/>
        <v/>
      </c>
      <c r="Q81" s="18" t="str">
        <f t="shared" si="23"/>
        <v/>
      </c>
      <c r="R81" s="19" t="str">
        <f>IF(C81="","",IF(ISNA(MATCH(B81,'Registru oferte'!$B$5:$B$504,0)),"Oferta nu există în registru",IF(N(F81)&lt;=0,"Lipsește cantitatea",IF(AND(ISNUMBER(Q81),Q81&lt;MarjaMin),"Marjă sub minim ("&amp;TEXT(Q81*100,"0")&amp;"%)",""))))</f>
        <v/>
      </c>
      <c r="S81" s="1" t="str">
        <f>IF(B81="","",B81&amp;"|"&amp;COUNTIF($B$5:B81,B81))</f>
        <v/>
      </c>
    </row>
    <row r="82" spans="2:19" x14ac:dyDescent="0.2">
      <c r="B82" s="11"/>
      <c r="C82" s="11"/>
      <c r="D82" s="10" t="str">
        <f t="shared" si="12"/>
        <v/>
      </c>
      <c r="E82" s="15" t="str">
        <f t="shared" si="13"/>
        <v/>
      </c>
      <c r="F82" s="11"/>
      <c r="G82" s="16" t="str">
        <f t="shared" si="14"/>
        <v/>
      </c>
      <c r="H82" s="17"/>
      <c r="I82" s="16" t="str">
        <f t="shared" si="15"/>
        <v/>
      </c>
      <c r="J82" s="16" t="str">
        <f t="shared" si="16"/>
        <v/>
      </c>
      <c r="K82" s="18" t="str">
        <f t="shared" si="17"/>
        <v/>
      </c>
      <c r="L82" s="16" t="str">
        <f t="shared" si="18"/>
        <v/>
      </c>
      <c r="M82" s="16" t="str">
        <f t="shared" si="19"/>
        <v/>
      </c>
      <c r="N82" s="16" t="str">
        <f t="shared" si="20"/>
        <v/>
      </c>
      <c r="O82" s="16" t="str">
        <f t="shared" si="21"/>
        <v/>
      </c>
      <c r="P82" s="16" t="str">
        <f t="shared" si="22"/>
        <v/>
      </c>
      <c r="Q82" s="18" t="str">
        <f t="shared" si="23"/>
        <v/>
      </c>
      <c r="R82" s="19" t="str">
        <f>IF(C82="","",IF(ISNA(MATCH(B82,'Registru oferte'!$B$5:$B$504,0)),"Oferta nu există în registru",IF(N(F82)&lt;=0,"Lipsește cantitatea",IF(AND(ISNUMBER(Q82),Q82&lt;MarjaMin),"Marjă sub minim ("&amp;TEXT(Q82*100,"0")&amp;"%)",""))))</f>
        <v/>
      </c>
      <c r="S82" s="1" t="str">
        <f>IF(B82="","",B82&amp;"|"&amp;COUNTIF($B$5:B82,B82))</f>
        <v/>
      </c>
    </row>
    <row r="83" spans="2:19" x14ac:dyDescent="0.2">
      <c r="B83" s="11"/>
      <c r="C83" s="11"/>
      <c r="D83" s="10" t="str">
        <f t="shared" si="12"/>
        <v/>
      </c>
      <c r="E83" s="15" t="str">
        <f t="shared" si="13"/>
        <v/>
      </c>
      <c r="F83" s="11"/>
      <c r="G83" s="16" t="str">
        <f t="shared" si="14"/>
        <v/>
      </c>
      <c r="H83" s="17"/>
      <c r="I83" s="16" t="str">
        <f t="shared" si="15"/>
        <v/>
      </c>
      <c r="J83" s="16" t="str">
        <f t="shared" si="16"/>
        <v/>
      </c>
      <c r="K83" s="18" t="str">
        <f t="shared" si="17"/>
        <v/>
      </c>
      <c r="L83" s="16" t="str">
        <f t="shared" si="18"/>
        <v/>
      </c>
      <c r="M83" s="16" t="str">
        <f t="shared" si="19"/>
        <v/>
      </c>
      <c r="N83" s="16" t="str">
        <f t="shared" si="20"/>
        <v/>
      </c>
      <c r="O83" s="16" t="str">
        <f t="shared" si="21"/>
        <v/>
      </c>
      <c r="P83" s="16" t="str">
        <f t="shared" si="22"/>
        <v/>
      </c>
      <c r="Q83" s="18" t="str">
        <f t="shared" si="23"/>
        <v/>
      </c>
      <c r="R83" s="19" t="str">
        <f>IF(C83="","",IF(ISNA(MATCH(B83,'Registru oferte'!$B$5:$B$504,0)),"Oferta nu există în registru",IF(N(F83)&lt;=0,"Lipsește cantitatea",IF(AND(ISNUMBER(Q83),Q83&lt;MarjaMin),"Marjă sub minim ("&amp;TEXT(Q83*100,"0")&amp;"%)",""))))</f>
        <v/>
      </c>
      <c r="S83" s="1" t="str">
        <f>IF(B83="","",B83&amp;"|"&amp;COUNTIF($B$5:B83,B83))</f>
        <v/>
      </c>
    </row>
    <row r="84" spans="2:19" x14ac:dyDescent="0.2">
      <c r="B84" s="11"/>
      <c r="C84" s="11"/>
      <c r="D84" s="10" t="str">
        <f t="shared" si="12"/>
        <v/>
      </c>
      <c r="E84" s="15" t="str">
        <f t="shared" si="13"/>
        <v/>
      </c>
      <c r="F84" s="11"/>
      <c r="G84" s="16" t="str">
        <f t="shared" si="14"/>
        <v/>
      </c>
      <c r="H84" s="17"/>
      <c r="I84" s="16" t="str">
        <f t="shared" si="15"/>
        <v/>
      </c>
      <c r="J84" s="16" t="str">
        <f t="shared" si="16"/>
        <v/>
      </c>
      <c r="K84" s="18" t="str">
        <f t="shared" si="17"/>
        <v/>
      </c>
      <c r="L84" s="16" t="str">
        <f t="shared" si="18"/>
        <v/>
      </c>
      <c r="M84" s="16" t="str">
        <f t="shared" si="19"/>
        <v/>
      </c>
      <c r="N84" s="16" t="str">
        <f t="shared" si="20"/>
        <v/>
      </c>
      <c r="O84" s="16" t="str">
        <f t="shared" si="21"/>
        <v/>
      </c>
      <c r="P84" s="16" t="str">
        <f t="shared" si="22"/>
        <v/>
      </c>
      <c r="Q84" s="18" t="str">
        <f t="shared" si="23"/>
        <v/>
      </c>
      <c r="R84" s="19" t="str">
        <f>IF(C84="","",IF(ISNA(MATCH(B84,'Registru oferte'!$B$5:$B$504,0)),"Oferta nu există în registru",IF(N(F84)&lt;=0,"Lipsește cantitatea",IF(AND(ISNUMBER(Q84),Q84&lt;MarjaMin),"Marjă sub minim ("&amp;TEXT(Q84*100,"0")&amp;"%)",""))))</f>
        <v/>
      </c>
      <c r="S84" s="1" t="str">
        <f>IF(B84="","",B84&amp;"|"&amp;COUNTIF($B$5:B84,B84))</f>
        <v/>
      </c>
    </row>
    <row r="85" spans="2:19" x14ac:dyDescent="0.2">
      <c r="B85" s="11"/>
      <c r="C85" s="11"/>
      <c r="D85" s="10" t="str">
        <f t="shared" si="12"/>
        <v/>
      </c>
      <c r="E85" s="15" t="str">
        <f t="shared" si="13"/>
        <v/>
      </c>
      <c r="F85" s="11"/>
      <c r="G85" s="16" t="str">
        <f t="shared" si="14"/>
        <v/>
      </c>
      <c r="H85" s="17"/>
      <c r="I85" s="16" t="str">
        <f t="shared" si="15"/>
        <v/>
      </c>
      <c r="J85" s="16" t="str">
        <f t="shared" si="16"/>
        <v/>
      </c>
      <c r="K85" s="18" t="str">
        <f t="shared" si="17"/>
        <v/>
      </c>
      <c r="L85" s="16" t="str">
        <f t="shared" si="18"/>
        <v/>
      </c>
      <c r="M85" s="16" t="str">
        <f t="shared" si="19"/>
        <v/>
      </c>
      <c r="N85" s="16" t="str">
        <f t="shared" si="20"/>
        <v/>
      </c>
      <c r="O85" s="16" t="str">
        <f t="shared" si="21"/>
        <v/>
      </c>
      <c r="P85" s="16" t="str">
        <f t="shared" si="22"/>
        <v/>
      </c>
      <c r="Q85" s="18" t="str">
        <f t="shared" si="23"/>
        <v/>
      </c>
      <c r="R85" s="19" t="str">
        <f>IF(C85="","",IF(ISNA(MATCH(B85,'Registru oferte'!$B$5:$B$504,0)),"Oferta nu există în registru",IF(N(F85)&lt;=0,"Lipsește cantitatea",IF(AND(ISNUMBER(Q85),Q85&lt;MarjaMin),"Marjă sub minim ("&amp;TEXT(Q85*100,"0")&amp;"%)",""))))</f>
        <v/>
      </c>
      <c r="S85" s="1" t="str">
        <f>IF(B85="","",B85&amp;"|"&amp;COUNTIF($B$5:B85,B85))</f>
        <v/>
      </c>
    </row>
    <row r="86" spans="2:19" x14ac:dyDescent="0.2">
      <c r="B86" s="11"/>
      <c r="C86" s="11"/>
      <c r="D86" s="10" t="str">
        <f t="shared" si="12"/>
        <v/>
      </c>
      <c r="E86" s="15" t="str">
        <f t="shared" si="13"/>
        <v/>
      </c>
      <c r="F86" s="11"/>
      <c r="G86" s="16" t="str">
        <f t="shared" si="14"/>
        <v/>
      </c>
      <c r="H86" s="17"/>
      <c r="I86" s="16" t="str">
        <f t="shared" si="15"/>
        <v/>
      </c>
      <c r="J86" s="16" t="str">
        <f t="shared" si="16"/>
        <v/>
      </c>
      <c r="K86" s="18" t="str">
        <f t="shared" si="17"/>
        <v/>
      </c>
      <c r="L86" s="16" t="str">
        <f t="shared" si="18"/>
        <v/>
      </c>
      <c r="M86" s="16" t="str">
        <f t="shared" si="19"/>
        <v/>
      </c>
      <c r="N86" s="16" t="str">
        <f t="shared" si="20"/>
        <v/>
      </c>
      <c r="O86" s="16" t="str">
        <f t="shared" si="21"/>
        <v/>
      </c>
      <c r="P86" s="16" t="str">
        <f t="shared" si="22"/>
        <v/>
      </c>
      <c r="Q86" s="18" t="str">
        <f t="shared" si="23"/>
        <v/>
      </c>
      <c r="R86" s="19" t="str">
        <f>IF(C86="","",IF(ISNA(MATCH(B86,'Registru oferte'!$B$5:$B$504,0)),"Oferta nu există în registru",IF(N(F86)&lt;=0,"Lipsește cantitatea",IF(AND(ISNUMBER(Q86),Q86&lt;MarjaMin),"Marjă sub minim ("&amp;TEXT(Q86*100,"0")&amp;"%)",""))))</f>
        <v/>
      </c>
      <c r="S86" s="1" t="str">
        <f>IF(B86="","",B86&amp;"|"&amp;COUNTIF($B$5:B86,B86))</f>
        <v/>
      </c>
    </row>
    <row r="87" spans="2:19" x14ac:dyDescent="0.2">
      <c r="B87" s="11"/>
      <c r="C87" s="11"/>
      <c r="D87" s="10" t="str">
        <f t="shared" si="12"/>
        <v/>
      </c>
      <c r="E87" s="15" t="str">
        <f t="shared" si="13"/>
        <v/>
      </c>
      <c r="F87" s="11"/>
      <c r="G87" s="16" t="str">
        <f t="shared" si="14"/>
        <v/>
      </c>
      <c r="H87" s="17"/>
      <c r="I87" s="16" t="str">
        <f t="shared" si="15"/>
        <v/>
      </c>
      <c r="J87" s="16" t="str">
        <f t="shared" si="16"/>
        <v/>
      </c>
      <c r="K87" s="18" t="str">
        <f t="shared" si="17"/>
        <v/>
      </c>
      <c r="L87" s="16" t="str">
        <f t="shared" si="18"/>
        <v/>
      </c>
      <c r="M87" s="16" t="str">
        <f t="shared" si="19"/>
        <v/>
      </c>
      <c r="N87" s="16" t="str">
        <f t="shared" si="20"/>
        <v/>
      </c>
      <c r="O87" s="16" t="str">
        <f t="shared" si="21"/>
        <v/>
      </c>
      <c r="P87" s="16" t="str">
        <f t="shared" si="22"/>
        <v/>
      </c>
      <c r="Q87" s="18" t="str">
        <f t="shared" si="23"/>
        <v/>
      </c>
      <c r="R87" s="19" t="str">
        <f>IF(C87="","",IF(ISNA(MATCH(B87,'Registru oferte'!$B$5:$B$504,0)),"Oferta nu există în registru",IF(N(F87)&lt;=0,"Lipsește cantitatea",IF(AND(ISNUMBER(Q87),Q87&lt;MarjaMin),"Marjă sub minim ("&amp;TEXT(Q87*100,"0")&amp;"%)",""))))</f>
        <v/>
      </c>
      <c r="S87" s="1" t="str">
        <f>IF(B87="","",B87&amp;"|"&amp;COUNTIF($B$5:B87,B87))</f>
        <v/>
      </c>
    </row>
    <row r="88" spans="2:19" x14ac:dyDescent="0.2">
      <c r="B88" s="11"/>
      <c r="C88" s="11"/>
      <c r="D88" s="10" t="str">
        <f t="shared" si="12"/>
        <v/>
      </c>
      <c r="E88" s="15" t="str">
        <f t="shared" si="13"/>
        <v/>
      </c>
      <c r="F88" s="11"/>
      <c r="G88" s="16" t="str">
        <f t="shared" si="14"/>
        <v/>
      </c>
      <c r="H88" s="17"/>
      <c r="I88" s="16" t="str">
        <f t="shared" si="15"/>
        <v/>
      </c>
      <c r="J88" s="16" t="str">
        <f t="shared" si="16"/>
        <v/>
      </c>
      <c r="K88" s="18" t="str">
        <f t="shared" si="17"/>
        <v/>
      </c>
      <c r="L88" s="16" t="str">
        <f t="shared" si="18"/>
        <v/>
      </c>
      <c r="M88" s="16" t="str">
        <f t="shared" si="19"/>
        <v/>
      </c>
      <c r="N88" s="16" t="str">
        <f t="shared" si="20"/>
        <v/>
      </c>
      <c r="O88" s="16" t="str">
        <f t="shared" si="21"/>
        <v/>
      </c>
      <c r="P88" s="16" t="str">
        <f t="shared" si="22"/>
        <v/>
      </c>
      <c r="Q88" s="18" t="str">
        <f t="shared" si="23"/>
        <v/>
      </c>
      <c r="R88" s="19" t="str">
        <f>IF(C88="","",IF(ISNA(MATCH(B88,'Registru oferte'!$B$5:$B$504,0)),"Oferta nu există în registru",IF(N(F88)&lt;=0,"Lipsește cantitatea",IF(AND(ISNUMBER(Q88),Q88&lt;MarjaMin),"Marjă sub minim ("&amp;TEXT(Q88*100,"0")&amp;"%)",""))))</f>
        <v/>
      </c>
      <c r="S88" s="1" t="str">
        <f>IF(B88="","",B88&amp;"|"&amp;COUNTIF($B$5:B88,B88))</f>
        <v/>
      </c>
    </row>
    <row r="89" spans="2:19" x14ac:dyDescent="0.2">
      <c r="B89" s="11"/>
      <c r="C89" s="11"/>
      <c r="D89" s="10" t="str">
        <f t="shared" si="12"/>
        <v/>
      </c>
      <c r="E89" s="15" t="str">
        <f t="shared" si="13"/>
        <v/>
      </c>
      <c r="F89" s="11"/>
      <c r="G89" s="16" t="str">
        <f t="shared" si="14"/>
        <v/>
      </c>
      <c r="H89" s="17"/>
      <c r="I89" s="16" t="str">
        <f t="shared" si="15"/>
        <v/>
      </c>
      <c r="J89" s="16" t="str">
        <f t="shared" si="16"/>
        <v/>
      </c>
      <c r="K89" s="18" t="str">
        <f t="shared" si="17"/>
        <v/>
      </c>
      <c r="L89" s="16" t="str">
        <f t="shared" si="18"/>
        <v/>
      </c>
      <c r="M89" s="16" t="str">
        <f t="shared" si="19"/>
        <v/>
      </c>
      <c r="N89" s="16" t="str">
        <f t="shared" si="20"/>
        <v/>
      </c>
      <c r="O89" s="16" t="str">
        <f t="shared" si="21"/>
        <v/>
      </c>
      <c r="P89" s="16" t="str">
        <f t="shared" si="22"/>
        <v/>
      </c>
      <c r="Q89" s="18" t="str">
        <f t="shared" si="23"/>
        <v/>
      </c>
      <c r="R89" s="19" t="str">
        <f>IF(C89="","",IF(ISNA(MATCH(B89,'Registru oferte'!$B$5:$B$504,0)),"Oferta nu există în registru",IF(N(F89)&lt;=0,"Lipsește cantitatea",IF(AND(ISNUMBER(Q89),Q89&lt;MarjaMin),"Marjă sub minim ("&amp;TEXT(Q89*100,"0")&amp;"%)",""))))</f>
        <v/>
      </c>
      <c r="S89" s="1" t="str">
        <f>IF(B89="","",B89&amp;"|"&amp;COUNTIF($B$5:B89,B89))</f>
        <v/>
      </c>
    </row>
    <row r="90" spans="2:19" x14ac:dyDescent="0.2">
      <c r="B90" s="11"/>
      <c r="C90" s="11"/>
      <c r="D90" s="10" t="str">
        <f t="shared" si="12"/>
        <v/>
      </c>
      <c r="E90" s="15" t="str">
        <f t="shared" si="13"/>
        <v/>
      </c>
      <c r="F90" s="11"/>
      <c r="G90" s="16" t="str">
        <f t="shared" si="14"/>
        <v/>
      </c>
      <c r="H90" s="17"/>
      <c r="I90" s="16" t="str">
        <f t="shared" si="15"/>
        <v/>
      </c>
      <c r="J90" s="16" t="str">
        <f t="shared" si="16"/>
        <v/>
      </c>
      <c r="K90" s="18" t="str">
        <f t="shared" si="17"/>
        <v/>
      </c>
      <c r="L90" s="16" t="str">
        <f t="shared" si="18"/>
        <v/>
      </c>
      <c r="M90" s="16" t="str">
        <f t="shared" si="19"/>
        <v/>
      </c>
      <c r="N90" s="16" t="str">
        <f t="shared" si="20"/>
        <v/>
      </c>
      <c r="O90" s="16" t="str">
        <f t="shared" si="21"/>
        <v/>
      </c>
      <c r="P90" s="16" t="str">
        <f t="shared" si="22"/>
        <v/>
      </c>
      <c r="Q90" s="18" t="str">
        <f t="shared" si="23"/>
        <v/>
      </c>
      <c r="R90" s="19" t="str">
        <f>IF(C90="","",IF(ISNA(MATCH(B90,'Registru oferte'!$B$5:$B$504,0)),"Oferta nu există în registru",IF(N(F90)&lt;=0,"Lipsește cantitatea",IF(AND(ISNUMBER(Q90),Q90&lt;MarjaMin),"Marjă sub minim ("&amp;TEXT(Q90*100,"0")&amp;"%)",""))))</f>
        <v/>
      </c>
      <c r="S90" s="1" t="str">
        <f>IF(B90="","",B90&amp;"|"&amp;COUNTIF($B$5:B90,B90))</f>
        <v/>
      </c>
    </row>
    <row r="91" spans="2:19" x14ac:dyDescent="0.2">
      <c r="B91" s="11"/>
      <c r="C91" s="11"/>
      <c r="D91" s="10" t="str">
        <f t="shared" si="12"/>
        <v/>
      </c>
      <c r="E91" s="15" t="str">
        <f t="shared" si="13"/>
        <v/>
      </c>
      <c r="F91" s="11"/>
      <c r="G91" s="16" t="str">
        <f t="shared" si="14"/>
        <v/>
      </c>
      <c r="H91" s="17"/>
      <c r="I91" s="16" t="str">
        <f t="shared" si="15"/>
        <v/>
      </c>
      <c r="J91" s="16" t="str">
        <f t="shared" si="16"/>
        <v/>
      </c>
      <c r="K91" s="18" t="str">
        <f t="shared" si="17"/>
        <v/>
      </c>
      <c r="L91" s="16" t="str">
        <f t="shared" si="18"/>
        <v/>
      </c>
      <c r="M91" s="16" t="str">
        <f t="shared" si="19"/>
        <v/>
      </c>
      <c r="N91" s="16" t="str">
        <f t="shared" si="20"/>
        <v/>
      </c>
      <c r="O91" s="16" t="str">
        <f t="shared" si="21"/>
        <v/>
      </c>
      <c r="P91" s="16" t="str">
        <f t="shared" si="22"/>
        <v/>
      </c>
      <c r="Q91" s="18" t="str">
        <f t="shared" si="23"/>
        <v/>
      </c>
      <c r="R91" s="19" t="str">
        <f>IF(C91="","",IF(ISNA(MATCH(B91,'Registru oferte'!$B$5:$B$504,0)),"Oferta nu există în registru",IF(N(F91)&lt;=0,"Lipsește cantitatea",IF(AND(ISNUMBER(Q91),Q91&lt;MarjaMin),"Marjă sub minim ("&amp;TEXT(Q91*100,"0")&amp;"%)",""))))</f>
        <v/>
      </c>
      <c r="S91" s="1" t="str">
        <f>IF(B91="","",B91&amp;"|"&amp;COUNTIF($B$5:B91,B91))</f>
        <v/>
      </c>
    </row>
    <row r="92" spans="2:19" x14ac:dyDescent="0.2">
      <c r="B92" s="11"/>
      <c r="C92" s="11"/>
      <c r="D92" s="10" t="str">
        <f t="shared" si="12"/>
        <v/>
      </c>
      <c r="E92" s="15" t="str">
        <f t="shared" si="13"/>
        <v/>
      </c>
      <c r="F92" s="11"/>
      <c r="G92" s="16" t="str">
        <f t="shared" si="14"/>
        <v/>
      </c>
      <c r="H92" s="17"/>
      <c r="I92" s="16" t="str">
        <f t="shared" si="15"/>
        <v/>
      </c>
      <c r="J92" s="16" t="str">
        <f t="shared" si="16"/>
        <v/>
      </c>
      <c r="K92" s="18" t="str">
        <f t="shared" si="17"/>
        <v/>
      </c>
      <c r="L92" s="16" t="str">
        <f t="shared" si="18"/>
        <v/>
      </c>
      <c r="M92" s="16" t="str">
        <f t="shared" si="19"/>
        <v/>
      </c>
      <c r="N92" s="16" t="str">
        <f t="shared" si="20"/>
        <v/>
      </c>
      <c r="O92" s="16" t="str">
        <f t="shared" si="21"/>
        <v/>
      </c>
      <c r="P92" s="16" t="str">
        <f t="shared" si="22"/>
        <v/>
      </c>
      <c r="Q92" s="18" t="str">
        <f t="shared" si="23"/>
        <v/>
      </c>
      <c r="R92" s="19" t="str">
        <f>IF(C92="","",IF(ISNA(MATCH(B92,'Registru oferte'!$B$5:$B$504,0)),"Oferta nu există în registru",IF(N(F92)&lt;=0,"Lipsește cantitatea",IF(AND(ISNUMBER(Q92),Q92&lt;MarjaMin),"Marjă sub minim ("&amp;TEXT(Q92*100,"0")&amp;"%)",""))))</f>
        <v/>
      </c>
      <c r="S92" s="1" t="str">
        <f>IF(B92="","",B92&amp;"|"&amp;COUNTIF($B$5:B92,B92))</f>
        <v/>
      </c>
    </row>
    <row r="93" spans="2:19" x14ac:dyDescent="0.2">
      <c r="B93" s="11"/>
      <c r="C93" s="11"/>
      <c r="D93" s="10" t="str">
        <f t="shared" si="12"/>
        <v/>
      </c>
      <c r="E93" s="15" t="str">
        <f t="shared" si="13"/>
        <v/>
      </c>
      <c r="F93" s="11"/>
      <c r="G93" s="16" t="str">
        <f t="shared" si="14"/>
        <v/>
      </c>
      <c r="H93" s="17"/>
      <c r="I93" s="16" t="str">
        <f t="shared" si="15"/>
        <v/>
      </c>
      <c r="J93" s="16" t="str">
        <f t="shared" si="16"/>
        <v/>
      </c>
      <c r="K93" s="18" t="str">
        <f t="shared" si="17"/>
        <v/>
      </c>
      <c r="L93" s="16" t="str">
        <f t="shared" si="18"/>
        <v/>
      </c>
      <c r="M93" s="16" t="str">
        <f t="shared" si="19"/>
        <v/>
      </c>
      <c r="N93" s="16" t="str">
        <f t="shared" si="20"/>
        <v/>
      </c>
      <c r="O93" s="16" t="str">
        <f t="shared" si="21"/>
        <v/>
      </c>
      <c r="P93" s="16" t="str">
        <f t="shared" si="22"/>
        <v/>
      </c>
      <c r="Q93" s="18" t="str">
        <f t="shared" si="23"/>
        <v/>
      </c>
      <c r="R93" s="19" t="str">
        <f>IF(C93="","",IF(ISNA(MATCH(B93,'Registru oferte'!$B$5:$B$504,0)),"Oferta nu există în registru",IF(N(F93)&lt;=0,"Lipsește cantitatea",IF(AND(ISNUMBER(Q93),Q93&lt;MarjaMin),"Marjă sub minim ("&amp;TEXT(Q93*100,"0")&amp;"%)",""))))</f>
        <v/>
      </c>
      <c r="S93" s="1" t="str">
        <f>IF(B93="","",B93&amp;"|"&amp;COUNTIF($B$5:B93,B93))</f>
        <v/>
      </c>
    </row>
    <row r="94" spans="2:19" x14ac:dyDescent="0.2">
      <c r="B94" s="11"/>
      <c r="C94" s="11"/>
      <c r="D94" s="10" t="str">
        <f t="shared" si="12"/>
        <v/>
      </c>
      <c r="E94" s="15" t="str">
        <f t="shared" si="13"/>
        <v/>
      </c>
      <c r="F94" s="11"/>
      <c r="G94" s="16" t="str">
        <f t="shared" si="14"/>
        <v/>
      </c>
      <c r="H94" s="17"/>
      <c r="I94" s="16" t="str">
        <f t="shared" si="15"/>
        <v/>
      </c>
      <c r="J94" s="16" t="str">
        <f t="shared" si="16"/>
        <v/>
      </c>
      <c r="K94" s="18" t="str">
        <f t="shared" si="17"/>
        <v/>
      </c>
      <c r="L94" s="16" t="str">
        <f t="shared" si="18"/>
        <v/>
      </c>
      <c r="M94" s="16" t="str">
        <f t="shared" si="19"/>
        <v/>
      </c>
      <c r="N94" s="16" t="str">
        <f t="shared" si="20"/>
        <v/>
      </c>
      <c r="O94" s="16" t="str">
        <f t="shared" si="21"/>
        <v/>
      </c>
      <c r="P94" s="16" t="str">
        <f t="shared" si="22"/>
        <v/>
      </c>
      <c r="Q94" s="18" t="str">
        <f t="shared" si="23"/>
        <v/>
      </c>
      <c r="R94" s="19" t="str">
        <f>IF(C94="","",IF(ISNA(MATCH(B94,'Registru oferte'!$B$5:$B$504,0)),"Oferta nu există în registru",IF(N(F94)&lt;=0,"Lipsește cantitatea",IF(AND(ISNUMBER(Q94),Q94&lt;MarjaMin),"Marjă sub minim ("&amp;TEXT(Q94*100,"0")&amp;"%)",""))))</f>
        <v/>
      </c>
      <c r="S94" s="1" t="str">
        <f>IF(B94="","",B94&amp;"|"&amp;COUNTIF($B$5:B94,B94))</f>
        <v/>
      </c>
    </row>
    <row r="95" spans="2:19" x14ac:dyDescent="0.2">
      <c r="B95" s="11"/>
      <c r="C95" s="11"/>
      <c r="D95" s="10" t="str">
        <f t="shared" si="12"/>
        <v/>
      </c>
      <c r="E95" s="15" t="str">
        <f t="shared" si="13"/>
        <v/>
      </c>
      <c r="F95" s="11"/>
      <c r="G95" s="16" t="str">
        <f t="shared" si="14"/>
        <v/>
      </c>
      <c r="H95" s="17"/>
      <c r="I95" s="16" t="str">
        <f t="shared" si="15"/>
        <v/>
      </c>
      <c r="J95" s="16" t="str">
        <f t="shared" si="16"/>
        <v/>
      </c>
      <c r="K95" s="18" t="str">
        <f t="shared" si="17"/>
        <v/>
      </c>
      <c r="L95" s="16" t="str">
        <f t="shared" si="18"/>
        <v/>
      </c>
      <c r="M95" s="16" t="str">
        <f t="shared" si="19"/>
        <v/>
      </c>
      <c r="N95" s="16" t="str">
        <f t="shared" si="20"/>
        <v/>
      </c>
      <c r="O95" s="16" t="str">
        <f t="shared" si="21"/>
        <v/>
      </c>
      <c r="P95" s="16" t="str">
        <f t="shared" si="22"/>
        <v/>
      </c>
      <c r="Q95" s="18" t="str">
        <f t="shared" si="23"/>
        <v/>
      </c>
      <c r="R95" s="19" t="str">
        <f>IF(C95="","",IF(ISNA(MATCH(B95,'Registru oferte'!$B$5:$B$504,0)),"Oferta nu există în registru",IF(N(F95)&lt;=0,"Lipsește cantitatea",IF(AND(ISNUMBER(Q95),Q95&lt;MarjaMin),"Marjă sub minim ("&amp;TEXT(Q95*100,"0")&amp;"%)",""))))</f>
        <v/>
      </c>
      <c r="S95" s="1" t="str">
        <f>IF(B95="","",B95&amp;"|"&amp;COUNTIF($B$5:B95,B95))</f>
        <v/>
      </c>
    </row>
    <row r="96" spans="2:19" x14ac:dyDescent="0.2">
      <c r="B96" s="11"/>
      <c r="C96" s="11"/>
      <c r="D96" s="10" t="str">
        <f t="shared" si="12"/>
        <v/>
      </c>
      <c r="E96" s="15" t="str">
        <f t="shared" si="13"/>
        <v/>
      </c>
      <c r="F96" s="11"/>
      <c r="G96" s="16" t="str">
        <f t="shared" si="14"/>
        <v/>
      </c>
      <c r="H96" s="17"/>
      <c r="I96" s="16" t="str">
        <f t="shared" si="15"/>
        <v/>
      </c>
      <c r="J96" s="16" t="str">
        <f t="shared" si="16"/>
        <v/>
      </c>
      <c r="K96" s="18" t="str">
        <f t="shared" si="17"/>
        <v/>
      </c>
      <c r="L96" s="16" t="str">
        <f t="shared" si="18"/>
        <v/>
      </c>
      <c r="M96" s="16" t="str">
        <f t="shared" si="19"/>
        <v/>
      </c>
      <c r="N96" s="16" t="str">
        <f t="shared" si="20"/>
        <v/>
      </c>
      <c r="O96" s="16" t="str">
        <f t="shared" si="21"/>
        <v/>
      </c>
      <c r="P96" s="16" t="str">
        <f t="shared" si="22"/>
        <v/>
      </c>
      <c r="Q96" s="18" t="str">
        <f t="shared" si="23"/>
        <v/>
      </c>
      <c r="R96" s="19" t="str">
        <f>IF(C96="","",IF(ISNA(MATCH(B96,'Registru oferte'!$B$5:$B$504,0)),"Oferta nu există în registru",IF(N(F96)&lt;=0,"Lipsește cantitatea",IF(AND(ISNUMBER(Q96),Q96&lt;MarjaMin),"Marjă sub minim ("&amp;TEXT(Q96*100,"0")&amp;"%)",""))))</f>
        <v/>
      </c>
      <c r="S96" s="1" t="str">
        <f>IF(B96="","",B96&amp;"|"&amp;COUNTIF($B$5:B96,B96))</f>
        <v/>
      </c>
    </row>
    <row r="97" spans="2:19" x14ac:dyDescent="0.2">
      <c r="B97" s="11"/>
      <c r="C97" s="11"/>
      <c r="D97" s="10" t="str">
        <f t="shared" si="12"/>
        <v/>
      </c>
      <c r="E97" s="15" t="str">
        <f t="shared" si="13"/>
        <v/>
      </c>
      <c r="F97" s="11"/>
      <c r="G97" s="16" t="str">
        <f t="shared" si="14"/>
        <v/>
      </c>
      <c r="H97" s="17"/>
      <c r="I97" s="16" t="str">
        <f t="shared" si="15"/>
        <v/>
      </c>
      <c r="J97" s="16" t="str">
        <f t="shared" si="16"/>
        <v/>
      </c>
      <c r="K97" s="18" t="str">
        <f t="shared" si="17"/>
        <v/>
      </c>
      <c r="L97" s="16" t="str">
        <f t="shared" si="18"/>
        <v/>
      </c>
      <c r="M97" s="16" t="str">
        <f t="shared" si="19"/>
        <v/>
      </c>
      <c r="N97" s="16" t="str">
        <f t="shared" si="20"/>
        <v/>
      </c>
      <c r="O97" s="16" t="str">
        <f t="shared" si="21"/>
        <v/>
      </c>
      <c r="P97" s="16" t="str">
        <f t="shared" si="22"/>
        <v/>
      </c>
      <c r="Q97" s="18" t="str">
        <f t="shared" si="23"/>
        <v/>
      </c>
      <c r="R97" s="19" t="str">
        <f>IF(C97="","",IF(ISNA(MATCH(B97,'Registru oferte'!$B$5:$B$504,0)),"Oferta nu există în registru",IF(N(F97)&lt;=0,"Lipsește cantitatea",IF(AND(ISNUMBER(Q97),Q97&lt;MarjaMin),"Marjă sub minim ("&amp;TEXT(Q97*100,"0")&amp;"%)",""))))</f>
        <v/>
      </c>
      <c r="S97" s="1" t="str">
        <f>IF(B97="","",B97&amp;"|"&amp;COUNTIF($B$5:B97,B97))</f>
        <v/>
      </c>
    </row>
    <row r="98" spans="2:19" x14ac:dyDescent="0.2">
      <c r="B98" s="11"/>
      <c r="C98" s="11"/>
      <c r="D98" s="10" t="str">
        <f t="shared" si="12"/>
        <v/>
      </c>
      <c r="E98" s="15" t="str">
        <f t="shared" si="13"/>
        <v/>
      </c>
      <c r="F98" s="11"/>
      <c r="G98" s="16" t="str">
        <f t="shared" si="14"/>
        <v/>
      </c>
      <c r="H98" s="17"/>
      <c r="I98" s="16" t="str">
        <f t="shared" si="15"/>
        <v/>
      </c>
      <c r="J98" s="16" t="str">
        <f t="shared" si="16"/>
        <v/>
      </c>
      <c r="K98" s="18" t="str">
        <f t="shared" si="17"/>
        <v/>
      </c>
      <c r="L98" s="16" t="str">
        <f t="shared" si="18"/>
        <v/>
      </c>
      <c r="M98" s="16" t="str">
        <f t="shared" si="19"/>
        <v/>
      </c>
      <c r="N98" s="16" t="str">
        <f t="shared" si="20"/>
        <v/>
      </c>
      <c r="O98" s="16" t="str">
        <f t="shared" si="21"/>
        <v/>
      </c>
      <c r="P98" s="16" t="str">
        <f t="shared" si="22"/>
        <v/>
      </c>
      <c r="Q98" s="18" t="str">
        <f t="shared" si="23"/>
        <v/>
      </c>
      <c r="R98" s="19" t="str">
        <f>IF(C98="","",IF(ISNA(MATCH(B98,'Registru oferte'!$B$5:$B$504,0)),"Oferta nu există în registru",IF(N(F98)&lt;=0,"Lipsește cantitatea",IF(AND(ISNUMBER(Q98),Q98&lt;MarjaMin),"Marjă sub minim ("&amp;TEXT(Q98*100,"0")&amp;"%)",""))))</f>
        <v/>
      </c>
      <c r="S98" s="1" t="str">
        <f>IF(B98="","",B98&amp;"|"&amp;COUNTIF($B$5:B98,B98))</f>
        <v/>
      </c>
    </row>
    <row r="99" spans="2:19" x14ac:dyDescent="0.2">
      <c r="B99" s="11"/>
      <c r="C99" s="11"/>
      <c r="D99" s="10" t="str">
        <f t="shared" si="12"/>
        <v/>
      </c>
      <c r="E99" s="15" t="str">
        <f t="shared" si="13"/>
        <v/>
      </c>
      <c r="F99" s="11"/>
      <c r="G99" s="16" t="str">
        <f t="shared" si="14"/>
        <v/>
      </c>
      <c r="H99" s="17"/>
      <c r="I99" s="16" t="str">
        <f t="shared" si="15"/>
        <v/>
      </c>
      <c r="J99" s="16" t="str">
        <f t="shared" si="16"/>
        <v/>
      </c>
      <c r="K99" s="18" t="str">
        <f t="shared" si="17"/>
        <v/>
      </c>
      <c r="L99" s="16" t="str">
        <f t="shared" si="18"/>
        <v/>
      </c>
      <c r="M99" s="16" t="str">
        <f t="shared" si="19"/>
        <v/>
      </c>
      <c r="N99" s="16" t="str">
        <f t="shared" si="20"/>
        <v/>
      </c>
      <c r="O99" s="16" t="str">
        <f t="shared" si="21"/>
        <v/>
      </c>
      <c r="P99" s="16" t="str">
        <f t="shared" si="22"/>
        <v/>
      </c>
      <c r="Q99" s="18" t="str">
        <f t="shared" si="23"/>
        <v/>
      </c>
      <c r="R99" s="19" t="str">
        <f>IF(C99="","",IF(ISNA(MATCH(B99,'Registru oferte'!$B$5:$B$504,0)),"Oferta nu există în registru",IF(N(F99)&lt;=0,"Lipsește cantitatea",IF(AND(ISNUMBER(Q99),Q99&lt;MarjaMin),"Marjă sub minim ("&amp;TEXT(Q99*100,"0")&amp;"%)",""))))</f>
        <v/>
      </c>
      <c r="S99" s="1" t="str">
        <f>IF(B99="","",B99&amp;"|"&amp;COUNTIF($B$5:B99,B99))</f>
        <v/>
      </c>
    </row>
    <row r="100" spans="2:19" x14ac:dyDescent="0.2">
      <c r="B100" s="11"/>
      <c r="C100" s="11"/>
      <c r="D100" s="10" t="str">
        <f t="shared" si="12"/>
        <v/>
      </c>
      <c r="E100" s="15" t="str">
        <f t="shared" si="13"/>
        <v/>
      </c>
      <c r="F100" s="11"/>
      <c r="G100" s="16" t="str">
        <f t="shared" si="14"/>
        <v/>
      </c>
      <c r="H100" s="17"/>
      <c r="I100" s="16" t="str">
        <f t="shared" si="15"/>
        <v/>
      </c>
      <c r="J100" s="16" t="str">
        <f t="shared" si="16"/>
        <v/>
      </c>
      <c r="K100" s="18" t="str">
        <f t="shared" si="17"/>
        <v/>
      </c>
      <c r="L100" s="16" t="str">
        <f t="shared" si="18"/>
        <v/>
      </c>
      <c r="M100" s="16" t="str">
        <f t="shared" si="19"/>
        <v/>
      </c>
      <c r="N100" s="16" t="str">
        <f t="shared" si="20"/>
        <v/>
      </c>
      <c r="O100" s="16" t="str">
        <f t="shared" si="21"/>
        <v/>
      </c>
      <c r="P100" s="16" t="str">
        <f t="shared" si="22"/>
        <v/>
      </c>
      <c r="Q100" s="18" t="str">
        <f t="shared" si="23"/>
        <v/>
      </c>
      <c r="R100" s="19" t="str">
        <f>IF(C100="","",IF(ISNA(MATCH(B100,'Registru oferte'!$B$5:$B$504,0)),"Oferta nu există în registru",IF(N(F100)&lt;=0,"Lipsește cantitatea",IF(AND(ISNUMBER(Q100),Q100&lt;MarjaMin),"Marjă sub minim ("&amp;TEXT(Q100*100,"0")&amp;"%)",""))))</f>
        <v/>
      </c>
      <c r="S100" s="1" t="str">
        <f>IF(B100="","",B100&amp;"|"&amp;COUNTIF($B$5:B100,B100))</f>
        <v/>
      </c>
    </row>
    <row r="101" spans="2:19" x14ac:dyDescent="0.2">
      <c r="B101" s="11"/>
      <c r="C101" s="11"/>
      <c r="D101" s="10" t="str">
        <f t="shared" si="12"/>
        <v/>
      </c>
      <c r="E101" s="15" t="str">
        <f t="shared" si="13"/>
        <v/>
      </c>
      <c r="F101" s="11"/>
      <c r="G101" s="16" t="str">
        <f t="shared" si="14"/>
        <v/>
      </c>
      <c r="H101" s="17"/>
      <c r="I101" s="16" t="str">
        <f t="shared" si="15"/>
        <v/>
      </c>
      <c r="J101" s="16" t="str">
        <f t="shared" si="16"/>
        <v/>
      </c>
      <c r="K101" s="18" t="str">
        <f t="shared" si="17"/>
        <v/>
      </c>
      <c r="L101" s="16" t="str">
        <f t="shared" si="18"/>
        <v/>
      </c>
      <c r="M101" s="16" t="str">
        <f t="shared" si="19"/>
        <v/>
      </c>
      <c r="N101" s="16" t="str">
        <f t="shared" si="20"/>
        <v/>
      </c>
      <c r="O101" s="16" t="str">
        <f t="shared" si="21"/>
        <v/>
      </c>
      <c r="P101" s="16" t="str">
        <f t="shared" si="22"/>
        <v/>
      </c>
      <c r="Q101" s="18" t="str">
        <f t="shared" si="23"/>
        <v/>
      </c>
      <c r="R101" s="19" t="str">
        <f>IF(C101="","",IF(ISNA(MATCH(B101,'Registru oferte'!$B$5:$B$504,0)),"Oferta nu există în registru",IF(N(F101)&lt;=0,"Lipsește cantitatea",IF(AND(ISNUMBER(Q101),Q101&lt;MarjaMin),"Marjă sub minim ("&amp;TEXT(Q101*100,"0")&amp;"%)",""))))</f>
        <v/>
      </c>
      <c r="S101" s="1" t="str">
        <f>IF(B101="","",B101&amp;"|"&amp;COUNTIF($B$5:B101,B101))</f>
        <v/>
      </c>
    </row>
    <row r="102" spans="2:19" x14ac:dyDescent="0.2">
      <c r="B102" s="11"/>
      <c r="C102" s="11"/>
      <c r="D102" s="10" t="str">
        <f t="shared" si="12"/>
        <v/>
      </c>
      <c r="E102" s="15" t="str">
        <f t="shared" si="13"/>
        <v/>
      </c>
      <c r="F102" s="11"/>
      <c r="G102" s="16" t="str">
        <f t="shared" si="14"/>
        <v/>
      </c>
      <c r="H102" s="17"/>
      <c r="I102" s="16" t="str">
        <f t="shared" si="15"/>
        <v/>
      </c>
      <c r="J102" s="16" t="str">
        <f t="shared" si="16"/>
        <v/>
      </c>
      <c r="K102" s="18" t="str">
        <f t="shared" si="17"/>
        <v/>
      </c>
      <c r="L102" s="16" t="str">
        <f t="shared" si="18"/>
        <v/>
      </c>
      <c r="M102" s="16" t="str">
        <f t="shared" si="19"/>
        <v/>
      </c>
      <c r="N102" s="16" t="str">
        <f t="shared" si="20"/>
        <v/>
      </c>
      <c r="O102" s="16" t="str">
        <f t="shared" si="21"/>
        <v/>
      </c>
      <c r="P102" s="16" t="str">
        <f t="shared" si="22"/>
        <v/>
      </c>
      <c r="Q102" s="18" t="str">
        <f t="shared" si="23"/>
        <v/>
      </c>
      <c r="R102" s="19" t="str">
        <f>IF(C102="","",IF(ISNA(MATCH(B102,'Registru oferte'!$B$5:$B$504,0)),"Oferta nu există în registru",IF(N(F102)&lt;=0,"Lipsește cantitatea",IF(AND(ISNUMBER(Q102),Q102&lt;MarjaMin),"Marjă sub minim ("&amp;TEXT(Q102*100,"0")&amp;"%)",""))))</f>
        <v/>
      </c>
      <c r="S102" s="1" t="str">
        <f>IF(B102="","",B102&amp;"|"&amp;COUNTIF($B$5:B102,B102))</f>
        <v/>
      </c>
    </row>
    <row r="103" spans="2:19" x14ac:dyDescent="0.2">
      <c r="B103" s="11"/>
      <c r="C103" s="11"/>
      <c r="D103" s="10" t="str">
        <f t="shared" si="12"/>
        <v/>
      </c>
      <c r="E103" s="15" t="str">
        <f t="shared" si="13"/>
        <v/>
      </c>
      <c r="F103" s="11"/>
      <c r="G103" s="16" t="str">
        <f t="shared" si="14"/>
        <v/>
      </c>
      <c r="H103" s="17"/>
      <c r="I103" s="16" t="str">
        <f t="shared" si="15"/>
        <v/>
      </c>
      <c r="J103" s="16" t="str">
        <f t="shared" si="16"/>
        <v/>
      </c>
      <c r="K103" s="18" t="str">
        <f t="shared" si="17"/>
        <v/>
      </c>
      <c r="L103" s="16" t="str">
        <f t="shared" si="18"/>
        <v/>
      </c>
      <c r="M103" s="16" t="str">
        <f t="shared" si="19"/>
        <v/>
      </c>
      <c r="N103" s="16" t="str">
        <f t="shared" si="20"/>
        <v/>
      </c>
      <c r="O103" s="16" t="str">
        <f t="shared" si="21"/>
        <v/>
      </c>
      <c r="P103" s="16" t="str">
        <f t="shared" si="22"/>
        <v/>
      </c>
      <c r="Q103" s="18" t="str">
        <f t="shared" si="23"/>
        <v/>
      </c>
      <c r="R103" s="19" t="str">
        <f>IF(C103="","",IF(ISNA(MATCH(B103,'Registru oferte'!$B$5:$B$504,0)),"Oferta nu există în registru",IF(N(F103)&lt;=0,"Lipsește cantitatea",IF(AND(ISNUMBER(Q103),Q103&lt;MarjaMin),"Marjă sub minim ("&amp;TEXT(Q103*100,"0")&amp;"%)",""))))</f>
        <v/>
      </c>
      <c r="S103" s="1" t="str">
        <f>IF(B103="","",B103&amp;"|"&amp;COUNTIF($B$5:B103,B103))</f>
        <v/>
      </c>
    </row>
    <row r="104" spans="2:19" x14ac:dyDescent="0.2">
      <c r="B104" s="11"/>
      <c r="C104" s="11"/>
      <c r="D104" s="10" t="str">
        <f t="shared" si="12"/>
        <v/>
      </c>
      <c r="E104" s="15" t="str">
        <f t="shared" si="13"/>
        <v/>
      </c>
      <c r="F104" s="11"/>
      <c r="G104" s="16" t="str">
        <f t="shared" si="14"/>
        <v/>
      </c>
      <c r="H104" s="17"/>
      <c r="I104" s="16" t="str">
        <f t="shared" si="15"/>
        <v/>
      </c>
      <c r="J104" s="16" t="str">
        <f t="shared" si="16"/>
        <v/>
      </c>
      <c r="K104" s="18" t="str">
        <f t="shared" si="17"/>
        <v/>
      </c>
      <c r="L104" s="16" t="str">
        <f t="shared" si="18"/>
        <v/>
      </c>
      <c r="M104" s="16" t="str">
        <f t="shared" si="19"/>
        <v/>
      </c>
      <c r="N104" s="16" t="str">
        <f t="shared" si="20"/>
        <v/>
      </c>
      <c r="O104" s="16" t="str">
        <f t="shared" si="21"/>
        <v/>
      </c>
      <c r="P104" s="16" t="str">
        <f t="shared" si="22"/>
        <v/>
      </c>
      <c r="Q104" s="18" t="str">
        <f t="shared" si="23"/>
        <v/>
      </c>
      <c r="R104" s="19" t="str">
        <f>IF(C104="","",IF(ISNA(MATCH(B104,'Registru oferte'!$B$5:$B$504,0)),"Oferta nu există în registru",IF(N(F104)&lt;=0,"Lipsește cantitatea",IF(AND(ISNUMBER(Q104),Q104&lt;MarjaMin),"Marjă sub minim ("&amp;TEXT(Q104*100,"0")&amp;"%)",""))))</f>
        <v/>
      </c>
      <c r="S104" s="1" t="str">
        <f>IF(B104="","",B104&amp;"|"&amp;COUNTIF($B$5:B104,B104))</f>
        <v/>
      </c>
    </row>
    <row r="105" spans="2:19" x14ac:dyDescent="0.2">
      <c r="B105" s="11"/>
      <c r="C105" s="11"/>
      <c r="D105" s="10" t="str">
        <f t="shared" si="12"/>
        <v/>
      </c>
      <c r="E105" s="15" t="str">
        <f t="shared" si="13"/>
        <v/>
      </c>
      <c r="F105" s="11"/>
      <c r="G105" s="16" t="str">
        <f t="shared" si="14"/>
        <v/>
      </c>
      <c r="H105" s="17"/>
      <c r="I105" s="16" t="str">
        <f t="shared" si="15"/>
        <v/>
      </c>
      <c r="J105" s="16" t="str">
        <f t="shared" si="16"/>
        <v/>
      </c>
      <c r="K105" s="18" t="str">
        <f t="shared" si="17"/>
        <v/>
      </c>
      <c r="L105" s="16" t="str">
        <f t="shared" si="18"/>
        <v/>
      </c>
      <c r="M105" s="16" t="str">
        <f t="shared" si="19"/>
        <v/>
      </c>
      <c r="N105" s="16" t="str">
        <f t="shared" si="20"/>
        <v/>
      </c>
      <c r="O105" s="16" t="str">
        <f t="shared" si="21"/>
        <v/>
      </c>
      <c r="P105" s="16" t="str">
        <f t="shared" si="22"/>
        <v/>
      </c>
      <c r="Q105" s="18" t="str">
        <f t="shared" si="23"/>
        <v/>
      </c>
      <c r="R105" s="19" t="str">
        <f>IF(C105="","",IF(ISNA(MATCH(B105,'Registru oferte'!$B$5:$B$504,0)),"Oferta nu există în registru",IF(N(F105)&lt;=0,"Lipsește cantitatea",IF(AND(ISNUMBER(Q105),Q105&lt;MarjaMin),"Marjă sub minim ("&amp;TEXT(Q105*100,"0")&amp;"%)",""))))</f>
        <v/>
      </c>
      <c r="S105" s="1" t="str">
        <f>IF(B105="","",B105&amp;"|"&amp;COUNTIF($B$5:B105,B105))</f>
        <v/>
      </c>
    </row>
    <row r="106" spans="2:19" x14ac:dyDescent="0.2">
      <c r="B106" s="11"/>
      <c r="C106" s="11"/>
      <c r="D106" s="10" t="str">
        <f t="shared" si="12"/>
        <v/>
      </c>
      <c r="E106" s="15" t="str">
        <f t="shared" si="13"/>
        <v/>
      </c>
      <c r="F106" s="11"/>
      <c r="G106" s="16" t="str">
        <f t="shared" si="14"/>
        <v/>
      </c>
      <c r="H106" s="17"/>
      <c r="I106" s="16" t="str">
        <f t="shared" si="15"/>
        <v/>
      </c>
      <c r="J106" s="16" t="str">
        <f t="shared" si="16"/>
        <v/>
      </c>
      <c r="K106" s="18" t="str">
        <f t="shared" si="17"/>
        <v/>
      </c>
      <c r="L106" s="16" t="str">
        <f t="shared" si="18"/>
        <v/>
      </c>
      <c r="M106" s="16" t="str">
        <f t="shared" si="19"/>
        <v/>
      </c>
      <c r="N106" s="16" t="str">
        <f t="shared" si="20"/>
        <v/>
      </c>
      <c r="O106" s="16" t="str">
        <f t="shared" si="21"/>
        <v/>
      </c>
      <c r="P106" s="16" t="str">
        <f t="shared" si="22"/>
        <v/>
      </c>
      <c r="Q106" s="18" t="str">
        <f t="shared" si="23"/>
        <v/>
      </c>
      <c r="R106" s="19" t="str">
        <f>IF(C106="","",IF(ISNA(MATCH(B106,'Registru oferte'!$B$5:$B$504,0)),"Oferta nu există în registru",IF(N(F106)&lt;=0,"Lipsește cantitatea",IF(AND(ISNUMBER(Q106),Q106&lt;MarjaMin),"Marjă sub minim ("&amp;TEXT(Q106*100,"0")&amp;"%)",""))))</f>
        <v/>
      </c>
      <c r="S106" s="1" t="str">
        <f>IF(B106="","",B106&amp;"|"&amp;COUNTIF($B$5:B106,B106))</f>
        <v/>
      </c>
    </row>
    <row r="107" spans="2:19" x14ac:dyDescent="0.2">
      <c r="B107" s="11"/>
      <c r="C107" s="11"/>
      <c r="D107" s="10" t="str">
        <f t="shared" si="12"/>
        <v/>
      </c>
      <c r="E107" s="15" t="str">
        <f t="shared" si="13"/>
        <v/>
      </c>
      <c r="F107" s="11"/>
      <c r="G107" s="16" t="str">
        <f t="shared" si="14"/>
        <v/>
      </c>
      <c r="H107" s="17"/>
      <c r="I107" s="16" t="str">
        <f t="shared" si="15"/>
        <v/>
      </c>
      <c r="J107" s="16" t="str">
        <f t="shared" si="16"/>
        <v/>
      </c>
      <c r="K107" s="18" t="str">
        <f t="shared" si="17"/>
        <v/>
      </c>
      <c r="L107" s="16" t="str">
        <f t="shared" si="18"/>
        <v/>
      </c>
      <c r="M107" s="16" t="str">
        <f t="shared" si="19"/>
        <v/>
      </c>
      <c r="N107" s="16" t="str">
        <f t="shared" si="20"/>
        <v/>
      </c>
      <c r="O107" s="16" t="str">
        <f t="shared" si="21"/>
        <v/>
      </c>
      <c r="P107" s="16" t="str">
        <f t="shared" si="22"/>
        <v/>
      </c>
      <c r="Q107" s="18" t="str">
        <f t="shared" si="23"/>
        <v/>
      </c>
      <c r="R107" s="19" t="str">
        <f>IF(C107="","",IF(ISNA(MATCH(B107,'Registru oferte'!$B$5:$B$504,0)),"Oferta nu există în registru",IF(N(F107)&lt;=0,"Lipsește cantitatea",IF(AND(ISNUMBER(Q107),Q107&lt;MarjaMin),"Marjă sub minim ("&amp;TEXT(Q107*100,"0")&amp;"%)",""))))</f>
        <v/>
      </c>
      <c r="S107" s="1" t="str">
        <f>IF(B107="","",B107&amp;"|"&amp;COUNTIF($B$5:B107,B107))</f>
        <v/>
      </c>
    </row>
    <row r="108" spans="2:19" x14ac:dyDescent="0.2">
      <c r="B108" s="11"/>
      <c r="C108" s="11"/>
      <c r="D108" s="10" t="str">
        <f t="shared" si="12"/>
        <v/>
      </c>
      <c r="E108" s="15" t="str">
        <f t="shared" si="13"/>
        <v/>
      </c>
      <c r="F108" s="11"/>
      <c r="G108" s="16" t="str">
        <f t="shared" si="14"/>
        <v/>
      </c>
      <c r="H108" s="17"/>
      <c r="I108" s="16" t="str">
        <f t="shared" si="15"/>
        <v/>
      </c>
      <c r="J108" s="16" t="str">
        <f t="shared" si="16"/>
        <v/>
      </c>
      <c r="K108" s="18" t="str">
        <f t="shared" si="17"/>
        <v/>
      </c>
      <c r="L108" s="16" t="str">
        <f t="shared" si="18"/>
        <v/>
      </c>
      <c r="M108" s="16" t="str">
        <f t="shared" si="19"/>
        <v/>
      </c>
      <c r="N108" s="16" t="str">
        <f t="shared" si="20"/>
        <v/>
      </c>
      <c r="O108" s="16" t="str">
        <f t="shared" si="21"/>
        <v/>
      </c>
      <c r="P108" s="16" t="str">
        <f t="shared" si="22"/>
        <v/>
      </c>
      <c r="Q108" s="18" t="str">
        <f t="shared" si="23"/>
        <v/>
      </c>
      <c r="R108" s="19" t="str">
        <f>IF(C108="","",IF(ISNA(MATCH(B108,'Registru oferte'!$B$5:$B$504,0)),"Oferta nu există în registru",IF(N(F108)&lt;=0,"Lipsește cantitatea",IF(AND(ISNUMBER(Q108),Q108&lt;MarjaMin),"Marjă sub minim ("&amp;TEXT(Q108*100,"0")&amp;"%)",""))))</f>
        <v/>
      </c>
      <c r="S108" s="1" t="str">
        <f>IF(B108="","",B108&amp;"|"&amp;COUNTIF($B$5:B108,B108))</f>
        <v/>
      </c>
    </row>
    <row r="109" spans="2:19" x14ac:dyDescent="0.2">
      <c r="B109" s="11"/>
      <c r="C109" s="11"/>
      <c r="D109" s="10" t="str">
        <f t="shared" si="12"/>
        <v/>
      </c>
      <c r="E109" s="15" t="str">
        <f t="shared" si="13"/>
        <v/>
      </c>
      <c r="F109" s="11"/>
      <c r="G109" s="16" t="str">
        <f t="shared" si="14"/>
        <v/>
      </c>
      <c r="H109" s="17"/>
      <c r="I109" s="16" t="str">
        <f t="shared" si="15"/>
        <v/>
      </c>
      <c r="J109" s="16" t="str">
        <f t="shared" si="16"/>
        <v/>
      </c>
      <c r="K109" s="18" t="str">
        <f t="shared" si="17"/>
        <v/>
      </c>
      <c r="L109" s="16" t="str">
        <f t="shared" si="18"/>
        <v/>
      </c>
      <c r="M109" s="16" t="str">
        <f t="shared" si="19"/>
        <v/>
      </c>
      <c r="N109" s="16" t="str">
        <f t="shared" si="20"/>
        <v/>
      </c>
      <c r="O109" s="16" t="str">
        <f t="shared" si="21"/>
        <v/>
      </c>
      <c r="P109" s="16" t="str">
        <f t="shared" si="22"/>
        <v/>
      </c>
      <c r="Q109" s="18" t="str">
        <f t="shared" si="23"/>
        <v/>
      </c>
      <c r="R109" s="19" t="str">
        <f>IF(C109="","",IF(ISNA(MATCH(B109,'Registru oferte'!$B$5:$B$504,0)),"Oferta nu există în registru",IF(N(F109)&lt;=0,"Lipsește cantitatea",IF(AND(ISNUMBER(Q109),Q109&lt;MarjaMin),"Marjă sub minim ("&amp;TEXT(Q109*100,"0")&amp;"%)",""))))</f>
        <v/>
      </c>
      <c r="S109" s="1" t="str">
        <f>IF(B109="","",B109&amp;"|"&amp;COUNTIF($B$5:B109,B109))</f>
        <v/>
      </c>
    </row>
    <row r="110" spans="2:19" x14ac:dyDescent="0.2">
      <c r="B110" s="11"/>
      <c r="C110" s="11"/>
      <c r="D110" s="10" t="str">
        <f t="shared" si="12"/>
        <v/>
      </c>
      <c r="E110" s="15" t="str">
        <f t="shared" si="13"/>
        <v/>
      </c>
      <c r="F110" s="11"/>
      <c r="G110" s="16" t="str">
        <f t="shared" si="14"/>
        <v/>
      </c>
      <c r="H110" s="17"/>
      <c r="I110" s="16" t="str">
        <f t="shared" si="15"/>
        <v/>
      </c>
      <c r="J110" s="16" t="str">
        <f t="shared" si="16"/>
        <v/>
      </c>
      <c r="K110" s="18" t="str">
        <f t="shared" si="17"/>
        <v/>
      </c>
      <c r="L110" s="16" t="str">
        <f t="shared" si="18"/>
        <v/>
      </c>
      <c r="M110" s="16" t="str">
        <f t="shared" si="19"/>
        <v/>
      </c>
      <c r="N110" s="16" t="str">
        <f t="shared" si="20"/>
        <v/>
      </c>
      <c r="O110" s="16" t="str">
        <f t="shared" si="21"/>
        <v/>
      </c>
      <c r="P110" s="16" t="str">
        <f t="shared" si="22"/>
        <v/>
      </c>
      <c r="Q110" s="18" t="str">
        <f t="shared" si="23"/>
        <v/>
      </c>
      <c r="R110" s="19" t="str">
        <f>IF(C110="","",IF(ISNA(MATCH(B110,'Registru oferte'!$B$5:$B$504,0)),"Oferta nu există în registru",IF(N(F110)&lt;=0,"Lipsește cantitatea",IF(AND(ISNUMBER(Q110),Q110&lt;MarjaMin),"Marjă sub minim ("&amp;TEXT(Q110*100,"0")&amp;"%)",""))))</f>
        <v/>
      </c>
      <c r="S110" s="1" t="str">
        <f>IF(B110="","",B110&amp;"|"&amp;COUNTIF($B$5:B110,B110))</f>
        <v/>
      </c>
    </row>
    <row r="111" spans="2:19" x14ac:dyDescent="0.2">
      <c r="B111" s="11"/>
      <c r="C111" s="11"/>
      <c r="D111" s="10" t="str">
        <f t="shared" si="12"/>
        <v/>
      </c>
      <c r="E111" s="15" t="str">
        <f t="shared" si="13"/>
        <v/>
      </c>
      <c r="F111" s="11"/>
      <c r="G111" s="16" t="str">
        <f t="shared" si="14"/>
        <v/>
      </c>
      <c r="H111" s="17"/>
      <c r="I111" s="16" t="str">
        <f t="shared" si="15"/>
        <v/>
      </c>
      <c r="J111" s="16" t="str">
        <f t="shared" si="16"/>
        <v/>
      </c>
      <c r="K111" s="18" t="str">
        <f t="shared" si="17"/>
        <v/>
      </c>
      <c r="L111" s="16" t="str">
        <f t="shared" si="18"/>
        <v/>
      </c>
      <c r="M111" s="16" t="str">
        <f t="shared" si="19"/>
        <v/>
      </c>
      <c r="N111" s="16" t="str">
        <f t="shared" si="20"/>
        <v/>
      </c>
      <c r="O111" s="16" t="str">
        <f t="shared" si="21"/>
        <v/>
      </c>
      <c r="P111" s="16" t="str">
        <f t="shared" si="22"/>
        <v/>
      </c>
      <c r="Q111" s="18" t="str">
        <f t="shared" si="23"/>
        <v/>
      </c>
      <c r="R111" s="19" t="str">
        <f>IF(C111="","",IF(ISNA(MATCH(B111,'Registru oferte'!$B$5:$B$504,0)),"Oferta nu există în registru",IF(N(F111)&lt;=0,"Lipsește cantitatea",IF(AND(ISNUMBER(Q111),Q111&lt;MarjaMin),"Marjă sub minim ("&amp;TEXT(Q111*100,"0")&amp;"%)",""))))</f>
        <v/>
      </c>
      <c r="S111" s="1" t="str">
        <f>IF(B111="","",B111&amp;"|"&amp;COUNTIF($B$5:B111,B111))</f>
        <v/>
      </c>
    </row>
    <row r="112" spans="2:19" x14ac:dyDescent="0.2">
      <c r="B112" s="11"/>
      <c r="C112" s="11"/>
      <c r="D112" s="10" t="str">
        <f t="shared" si="12"/>
        <v/>
      </c>
      <c r="E112" s="15" t="str">
        <f t="shared" si="13"/>
        <v/>
      </c>
      <c r="F112" s="11"/>
      <c r="G112" s="16" t="str">
        <f t="shared" si="14"/>
        <v/>
      </c>
      <c r="H112" s="17"/>
      <c r="I112" s="16" t="str">
        <f t="shared" si="15"/>
        <v/>
      </c>
      <c r="J112" s="16" t="str">
        <f t="shared" si="16"/>
        <v/>
      </c>
      <c r="K112" s="18" t="str">
        <f t="shared" si="17"/>
        <v/>
      </c>
      <c r="L112" s="16" t="str">
        <f t="shared" si="18"/>
        <v/>
      </c>
      <c r="M112" s="16" t="str">
        <f t="shared" si="19"/>
        <v/>
      </c>
      <c r="N112" s="16" t="str">
        <f t="shared" si="20"/>
        <v/>
      </c>
      <c r="O112" s="16" t="str">
        <f t="shared" si="21"/>
        <v/>
      </c>
      <c r="P112" s="16" t="str">
        <f t="shared" si="22"/>
        <v/>
      </c>
      <c r="Q112" s="18" t="str">
        <f t="shared" si="23"/>
        <v/>
      </c>
      <c r="R112" s="19" t="str">
        <f>IF(C112="","",IF(ISNA(MATCH(B112,'Registru oferte'!$B$5:$B$504,0)),"Oferta nu există în registru",IF(N(F112)&lt;=0,"Lipsește cantitatea",IF(AND(ISNUMBER(Q112),Q112&lt;MarjaMin),"Marjă sub minim ("&amp;TEXT(Q112*100,"0")&amp;"%)",""))))</f>
        <v/>
      </c>
      <c r="S112" s="1" t="str">
        <f>IF(B112="","",B112&amp;"|"&amp;COUNTIF($B$5:B112,B112))</f>
        <v/>
      </c>
    </row>
    <row r="113" spans="2:19" x14ac:dyDescent="0.2">
      <c r="B113" s="11"/>
      <c r="C113" s="11"/>
      <c r="D113" s="10" t="str">
        <f t="shared" si="12"/>
        <v/>
      </c>
      <c r="E113" s="15" t="str">
        <f t="shared" si="13"/>
        <v/>
      </c>
      <c r="F113" s="11"/>
      <c r="G113" s="16" t="str">
        <f t="shared" si="14"/>
        <v/>
      </c>
      <c r="H113" s="17"/>
      <c r="I113" s="16" t="str">
        <f t="shared" si="15"/>
        <v/>
      </c>
      <c r="J113" s="16" t="str">
        <f t="shared" si="16"/>
        <v/>
      </c>
      <c r="K113" s="18" t="str">
        <f t="shared" si="17"/>
        <v/>
      </c>
      <c r="L113" s="16" t="str">
        <f t="shared" si="18"/>
        <v/>
      </c>
      <c r="M113" s="16" t="str">
        <f t="shared" si="19"/>
        <v/>
      </c>
      <c r="N113" s="16" t="str">
        <f t="shared" si="20"/>
        <v/>
      </c>
      <c r="O113" s="16" t="str">
        <f t="shared" si="21"/>
        <v/>
      </c>
      <c r="P113" s="16" t="str">
        <f t="shared" si="22"/>
        <v/>
      </c>
      <c r="Q113" s="18" t="str">
        <f t="shared" si="23"/>
        <v/>
      </c>
      <c r="R113" s="19" t="str">
        <f>IF(C113="","",IF(ISNA(MATCH(B113,'Registru oferte'!$B$5:$B$504,0)),"Oferta nu există în registru",IF(N(F113)&lt;=0,"Lipsește cantitatea",IF(AND(ISNUMBER(Q113),Q113&lt;MarjaMin),"Marjă sub minim ("&amp;TEXT(Q113*100,"0")&amp;"%)",""))))</f>
        <v/>
      </c>
      <c r="S113" s="1" t="str">
        <f>IF(B113="","",B113&amp;"|"&amp;COUNTIF($B$5:B113,B113))</f>
        <v/>
      </c>
    </row>
    <row r="114" spans="2:19" x14ac:dyDescent="0.2">
      <c r="B114" s="11"/>
      <c r="C114" s="11"/>
      <c r="D114" s="10" t="str">
        <f t="shared" si="12"/>
        <v/>
      </c>
      <c r="E114" s="15" t="str">
        <f t="shared" si="13"/>
        <v/>
      </c>
      <c r="F114" s="11"/>
      <c r="G114" s="16" t="str">
        <f t="shared" si="14"/>
        <v/>
      </c>
      <c r="H114" s="17"/>
      <c r="I114" s="16" t="str">
        <f t="shared" si="15"/>
        <v/>
      </c>
      <c r="J114" s="16" t="str">
        <f t="shared" si="16"/>
        <v/>
      </c>
      <c r="K114" s="18" t="str">
        <f t="shared" si="17"/>
        <v/>
      </c>
      <c r="L114" s="16" t="str">
        <f t="shared" si="18"/>
        <v/>
      </c>
      <c r="M114" s="16" t="str">
        <f t="shared" si="19"/>
        <v/>
      </c>
      <c r="N114" s="16" t="str">
        <f t="shared" si="20"/>
        <v/>
      </c>
      <c r="O114" s="16" t="str">
        <f t="shared" si="21"/>
        <v/>
      </c>
      <c r="P114" s="16" t="str">
        <f t="shared" si="22"/>
        <v/>
      </c>
      <c r="Q114" s="18" t="str">
        <f t="shared" si="23"/>
        <v/>
      </c>
      <c r="R114" s="19" t="str">
        <f>IF(C114="","",IF(ISNA(MATCH(B114,'Registru oferte'!$B$5:$B$504,0)),"Oferta nu există în registru",IF(N(F114)&lt;=0,"Lipsește cantitatea",IF(AND(ISNUMBER(Q114),Q114&lt;MarjaMin),"Marjă sub minim ("&amp;TEXT(Q114*100,"0")&amp;"%)",""))))</f>
        <v/>
      </c>
      <c r="S114" s="1" t="str">
        <f>IF(B114="","",B114&amp;"|"&amp;COUNTIF($B$5:B114,B114))</f>
        <v/>
      </c>
    </row>
    <row r="115" spans="2:19" x14ac:dyDescent="0.2">
      <c r="B115" s="11"/>
      <c r="C115" s="11"/>
      <c r="D115" s="10" t="str">
        <f t="shared" si="12"/>
        <v/>
      </c>
      <c r="E115" s="15" t="str">
        <f t="shared" si="13"/>
        <v/>
      </c>
      <c r="F115" s="11"/>
      <c r="G115" s="16" t="str">
        <f t="shared" si="14"/>
        <v/>
      </c>
      <c r="H115" s="17"/>
      <c r="I115" s="16" t="str">
        <f t="shared" si="15"/>
        <v/>
      </c>
      <c r="J115" s="16" t="str">
        <f t="shared" si="16"/>
        <v/>
      </c>
      <c r="K115" s="18" t="str">
        <f t="shared" si="17"/>
        <v/>
      </c>
      <c r="L115" s="16" t="str">
        <f t="shared" si="18"/>
        <v/>
      </c>
      <c r="M115" s="16" t="str">
        <f t="shared" si="19"/>
        <v/>
      </c>
      <c r="N115" s="16" t="str">
        <f t="shared" si="20"/>
        <v/>
      </c>
      <c r="O115" s="16" t="str">
        <f t="shared" si="21"/>
        <v/>
      </c>
      <c r="P115" s="16" t="str">
        <f t="shared" si="22"/>
        <v/>
      </c>
      <c r="Q115" s="18" t="str">
        <f t="shared" si="23"/>
        <v/>
      </c>
      <c r="R115" s="19" t="str">
        <f>IF(C115="","",IF(ISNA(MATCH(B115,'Registru oferte'!$B$5:$B$504,0)),"Oferta nu există în registru",IF(N(F115)&lt;=0,"Lipsește cantitatea",IF(AND(ISNUMBER(Q115),Q115&lt;MarjaMin),"Marjă sub minim ("&amp;TEXT(Q115*100,"0")&amp;"%)",""))))</f>
        <v/>
      </c>
      <c r="S115" s="1" t="str">
        <f>IF(B115="","",B115&amp;"|"&amp;COUNTIF($B$5:B115,B115))</f>
        <v/>
      </c>
    </row>
    <row r="116" spans="2:19" x14ac:dyDescent="0.2">
      <c r="B116" s="11"/>
      <c r="C116" s="11"/>
      <c r="D116" s="10" t="str">
        <f t="shared" si="12"/>
        <v/>
      </c>
      <c r="E116" s="15" t="str">
        <f t="shared" si="13"/>
        <v/>
      </c>
      <c r="F116" s="11"/>
      <c r="G116" s="16" t="str">
        <f t="shared" si="14"/>
        <v/>
      </c>
      <c r="H116" s="17"/>
      <c r="I116" s="16" t="str">
        <f t="shared" si="15"/>
        <v/>
      </c>
      <c r="J116" s="16" t="str">
        <f t="shared" si="16"/>
        <v/>
      </c>
      <c r="K116" s="18" t="str">
        <f t="shared" si="17"/>
        <v/>
      </c>
      <c r="L116" s="16" t="str">
        <f t="shared" si="18"/>
        <v/>
      </c>
      <c r="M116" s="16" t="str">
        <f t="shared" si="19"/>
        <v/>
      </c>
      <c r="N116" s="16" t="str">
        <f t="shared" si="20"/>
        <v/>
      </c>
      <c r="O116" s="16" t="str">
        <f t="shared" si="21"/>
        <v/>
      </c>
      <c r="P116" s="16" t="str">
        <f t="shared" si="22"/>
        <v/>
      </c>
      <c r="Q116" s="18" t="str">
        <f t="shared" si="23"/>
        <v/>
      </c>
      <c r="R116" s="19" t="str">
        <f>IF(C116="","",IF(ISNA(MATCH(B116,'Registru oferte'!$B$5:$B$504,0)),"Oferta nu există în registru",IF(N(F116)&lt;=0,"Lipsește cantitatea",IF(AND(ISNUMBER(Q116),Q116&lt;MarjaMin),"Marjă sub minim ("&amp;TEXT(Q116*100,"0")&amp;"%)",""))))</f>
        <v/>
      </c>
      <c r="S116" s="1" t="str">
        <f>IF(B116="","",B116&amp;"|"&amp;COUNTIF($B$5:B116,B116))</f>
        <v/>
      </c>
    </row>
    <row r="117" spans="2:19" x14ac:dyDescent="0.2">
      <c r="B117" s="11"/>
      <c r="C117" s="11"/>
      <c r="D117" s="10" t="str">
        <f t="shared" si="12"/>
        <v/>
      </c>
      <c r="E117" s="15" t="str">
        <f t="shared" si="13"/>
        <v/>
      </c>
      <c r="F117" s="11"/>
      <c r="G117" s="16" t="str">
        <f t="shared" si="14"/>
        <v/>
      </c>
      <c r="H117" s="17"/>
      <c r="I117" s="16" t="str">
        <f t="shared" si="15"/>
        <v/>
      </c>
      <c r="J117" s="16" t="str">
        <f t="shared" si="16"/>
        <v/>
      </c>
      <c r="K117" s="18" t="str">
        <f t="shared" si="17"/>
        <v/>
      </c>
      <c r="L117" s="16" t="str">
        <f t="shared" si="18"/>
        <v/>
      </c>
      <c r="M117" s="16" t="str">
        <f t="shared" si="19"/>
        <v/>
      </c>
      <c r="N117" s="16" t="str">
        <f t="shared" si="20"/>
        <v/>
      </c>
      <c r="O117" s="16" t="str">
        <f t="shared" si="21"/>
        <v/>
      </c>
      <c r="P117" s="16" t="str">
        <f t="shared" si="22"/>
        <v/>
      </c>
      <c r="Q117" s="18" t="str">
        <f t="shared" si="23"/>
        <v/>
      </c>
      <c r="R117" s="19" t="str">
        <f>IF(C117="","",IF(ISNA(MATCH(B117,'Registru oferte'!$B$5:$B$504,0)),"Oferta nu există în registru",IF(N(F117)&lt;=0,"Lipsește cantitatea",IF(AND(ISNUMBER(Q117),Q117&lt;MarjaMin),"Marjă sub minim ("&amp;TEXT(Q117*100,"0")&amp;"%)",""))))</f>
        <v/>
      </c>
      <c r="S117" s="1" t="str">
        <f>IF(B117="","",B117&amp;"|"&amp;COUNTIF($B$5:B117,B117))</f>
        <v/>
      </c>
    </row>
    <row r="118" spans="2:19" x14ac:dyDescent="0.2">
      <c r="B118" s="11"/>
      <c r="C118" s="11"/>
      <c r="D118" s="10" t="str">
        <f t="shared" si="12"/>
        <v/>
      </c>
      <c r="E118" s="15" t="str">
        <f t="shared" si="13"/>
        <v/>
      </c>
      <c r="F118" s="11"/>
      <c r="G118" s="16" t="str">
        <f t="shared" si="14"/>
        <v/>
      </c>
      <c r="H118" s="17"/>
      <c r="I118" s="16" t="str">
        <f t="shared" si="15"/>
        <v/>
      </c>
      <c r="J118" s="16" t="str">
        <f t="shared" si="16"/>
        <v/>
      </c>
      <c r="K118" s="18" t="str">
        <f t="shared" si="17"/>
        <v/>
      </c>
      <c r="L118" s="16" t="str">
        <f t="shared" si="18"/>
        <v/>
      </c>
      <c r="M118" s="16" t="str">
        <f t="shared" si="19"/>
        <v/>
      </c>
      <c r="N118" s="16" t="str">
        <f t="shared" si="20"/>
        <v/>
      </c>
      <c r="O118" s="16" t="str">
        <f t="shared" si="21"/>
        <v/>
      </c>
      <c r="P118" s="16" t="str">
        <f t="shared" si="22"/>
        <v/>
      </c>
      <c r="Q118" s="18" t="str">
        <f t="shared" si="23"/>
        <v/>
      </c>
      <c r="R118" s="19" t="str">
        <f>IF(C118="","",IF(ISNA(MATCH(B118,'Registru oferte'!$B$5:$B$504,0)),"Oferta nu există în registru",IF(N(F118)&lt;=0,"Lipsește cantitatea",IF(AND(ISNUMBER(Q118),Q118&lt;MarjaMin),"Marjă sub minim ("&amp;TEXT(Q118*100,"0")&amp;"%)",""))))</f>
        <v/>
      </c>
      <c r="S118" s="1" t="str">
        <f>IF(B118="","",B118&amp;"|"&amp;COUNTIF($B$5:B118,B118))</f>
        <v/>
      </c>
    </row>
    <row r="119" spans="2:19" x14ac:dyDescent="0.2">
      <c r="B119" s="11"/>
      <c r="C119" s="11"/>
      <c r="D119" s="10" t="str">
        <f t="shared" si="12"/>
        <v/>
      </c>
      <c r="E119" s="15" t="str">
        <f t="shared" si="13"/>
        <v/>
      </c>
      <c r="F119" s="11"/>
      <c r="G119" s="16" t="str">
        <f t="shared" si="14"/>
        <v/>
      </c>
      <c r="H119" s="17"/>
      <c r="I119" s="16" t="str">
        <f t="shared" si="15"/>
        <v/>
      </c>
      <c r="J119" s="16" t="str">
        <f t="shared" si="16"/>
        <v/>
      </c>
      <c r="K119" s="18" t="str">
        <f t="shared" si="17"/>
        <v/>
      </c>
      <c r="L119" s="16" t="str">
        <f t="shared" si="18"/>
        <v/>
      </c>
      <c r="M119" s="16" t="str">
        <f t="shared" si="19"/>
        <v/>
      </c>
      <c r="N119" s="16" t="str">
        <f t="shared" si="20"/>
        <v/>
      </c>
      <c r="O119" s="16" t="str">
        <f t="shared" si="21"/>
        <v/>
      </c>
      <c r="P119" s="16" t="str">
        <f t="shared" si="22"/>
        <v/>
      </c>
      <c r="Q119" s="18" t="str">
        <f t="shared" si="23"/>
        <v/>
      </c>
      <c r="R119" s="19" t="str">
        <f>IF(C119="","",IF(ISNA(MATCH(B119,'Registru oferte'!$B$5:$B$504,0)),"Oferta nu există în registru",IF(N(F119)&lt;=0,"Lipsește cantitatea",IF(AND(ISNUMBER(Q119),Q119&lt;MarjaMin),"Marjă sub minim ("&amp;TEXT(Q119*100,"0")&amp;"%)",""))))</f>
        <v/>
      </c>
      <c r="S119" s="1" t="str">
        <f>IF(B119="","",B119&amp;"|"&amp;COUNTIF($B$5:B119,B119))</f>
        <v/>
      </c>
    </row>
    <row r="120" spans="2:19" x14ac:dyDescent="0.2">
      <c r="B120" s="11"/>
      <c r="C120" s="11"/>
      <c r="D120" s="10" t="str">
        <f t="shared" si="12"/>
        <v/>
      </c>
      <c r="E120" s="15" t="str">
        <f t="shared" si="13"/>
        <v/>
      </c>
      <c r="F120" s="11"/>
      <c r="G120" s="16" t="str">
        <f t="shared" si="14"/>
        <v/>
      </c>
      <c r="H120" s="17"/>
      <c r="I120" s="16" t="str">
        <f t="shared" si="15"/>
        <v/>
      </c>
      <c r="J120" s="16" t="str">
        <f t="shared" si="16"/>
        <v/>
      </c>
      <c r="K120" s="18" t="str">
        <f t="shared" si="17"/>
        <v/>
      </c>
      <c r="L120" s="16" t="str">
        <f t="shared" si="18"/>
        <v/>
      </c>
      <c r="M120" s="16" t="str">
        <f t="shared" si="19"/>
        <v/>
      </c>
      <c r="N120" s="16" t="str">
        <f t="shared" si="20"/>
        <v/>
      </c>
      <c r="O120" s="16" t="str">
        <f t="shared" si="21"/>
        <v/>
      </c>
      <c r="P120" s="16" t="str">
        <f t="shared" si="22"/>
        <v/>
      </c>
      <c r="Q120" s="18" t="str">
        <f t="shared" si="23"/>
        <v/>
      </c>
      <c r="R120" s="19" t="str">
        <f>IF(C120="","",IF(ISNA(MATCH(B120,'Registru oferte'!$B$5:$B$504,0)),"Oferta nu există în registru",IF(N(F120)&lt;=0,"Lipsește cantitatea",IF(AND(ISNUMBER(Q120),Q120&lt;MarjaMin),"Marjă sub minim ("&amp;TEXT(Q120*100,"0")&amp;"%)",""))))</f>
        <v/>
      </c>
      <c r="S120" s="1" t="str">
        <f>IF(B120="","",B120&amp;"|"&amp;COUNTIF($B$5:B120,B120))</f>
        <v/>
      </c>
    </row>
    <row r="121" spans="2:19" x14ac:dyDescent="0.2">
      <c r="B121" s="11"/>
      <c r="C121" s="11"/>
      <c r="D121" s="10" t="str">
        <f t="shared" si="12"/>
        <v/>
      </c>
      <c r="E121" s="15" t="str">
        <f t="shared" si="13"/>
        <v/>
      </c>
      <c r="F121" s="11"/>
      <c r="G121" s="16" t="str">
        <f t="shared" si="14"/>
        <v/>
      </c>
      <c r="H121" s="17"/>
      <c r="I121" s="16" t="str">
        <f t="shared" si="15"/>
        <v/>
      </c>
      <c r="J121" s="16" t="str">
        <f t="shared" si="16"/>
        <v/>
      </c>
      <c r="K121" s="18" t="str">
        <f t="shared" si="17"/>
        <v/>
      </c>
      <c r="L121" s="16" t="str">
        <f t="shared" si="18"/>
        <v/>
      </c>
      <c r="M121" s="16" t="str">
        <f t="shared" si="19"/>
        <v/>
      </c>
      <c r="N121" s="16" t="str">
        <f t="shared" si="20"/>
        <v/>
      </c>
      <c r="O121" s="16" t="str">
        <f t="shared" si="21"/>
        <v/>
      </c>
      <c r="P121" s="16" t="str">
        <f t="shared" si="22"/>
        <v/>
      </c>
      <c r="Q121" s="18" t="str">
        <f t="shared" si="23"/>
        <v/>
      </c>
      <c r="R121" s="19" t="str">
        <f>IF(C121="","",IF(ISNA(MATCH(B121,'Registru oferte'!$B$5:$B$504,0)),"Oferta nu există în registru",IF(N(F121)&lt;=0,"Lipsește cantitatea",IF(AND(ISNUMBER(Q121),Q121&lt;MarjaMin),"Marjă sub minim ("&amp;TEXT(Q121*100,"0")&amp;"%)",""))))</f>
        <v/>
      </c>
      <c r="S121" s="1" t="str">
        <f>IF(B121="","",B121&amp;"|"&amp;COUNTIF($B$5:B121,B121))</f>
        <v/>
      </c>
    </row>
    <row r="122" spans="2:19" x14ac:dyDescent="0.2">
      <c r="B122" s="11"/>
      <c r="C122" s="11"/>
      <c r="D122" s="10" t="str">
        <f t="shared" si="12"/>
        <v/>
      </c>
      <c r="E122" s="15" t="str">
        <f t="shared" si="13"/>
        <v/>
      </c>
      <c r="F122" s="11"/>
      <c r="G122" s="16" t="str">
        <f t="shared" si="14"/>
        <v/>
      </c>
      <c r="H122" s="17"/>
      <c r="I122" s="16" t="str">
        <f t="shared" si="15"/>
        <v/>
      </c>
      <c r="J122" s="16" t="str">
        <f t="shared" si="16"/>
        <v/>
      </c>
      <c r="K122" s="18" t="str">
        <f t="shared" si="17"/>
        <v/>
      </c>
      <c r="L122" s="16" t="str">
        <f t="shared" si="18"/>
        <v/>
      </c>
      <c r="M122" s="16" t="str">
        <f t="shared" si="19"/>
        <v/>
      </c>
      <c r="N122" s="16" t="str">
        <f t="shared" si="20"/>
        <v/>
      </c>
      <c r="O122" s="16" t="str">
        <f t="shared" si="21"/>
        <v/>
      </c>
      <c r="P122" s="16" t="str">
        <f t="shared" si="22"/>
        <v/>
      </c>
      <c r="Q122" s="18" t="str">
        <f t="shared" si="23"/>
        <v/>
      </c>
      <c r="R122" s="19" t="str">
        <f>IF(C122="","",IF(ISNA(MATCH(B122,'Registru oferte'!$B$5:$B$504,0)),"Oferta nu există în registru",IF(N(F122)&lt;=0,"Lipsește cantitatea",IF(AND(ISNUMBER(Q122),Q122&lt;MarjaMin),"Marjă sub minim ("&amp;TEXT(Q122*100,"0")&amp;"%)",""))))</f>
        <v/>
      </c>
      <c r="S122" s="1" t="str">
        <f>IF(B122="","",B122&amp;"|"&amp;COUNTIF($B$5:B122,B122))</f>
        <v/>
      </c>
    </row>
    <row r="123" spans="2:19" x14ac:dyDescent="0.2">
      <c r="B123" s="11"/>
      <c r="C123" s="11"/>
      <c r="D123" s="10" t="str">
        <f t="shared" si="12"/>
        <v/>
      </c>
      <c r="E123" s="15" t="str">
        <f t="shared" si="13"/>
        <v/>
      </c>
      <c r="F123" s="11"/>
      <c r="G123" s="16" t="str">
        <f t="shared" si="14"/>
        <v/>
      </c>
      <c r="H123" s="17"/>
      <c r="I123" s="16" t="str">
        <f t="shared" si="15"/>
        <v/>
      </c>
      <c r="J123" s="16" t="str">
        <f t="shared" si="16"/>
        <v/>
      </c>
      <c r="K123" s="18" t="str">
        <f t="shared" si="17"/>
        <v/>
      </c>
      <c r="L123" s="16" t="str">
        <f t="shared" si="18"/>
        <v/>
      </c>
      <c r="M123" s="16" t="str">
        <f t="shared" si="19"/>
        <v/>
      </c>
      <c r="N123" s="16" t="str">
        <f t="shared" si="20"/>
        <v/>
      </c>
      <c r="O123" s="16" t="str">
        <f t="shared" si="21"/>
        <v/>
      </c>
      <c r="P123" s="16" t="str">
        <f t="shared" si="22"/>
        <v/>
      </c>
      <c r="Q123" s="18" t="str">
        <f t="shared" si="23"/>
        <v/>
      </c>
      <c r="R123" s="19" t="str">
        <f>IF(C123="","",IF(ISNA(MATCH(B123,'Registru oferte'!$B$5:$B$504,0)),"Oferta nu există în registru",IF(N(F123)&lt;=0,"Lipsește cantitatea",IF(AND(ISNUMBER(Q123),Q123&lt;MarjaMin),"Marjă sub minim ("&amp;TEXT(Q123*100,"0")&amp;"%)",""))))</f>
        <v/>
      </c>
      <c r="S123" s="1" t="str">
        <f>IF(B123="","",B123&amp;"|"&amp;COUNTIF($B$5:B123,B123))</f>
        <v/>
      </c>
    </row>
    <row r="124" spans="2:19" x14ac:dyDescent="0.2">
      <c r="B124" s="11"/>
      <c r="C124" s="11"/>
      <c r="D124" s="10" t="str">
        <f t="shared" si="12"/>
        <v/>
      </c>
      <c r="E124" s="15" t="str">
        <f t="shared" si="13"/>
        <v/>
      </c>
      <c r="F124" s="11"/>
      <c r="G124" s="16" t="str">
        <f t="shared" si="14"/>
        <v/>
      </c>
      <c r="H124" s="17"/>
      <c r="I124" s="16" t="str">
        <f t="shared" si="15"/>
        <v/>
      </c>
      <c r="J124" s="16" t="str">
        <f t="shared" si="16"/>
        <v/>
      </c>
      <c r="K124" s="18" t="str">
        <f t="shared" si="17"/>
        <v/>
      </c>
      <c r="L124" s="16" t="str">
        <f t="shared" si="18"/>
        <v/>
      </c>
      <c r="M124" s="16" t="str">
        <f t="shared" si="19"/>
        <v/>
      </c>
      <c r="N124" s="16" t="str">
        <f t="shared" si="20"/>
        <v/>
      </c>
      <c r="O124" s="16" t="str">
        <f t="shared" si="21"/>
        <v/>
      </c>
      <c r="P124" s="16" t="str">
        <f t="shared" si="22"/>
        <v/>
      </c>
      <c r="Q124" s="18" t="str">
        <f t="shared" si="23"/>
        <v/>
      </c>
      <c r="R124" s="19" t="str">
        <f>IF(C124="","",IF(ISNA(MATCH(B124,'Registru oferte'!$B$5:$B$504,0)),"Oferta nu există în registru",IF(N(F124)&lt;=0,"Lipsește cantitatea",IF(AND(ISNUMBER(Q124),Q124&lt;MarjaMin),"Marjă sub minim ("&amp;TEXT(Q124*100,"0")&amp;"%)",""))))</f>
        <v/>
      </c>
      <c r="S124" s="1" t="str">
        <f>IF(B124="","",B124&amp;"|"&amp;COUNTIF($B$5:B124,B124))</f>
        <v/>
      </c>
    </row>
    <row r="125" spans="2:19" x14ac:dyDescent="0.2">
      <c r="B125" s="11"/>
      <c r="C125" s="11"/>
      <c r="D125" s="10" t="str">
        <f t="shared" si="12"/>
        <v/>
      </c>
      <c r="E125" s="15" t="str">
        <f t="shared" si="13"/>
        <v/>
      </c>
      <c r="F125" s="11"/>
      <c r="G125" s="16" t="str">
        <f t="shared" si="14"/>
        <v/>
      </c>
      <c r="H125" s="17"/>
      <c r="I125" s="16" t="str">
        <f t="shared" si="15"/>
        <v/>
      </c>
      <c r="J125" s="16" t="str">
        <f t="shared" si="16"/>
        <v/>
      </c>
      <c r="K125" s="18" t="str">
        <f t="shared" si="17"/>
        <v/>
      </c>
      <c r="L125" s="16" t="str">
        <f t="shared" si="18"/>
        <v/>
      </c>
      <c r="M125" s="16" t="str">
        <f t="shared" si="19"/>
        <v/>
      </c>
      <c r="N125" s="16" t="str">
        <f t="shared" si="20"/>
        <v/>
      </c>
      <c r="O125" s="16" t="str">
        <f t="shared" si="21"/>
        <v/>
      </c>
      <c r="P125" s="16" t="str">
        <f t="shared" si="22"/>
        <v/>
      </c>
      <c r="Q125" s="18" t="str">
        <f t="shared" si="23"/>
        <v/>
      </c>
      <c r="R125" s="19" t="str">
        <f>IF(C125="","",IF(ISNA(MATCH(B125,'Registru oferte'!$B$5:$B$504,0)),"Oferta nu există în registru",IF(N(F125)&lt;=0,"Lipsește cantitatea",IF(AND(ISNUMBER(Q125),Q125&lt;MarjaMin),"Marjă sub minim ("&amp;TEXT(Q125*100,"0")&amp;"%)",""))))</f>
        <v/>
      </c>
      <c r="S125" s="1" t="str">
        <f>IF(B125="","",B125&amp;"|"&amp;COUNTIF($B$5:B125,B125))</f>
        <v/>
      </c>
    </row>
    <row r="126" spans="2:19" x14ac:dyDescent="0.2">
      <c r="B126" s="11"/>
      <c r="C126" s="11"/>
      <c r="D126" s="10" t="str">
        <f t="shared" si="12"/>
        <v/>
      </c>
      <c r="E126" s="15" t="str">
        <f t="shared" si="13"/>
        <v/>
      </c>
      <c r="F126" s="11"/>
      <c r="G126" s="16" t="str">
        <f t="shared" si="14"/>
        <v/>
      </c>
      <c r="H126" s="17"/>
      <c r="I126" s="16" t="str">
        <f t="shared" si="15"/>
        <v/>
      </c>
      <c r="J126" s="16" t="str">
        <f t="shared" si="16"/>
        <v/>
      </c>
      <c r="K126" s="18" t="str">
        <f t="shared" si="17"/>
        <v/>
      </c>
      <c r="L126" s="16" t="str">
        <f t="shared" si="18"/>
        <v/>
      </c>
      <c r="M126" s="16" t="str">
        <f t="shared" si="19"/>
        <v/>
      </c>
      <c r="N126" s="16" t="str">
        <f t="shared" si="20"/>
        <v/>
      </c>
      <c r="O126" s="16" t="str">
        <f t="shared" si="21"/>
        <v/>
      </c>
      <c r="P126" s="16" t="str">
        <f t="shared" si="22"/>
        <v/>
      </c>
      <c r="Q126" s="18" t="str">
        <f t="shared" si="23"/>
        <v/>
      </c>
      <c r="R126" s="19" t="str">
        <f>IF(C126="","",IF(ISNA(MATCH(B126,'Registru oferte'!$B$5:$B$504,0)),"Oferta nu există în registru",IF(N(F126)&lt;=0,"Lipsește cantitatea",IF(AND(ISNUMBER(Q126),Q126&lt;MarjaMin),"Marjă sub minim ("&amp;TEXT(Q126*100,"0")&amp;"%)",""))))</f>
        <v/>
      </c>
      <c r="S126" s="1" t="str">
        <f>IF(B126="","",B126&amp;"|"&amp;COUNTIF($B$5:B126,B126))</f>
        <v/>
      </c>
    </row>
    <row r="127" spans="2:19" x14ac:dyDescent="0.2">
      <c r="B127" s="11"/>
      <c r="C127" s="11"/>
      <c r="D127" s="10" t="str">
        <f t="shared" si="12"/>
        <v/>
      </c>
      <c r="E127" s="15" t="str">
        <f t="shared" si="13"/>
        <v/>
      </c>
      <c r="F127" s="11"/>
      <c r="G127" s="16" t="str">
        <f t="shared" si="14"/>
        <v/>
      </c>
      <c r="H127" s="17"/>
      <c r="I127" s="16" t="str">
        <f t="shared" si="15"/>
        <v/>
      </c>
      <c r="J127" s="16" t="str">
        <f t="shared" si="16"/>
        <v/>
      </c>
      <c r="K127" s="18" t="str">
        <f t="shared" si="17"/>
        <v/>
      </c>
      <c r="L127" s="16" t="str">
        <f t="shared" si="18"/>
        <v/>
      </c>
      <c r="M127" s="16" t="str">
        <f t="shared" si="19"/>
        <v/>
      </c>
      <c r="N127" s="16" t="str">
        <f t="shared" si="20"/>
        <v/>
      </c>
      <c r="O127" s="16" t="str">
        <f t="shared" si="21"/>
        <v/>
      </c>
      <c r="P127" s="16" t="str">
        <f t="shared" si="22"/>
        <v/>
      </c>
      <c r="Q127" s="18" t="str">
        <f t="shared" si="23"/>
        <v/>
      </c>
      <c r="R127" s="19" t="str">
        <f>IF(C127="","",IF(ISNA(MATCH(B127,'Registru oferte'!$B$5:$B$504,0)),"Oferta nu există în registru",IF(N(F127)&lt;=0,"Lipsește cantitatea",IF(AND(ISNUMBER(Q127),Q127&lt;MarjaMin),"Marjă sub minim ("&amp;TEXT(Q127*100,"0")&amp;"%)",""))))</f>
        <v/>
      </c>
      <c r="S127" s="1" t="str">
        <f>IF(B127="","",B127&amp;"|"&amp;COUNTIF($B$5:B127,B127))</f>
        <v/>
      </c>
    </row>
    <row r="128" spans="2:19" x14ac:dyDescent="0.2">
      <c r="B128" s="11"/>
      <c r="C128" s="11"/>
      <c r="D128" s="10" t="str">
        <f t="shared" si="12"/>
        <v/>
      </c>
      <c r="E128" s="15" t="str">
        <f t="shared" si="13"/>
        <v/>
      </c>
      <c r="F128" s="11"/>
      <c r="G128" s="16" t="str">
        <f t="shared" si="14"/>
        <v/>
      </c>
      <c r="H128" s="17"/>
      <c r="I128" s="16" t="str">
        <f t="shared" si="15"/>
        <v/>
      </c>
      <c r="J128" s="16" t="str">
        <f t="shared" si="16"/>
        <v/>
      </c>
      <c r="K128" s="18" t="str">
        <f t="shared" si="17"/>
        <v/>
      </c>
      <c r="L128" s="16" t="str">
        <f t="shared" si="18"/>
        <v/>
      </c>
      <c r="M128" s="16" t="str">
        <f t="shared" si="19"/>
        <v/>
      </c>
      <c r="N128" s="16" t="str">
        <f t="shared" si="20"/>
        <v/>
      </c>
      <c r="O128" s="16" t="str">
        <f t="shared" si="21"/>
        <v/>
      </c>
      <c r="P128" s="16" t="str">
        <f t="shared" si="22"/>
        <v/>
      </c>
      <c r="Q128" s="18" t="str">
        <f t="shared" si="23"/>
        <v/>
      </c>
      <c r="R128" s="19" t="str">
        <f>IF(C128="","",IF(ISNA(MATCH(B128,'Registru oferte'!$B$5:$B$504,0)),"Oferta nu există în registru",IF(N(F128)&lt;=0,"Lipsește cantitatea",IF(AND(ISNUMBER(Q128),Q128&lt;MarjaMin),"Marjă sub minim ("&amp;TEXT(Q128*100,"0")&amp;"%)",""))))</f>
        <v/>
      </c>
      <c r="S128" s="1" t="str">
        <f>IF(B128="","",B128&amp;"|"&amp;COUNTIF($B$5:B128,B128))</f>
        <v/>
      </c>
    </row>
    <row r="129" spans="2:19" x14ac:dyDescent="0.2">
      <c r="B129" s="11"/>
      <c r="C129" s="11"/>
      <c r="D129" s="10" t="str">
        <f t="shared" si="12"/>
        <v/>
      </c>
      <c r="E129" s="15" t="str">
        <f t="shared" si="13"/>
        <v/>
      </c>
      <c r="F129" s="11"/>
      <c r="G129" s="16" t="str">
        <f t="shared" si="14"/>
        <v/>
      </c>
      <c r="H129" s="17"/>
      <c r="I129" s="16" t="str">
        <f t="shared" si="15"/>
        <v/>
      </c>
      <c r="J129" s="16" t="str">
        <f t="shared" si="16"/>
        <v/>
      </c>
      <c r="K129" s="18" t="str">
        <f t="shared" si="17"/>
        <v/>
      </c>
      <c r="L129" s="16" t="str">
        <f t="shared" si="18"/>
        <v/>
      </c>
      <c r="M129" s="16" t="str">
        <f t="shared" si="19"/>
        <v/>
      </c>
      <c r="N129" s="16" t="str">
        <f t="shared" si="20"/>
        <v/>
      </c>
      <c r="O129" s="16" t="str">
        <f t="shared" si="21"/>
        <v/>
      </c>
      <c r="P129" s="16" t="str">
        <f t="shared" si="22"/>
        <v/>
      </c>
      <c r="Q129" s="18" t="str">
        <f t="shared" si="23"/>
        <v/>
      </c>
      <c r="R129" s="19" t="str">
        <f>IF(C129="","",IF(ISNA(MATCH(B129,'Registru oferte'!$B$5:$B$504,0)),"Oferta nu există în registru",IF(N(F129)&lt;=0,"Lipsește cantitatea",IF(AND(ISNUMBER(Q129),Q129&lt;MarjaMin),"Marjă sub minim ("&amp;TEXT(Q129*100,"0")&amp;"%)",""))))</f>
        <v/>
      </c>
      <c r="S129" s="1" t="str">
        <f>IF(B129="","",B129&amp;"|"&amp;COUNTIF($B$5:B129,B129))</f>
        <v/>
      </c>
    </row>
    <row r="130" spans="2:19" x14ac:dyDescent="0.2">
      <c r="B130" s="11"/>
      <c r="C130" s="11"/>
      <c r="D130" s="10" t="str">
        <f t="shared" si="12"/>
        <v/>
      </c>
      <c r="E130" s="15" t="str">
        <f t="shared" si="13"/>
        <v/>
      </c>
      <c r="F130" s="11"/>
      <c r="G130" s="16" t="str">
        <f t="shared" si="14"/>
        <v/>
      </c>
      <c r="H130" s="17"/>
      <c r="I130" s="16" t="str">
        <f t="shared" si="15"/>
        <v/>
      </c>
      <c r="J130" s="16" t="str">
        <f t="shared" si="16"/>
        <v/>
      </c>
      <c r="K130" s="18" t="str">
        <f t="shared" si="17"/>
        <v/>
      </c>
      <c r="L130" s="16" t="str">
        <f t="shared" si="18"/>
        <v/>
      </c>
      <c r="M130" s="16" t="str">
        <f t="shared" si="19"/>
        <v/>
      </c>
      <c r="N130" s="16" t="str">
        <f t="shared" si="20"/>
        <v/>
      </c>
      <c r="O130" s="16" t="str">
        <f t="shared" si="21"/>
        <v/>
      </c>
      <c r="P130" s="16" t="str">
        <f t="shared" si="22"/>
        <v/>
      </c>
      <c r="Q130" s="18" t="str">
        <f t="shared" si="23"/>
        <v/>
      </c>
      <c r="R130" s="19" t="str">
        <f>IF(C130="","",IF(ISNA(MATCH(B130,'Registru oferte'!$B$5:$B$504,0)),"Oferta nu există în registru",IF(N(F130)&lt;=0,"Lipsește cantitatea",IF(AND(ISNUMBER(Q130),Q130&lt;MarjaMin),"Marjă sub minim ("&amp;TEXT(Q130*100,"0")&amp;"%)",""))))</f>
        <v/>
      </c>
      <c r="S130" s="1" t="str">
        <f>IF(B130="","",B130&amp;"|"&amp;COUNTIF($B$5:B130,B130))</f>
        <v/>
      </c>
    </row>
    <row r="131" spans="2:19" x14ac:dyDescent="0.2">
      <c r="B131" s="11"/>
      <c r="C131" s="11"/>
      <c r="D131" s="10" t="str">
        <f t="shared" si="12"/>
        <v/>
      </c>
      <c r="E131" s="15" t="str">
        <f t="shared" si="13"/>
        <v/>
      </c>
      <c r="F131" s="11"/>
      <c r="G131" s="16" t="str">
        <f t="shared" si="14"/>
        <v/>
      </c>
      <c r="H131" s="17"/>
      <c r="I131" s="16" t="str">
        <f t="shared" si="15"/>
        <v/>
      </c>
      <c r="J131" s="16" t="str">
        <f t="shared" si="16"/>
        <v/>
      </c>
      <c r="K131" s="18" t="str">
        <f t="shared" si="17"/>
        <v/>
      </c>
      <c r="L131" s="16" t="str">
        <f t="shared" si="18"/>
        <v/>
      </c>
      <c r="M131" s="16" t="str">
        <f t="shared" si="19"/>
        <v/>
      </c>
      <c r="N131" s="16" t="str">
        <f t="shared" si="20"/>
        <v/>
      </c>
      <c r="O131" s="16" t="str">
        <f t="shared" si="21"/>
        <v/>
      </c>
      <c r="P131" s="16" t="str">
        <f t="shared" si="22"/>
        <v/>
      </c>
      <c r="Q131" s="18" t="str">
        <f t="shared" si="23"/>
        <v/>
      </c>
      <c r="R131" s="19" t="str">
        <f>IF(C131="","",IF(ISNA(MATCH(B131,'Registru oferte'!$B$5:$B$504,0)),"Oferta nu există în registru",IF(N(F131)&lt;=0,"Lipsește cantitatea",IF(AND(ISNUMBER(Q131),Q131&lt;MarjaMin),"Marjă sub minim ("&amp;TEXT(Q131*100,"0")&amp;"%)",""))))</f>
        <v/>
      </c>
      <c r="S131" s="1" t="str">
        <f>IF(B131="","",B131&amp;"|"&amp;COUNTIF($B$5:B131,B131))</f>
        <v/>
      </c>
    </row>
    <row r="132" spans="2:19" x14ac:dyDescent="0.2">
      <c r="B132" s="11"/>
      <c r="C132" s="11"/>
      <c r="D132" s="10" t="str">
        <f t="shared" si="12"/>
        <v/>
      </c>
      <c r="E132" s="15" t="str">
        <f t="shared" si="13"/>
        <v/>
      </c>
      <c r="F132" s="11"/>
      <c r="G132" s="16" t="str">
        <f t="shared" si="14"/>
        <v/>
      </c>
      <c r="H132" s="17"/>
      <c r="I132" s="16" t="str">
        <f t="shared" si="15"/>
        <v/>
      </c>
      <c r="J132" s="16" t="str">
        <f t="shared" si="16"/>
        <v/>
      </c>
      <c r="K132" s="18" t="str">
        <f t="shared" si="17"/>
        <v/>
      </c>
      <c r="L132" s="16" t="str">
        <f t="shared" si="18"/>
        <v/>
      </c>
      <c r="M132" s="16" t="str">
        <f t="shared" si="19"/>
        <v/>
      </c>
      <c r="N132" s="16" t="str">
        <f t="shared" si="20"/>
        <v/>
      </c>
      <c r="O132" s="16" t="str">
        <f t="shared" si="21"/>
        <v/>
      </c>
      <c r="P132" s="16" t="str">
        <f t="shared" si="22"/>
        <v/>
      </c>
      <c r="Q132" s="18" t="str">
        <f t="shared" si="23"/>
        <v/>
      </c>
      <c r="R132" s="19" t="str">
        <f>IF(C132="","",IF(ISNA(MATCH(B132,'Registru oferte'!$B$5:$B$504,0)),"Oferta nu există în registru",IF(N(F132)&lt;=0,"Lipsește cantitatea",IF(AND(ISNUMBER(Q132),Q132&lt;MarjaMin),"Marjă sub minim ("&amp;TEXT(Q132*100,"0")&amp;"%)",""))))</f>
        <v/>
      </c>
      <c r="S132" s="1" t="str">
        <f>IF(B132="","",B132&amp;"|"&amp;COUNTIF($B$5:B132,B132))</f>
        <v/>
      </c>
    </row>
    <row r="133" spans="2:19" x14ac:dyDescent="0.2">
      <c r="B133" s="11"/>
      <c r="C133" s="11"/>
      <c r="D133" s="10" t="str">
        <f t="shared" ref="D133:D196" si="24">IF(C133="","",IFERROR(VLOOKUP(C133,TabCat,2,FALSE),"Cod inexistent"))</f>
        <v/>
      </c>
      <c r="E133" s="15" t="str">
        <f t="shared" ref="E133:E196" si="25">IF(C133="","",IFERROR(VLOOKUP(C133,TabCat,3,FALSE),""))</f>
        <v/>
      </c>
      <c r="F133" s="11"/>
      <c r="G133" s="16" t="str">
        <f t="shared" ref="G133:G196" si="26">IF(C133="","",IFERROR(VLOOKUP(C133,TabCat,4,FALSE),0))</f>
        <v/>
      </c>
      <c r="H133" s="17"/>
      <c r="I133" s="16" t="str">
        <f t="shared" ref="I133:I196" si="27">IF(C133="","",ROUND(G133*(1-N(H133)),2))</f>
        <v/>
      </c>
      <c r="J133" s="16" t="str">
        <f t="shared" ref="J133:J196" si="28">IF(C133="","",ROUND(I133*N(F133),2))</f>
        <v/>
      </c>
      <c r="K133" s="18" t="str">
        <f t="shared" ref="K133:K196" si="29">IF(C133="","",IFERROR(VLOOKUP(C133,TabCat,6,FALSE),0))</f>
        <v/>
      </c>
      <c r="L133" s="16" t="str">
        <f t="shared" ref="L133:L196" si="30">IF(C133="","",ROUND(J133*K133,2))</f>
        <v/>
      </c>
      <c r="M133" s="16" t="str">
        <f t="shared" ref="M133:M196" si="31">IF(C133="","",J133+L133)</f>
        <v/>
      </c>
      <c r="N133" s="16" t="str">
        <f t="shared" ref="N133:N196" si="32">IF(C133="","",IFERROR(VLOOKUP(C133,TabCat,5,FALSE),0))</f>
        <v/>
      </c>
      <c r="O133" s="16" t="str">
        <f t="shared" ref="O133:O196" si="33">IF(C133="","",ROUND(N133*N(F133),2))</f>
        <v/>
      </c>
      <c r="P133" s="16" t="str">
        <f t="shared" ref="P133:P196" si="34">IF(C133="","",J133-O133)</f>
        <v/>
      </c>
      <c r="Q133" s="18" t="str">
        <f t="shared" ref="Q133:Q196" si="35">IF(OR(C133="",N(J133)=0),"",P133/J133)</f>
        <v/>
      </c>
      <c r="R133" s="19" t="str">
        <f>IF(C133="","",IF(ISNA(MATCH(B133,'Registru oferte'!$B$5:$B$504,0)),"Oferta nu există în registru",IF(N(F133)&lt;=0,"Lipsește cantitatea",IF(AND(ISNUMBER(Q133),Q133&lt;MarjaMin),"Marjă sub minim ("&amp;TEXT(Q133*100,"0")&amp;"%)",""))))</f>
        <v/>
      </c>
      <c r="S133" s="1" t="str">
        <f>IF(B133="","",B133&amp;"|"&amp;COUNTIF($B$5:B133,B133))</f>
        <v/>
      </c>
    </row>
    <row r="134" spans="2:19" x14ac:dyDescent="0.2">
      <c r="B134" s="11"/>
      <c r="C134" s="11"/>
      <c r="D134" s="10" t="str">
        <f t="shared" si="24"/>
        <v/>
      </c>
      <c r="E134" s="15" t="str">
        <f t="shared" si="25"/>
        <v/>
      </c>
      <c r="F134" s="11"/>
      <c r="G134" s="16" t="str">
        <f t="shared" si="26"/>
        <v/>
      </c>
      <c r="H134" s="17"/>
      <c r="I134" s="16" t="str">
        <f t="shared" si="27"/>
        <v/>
      </c>
      <c r="J134" s="16" t="str">
        <f t="shared" si="28"/>
        <v/>
      </c>
      <c r="K134" s="18" t="str">
        <f t="shared" si="29"/>
        <v/>
      </c>
      <c r="L134" s="16" t="str">
        <f t="shared" si="30"/>
        <v/>
      </c>
      <c r="M134" s="16" t="str">
        <f t="shared" si="31"/>
        <v/>
      </c>
      <c r="N134" s="16" t="str">
        <f t="shared" si="32"/>
        <v/>
      </c>
      <c r="O134" s="16" t="str">
        <f t="shared" si="33"/>
        <v/>
      </c>
      <c r="P134" s="16" t="str">
        <f t="shared" si="34"/>
        <v/>
      </c>
      <c r="Q134" s="18" t="str">
        <f t="shared" si="35"/>
        <v/>
      </c>
      <c r="R134" s="19" t="str">
        <f>IF(C134="","",IF(ISNA(MATCH(B134,'Registru oferte'!$B$5:$B$504,0)),"Oferta nu există în registru",IF(N(F134)&lt;=0,"Lipsește cantitatea",IF(AND(ISNUMBER(Q134),Q134&lt;MarjaMin),"Marjă sub minim ("&amp;TEXT(Q134*100,"0")&amp;"%)",""))))</f>
        <v/>
      </c>
      <c r="S134" s="1" t="str">
        <f>IF(B134="","",B134&amp;"|"&amp;COUNTIF($B$5:B134,B134))</f>
        <v/>
      </c>
    </row>
    <row r="135" spans="2:19" x14ac:dyDescent="0.2">
      <c r="B135" s="11"/>
      <c r="C135" s="11"/>
      <c r="D135" s="10" t="str">
        <f t="shared" si="24"/>
        <v/>
      </c>
      <c r="E135" s="15" t="str">
        <f t="shared" si="25"/>
        <v/>
      </c>
      <c r="F135" s="11"/>
      <c r="G135" s="16" t="str">
        <f t="shared" si="26"/>
        <v/>
      </c>
      <c r="H135" s="17"/>
      <c r="I135" s="16" t="str">
        <f t="shared" si="27"/>
        <v/>
      </c>
      <c r="J135" s="16" t="str">
        <f t="shared" si="28"/>
        <v/>
      </c>
      <c r="K135" s="18" t="str">
        <f t="shared" si="29"/>
        <v/>
      </c>
      <c r="L135" s="16" t="str">
        <f t="shared" si="30"/>
        <v/>
      </c>
      <c r="M135" s="16" t="str">
        <f t="shared" si="31"/>
        <v/>
      </c>
      <c r="N135" s="16" t="str">
        <f t="shared" si="32"/>
        <v/>
      </c>
      <c r="O135" s="16" t="str">
        <f t="shared" si="33"/>
        <v/>
      </c>
      <c r="P135" s="16" t="str">
        <f t="shared" si="34"/>
        <v/>
      </c>
      <c r="Q135" s="18" t="str">
        <f t="shared" si="35"/>
        <v/>
      </c>
      <c r="R135" s="19" t="str">
        <f>IF(C135="","",IF(ISNA(MATCH(B135,'Registru oferte'!$B$5:$B$504,0)),"Oferta nu există în registru",IF(N(F135)&lt;=0,"Lipsește cantitatea",IF(AND(ISNUMBER(Q135),Q135&lt;MarjaMin),"Marjă sub minim ("&amp;TEXT(Q135*100,"0")&amp;"%)",""))))</f>
        <v/>
      </c>
      <c r="S135" s="1" t="str">
        <f>IF(B135="","",B135&amp;"|"&amp;COUNTIF($B$5:B135,B135))</f>
        <v/>
      </c>
    </row>
    <row r="136" spans="2:19" x14ac:dyDescent="0.2">
      <c r="B136" s="11"/>
      <c r="C136" s="11"/>
      <c r="D136" s="10" t="str">
        <f t="shared" si="24"/>
        <v/>
      </c>
      <c r="E136" s="15" t="str">
        <f t="shared" si="25"/>
        <v/>
      </c>
      <c r="F136" s="11"/>
      <c r="G136" s="16" t="str">
        <f t="shared" si="26"/>
        <v/>
      </c>
      <c r="H136" s="17"/>
      <c r="I136" s="16" t="str">
        <f t="shared" si="27"/>
        <v/>
      </c>
      <c r="J136" s="16" t="str">
        <f t="shared" si="28"/>
        <v/>
      </c>
      <c r="K136" s="18" t="str">
        <f t="shared" si="29"/>
        <v/>
      </c>
      <c r="L136" s="16" t="str">
        <f t="shared" si="30"/>
        <v/>
      </c>
      <c r="M136" s="16" t="str">
        <f t="shared" si="31"/>
        <v/>
      </c>
      <c r="N136" s="16" t="str">
        <f t="shared" si="32"/>
        <v/>
      </c>
      <c r="O136" s="16" t="str">
        <f t="shared" si="33"/>
        <v/>
      </c>
      <c r="P136" s="16" t="str">
        <f t="shared" si="34"/>
        <v/>
      </c>
      <c r="Q136" s="18" t="str">
        <f t="shared" si="35"/>
        <v/>
      </c>
      <c r="R136" s="19" t="str">
        <f>IF(C136="","",IF(ISNA(MATCH(B136,'Registru oferte'!$B$5:$B$504,0)),"Oferta nu există în registru",IF(N(F136)&lt;=0,"Lipsește cantitatea",IF(AND(ISNUMBER(Q136),Q136&lt;MarjaMin),"Marjă sub minim ("&amp;TEXT(Q136*100,"0")&amp;"%)",""))))</f>
        <v/>
      </c>
      <c r="S136" s="1" t="str">
        <f>IF(B136="","",B136&amp;"|"&amp;COUNTIF($B$5:B136,B136))</f>
        <v/>
      </c>
    </row>
    <row r="137" spans="2:19" x14ac:dyDescent="0.2">
      <c r="B137" s="11"/>
      <c r="C137" s="11"/>
      <c r="D137" s="10" t="str">
        <f t="shared" si="24"/>
        <v/>
      </c>
      <c r="E137" s="15" t="str">
        <f t="shared" si="25"/>
        <v/>
      </c>
      <c r="F137" s="11"/>
      <c r="G137" s="16" t="str">
        <f t="shared" si="26"/>
        <v/>
      </c>
      <c r="H137" s="17"/>
      <c r="I137" s="16" t="str">
        <f t="shared" si="27"/>
        <v/>
      </c>
      <c r="J137" s="16" t="str">
        <f t="shared" si="28"/>
        <v/>
      </c>
      <c r="K137" s="18" t="str">
        <f t="shared" si="29"/>
        <v/>
      </c>
      <c r="L137" s="16" t="str">
        <f t="shared" si="30"/>
        <v/>
      </c>
      <c r="M137" s="16" t="str">
        <f t="shared" si="31"/>
        <v/>
      </c>
      <c r="N137" s="16" t="str">
        <f t="shared" si="32"/>
        <v/>
      </c>
      <c r="O137" s="16" t="str">
        <f t="shared" si="33"/>
        <v/>
      </c>
      <c r="P137" s="16" t="str">
        <f t="shared" si="34"/>
        <v/>
      </c>
      <c r="Q137" s="18" t="str">
        <f t="shared" si="35"/>
        <v/>
      </c>
      <c r="R137" s="19" t="str">
        <f>IF(C137="","",IF(ISNA(MATCH(B137,'Registru oferte'!$B$5:$B$504,0)),"Oferta nu există în registru",IF(N(F137)&lt;=0,"Lipsește cantitatea",IF(AND(ISNUMBER(Q137),Q137&lt;MarjaMin),"Marjă sub minim ("&amp;TEXT(Q137*100,"0")&amp;"%)",""))))</f>
        <v/>
      </c>
      <c r="S137" s="1" t="str">
        <f>IF(B137="","",B137&amp;"|"&amp;COUNTIF($B$5:B137,B137))</f>
        <v/>
      </c>
    </row>
    <row r="138" spans="2:19" x14ac:dyDescent="0.2">
      <c r="B138" s="11"/>
      <c r="C138" s="11"/>
      <c r="D138" s="10" t="str">
        <f t="shared" si="24"/>
        <v/>
      </c>
      <c r="E138" s="15" t="str">
        <f t="shared" si="25"/>
        <v/>
      </c>
      <c r="F138" s="11"/>
      <c r="G138" s="16" t="str">
        <f t="shared" si="26"/>
        <v/>
      </c>
      <c r="H138" s="17"/>
      <c r="I138" s="16" t="str">
        <f t="shared" si="27"/>
        <v/>
      </c>
      <c r="J138" s="16" t="str">
        <f t="shared" si="28"/>
        <v/>
      </c>
      <c r="K138" s="18" t="str">
        <f t="shared" si="29"/>
        <v/>
      </c>
      <c r="L138" s="16" t="str">
        <f t="shared" si="30"/>
        <v/>
      </c>
      <c r="M138" s="16" t="str">
        <f t="shared" si="31"/>
        <v/>
      </c>
      <c r="N138" s="16" t="str">
        <f t="shared" si="32"/>
        <v/>
      </c>
      <c r="O138" s="16" t="str">
        <f t="shared" si="33"/>
        <v/>
      </c>
      <c r="P138" s="16" t="str">
        <f t="shared" si="34"/>
        <v/>
      </c>
      <c r="Q138" s="18" t="str">
        <f t="shared" si="35"/>
        <v/>
      </c>
      <c r="R138" s="19" t="str">
        <f>IF(C138="","",IF(ISNA(MATCH(B138,'Registru oferte'!$B$5:$B$504,0)),"Oferta nu există în registru",IF(N(F138)&lt;=0,"Lipsește cantitatea",IF(AND(ISNUMBER(Q138),Q138&lt;MarjaMin),"Marjă sub minim ("&amp;TEXT(Q138*100,"0")&amp;"%)",""))))</f>
        <v/>
      </c>
      <c r="S138" s="1" t="str">
        <f>IF(B138="","",B138&amp;"|"&amp;COUNTIF($B$5:B138,B138))</f>
        <v/>
      </c>
    </row>
    <row r="139" spans="2:19" x14ac:dyDescent="0.2">
      <c r="B139" s="11"/>
      <c r="C139" s="11"/>
      <c r="D139" s="10" t="str">
        <f t="shared" si="24"/>
        <v/>
      </c>
      <c r="E139" s="15" t="str">
        <f t="shared" si="25"/>
        <v/>
      </c>
      <c r="F139" s="11"/>
      <c r="G139" s="16" t="str">
        <f t="shared" si="26"/>
        <v/>
      </c>
      <c r="H139" s="17"/>
      <c r="I139" s="16" t="str">
        <f t="shared" si="27"/>
        <v/>
      </c>
      <c r="J139" s="16" t="str">
        <f t="shared" si="28"/>
        <v/>
      </c>
      <c r="K139" s="18" t="str">
        <f t="shared" si="29"/>
        <v/>
      </c>
      <c r="L139" s="16" t="str">
        <f t="shared" si="30"/>
        <v/>
      </c>
      <c r="M139" s="16" t="str">
        <f t="shared" si="31"/>
        <v/>
      </c>
      <c r="N139" s="16" t="str">
        <f t="shared" si="32"/>
        <v/>
      </c>
      <c r="O139" s="16" t="str">
        <f t="shared" si="33"/>
        <v/>
      </c>
      <c r="P139" s="16" t="str">
        <f t="shared" si="34"/>
        <v/>
      </c>
      <c r="Q139" s="18" t="str">
        <f t="shared" si="35"/>
        <v/>
      </c>
      <c r="R139" s="19" t="str">
        <f>IF(C139="","",IF(ISNA(MATCH(B139,'Registru oferte'!$B$5:$B$504,0)),"Oferta nu există în registru",IF(N(F139)&lt;=0,"Lipsește cantitatea",IF(AND(ISNUMBER(Q139),Q139&lt;MarjaMin),"Marjă sub minim ("&amp;TEXT(Q139*100,"0")&amp;"%)",""))))</f>
        <v/>
      </c>
      <c r="S139" s="1" t="str">
        <f>IF(B139="","",B139&amp;"|"&amp;COUNTIF($B$5:B139,B139))</f>
        <v/>
      </c>
    </row>
    <row r="140" spans="2:19" x14ac:dyDescent="0.2">
      <c r="B140" s="11"/>
      <c r="C140" s="11"/>
      <c r="D140" s="10" t="str">
        <f t="shared" si="24"/>
        <v/>
      </c>
      <c r="E140" s="15" t="str">
        <f t="shared" si="25"/>
        <v/>
      </c>
      <c r="F140" s="11"/>
      <c r="G140" s="16" t="str">
        <f t="shared" si="26"/>
        <v/>
      </c>
      <c r="H140" s="17"/>
      <c r="I140" s="16" t="str">
        <f t="shared" si="27"/>
        <v/>
      </c>
      <c r="J140" s="16" t="str">
        <f t="shared" si="28"/>
        <v/>
      </c>
      <c r="K140" s="18" t="str">
        <f t="shared" si="29"/>
        <v/>
      </c>
      <c r="L140" s="16" t="str">
        <f t="shared" si="30"/>
        <v/>
      </c>
      <c r="M140" s="16" t="str">
        <f t="shared" si="31"/>
        <v/>
      </c>
      <c r="N140" s="16" t="str">
        <f t="shared" si="32"/>
        <v/>
      </c>
      <c r="O140" s="16" t="str">
        <f t="shared" si="33"/>
        <v/>
      </c>
      <c r="P140" s="16" t="str">
        <f t="shared" si="34"/>
        <v/>
      </c>
      <c r="Q140" s="18" t="str">
        <f t="shared" si="35"/>
        <v/>
      </c>
      <c r="R140" s="19" t="str">
        <f>IF(C140="","",IF(ISNA(MATCH(B140,'Registru oferte'!$B$5:$B$504,0)),"Oferta nu există în registru",IF(N(F140)&lt;=0,"Lipsește cantitatea",IF(AND(ISNUMBER(Q140),Q140&lt;MarjaMin),"Marjă sub minim ("&amp;TEXT(Q140*100,"0")&amp;"%)",""))))</f>
        <v/>
      </c>
      <c r="S140" s="1" t="str">
        <f>IF(B140="","",B140&amp;"|"&amp;COUNTIF($B$5:B140,B140))</f>
        <v/>
      </c>
    </row>
    <row r="141" spans="2:19" x14ac:dyDescent="0.2">
      <c r="B141" s="11"/>
      <c r="C141" s="11"/>
      <c r="D141" s="10" t="str">
        <f t="shared" si="24"/>
        <v/>
      </c>
      <c r="E141" s="15" t="str">
        <f t="shared" si="25"/>
        <v/>
      </c>
      <c r="F141" s="11"/>
      <c r="G141" s="16" t="str">
        <f t="shared" si="26"/>
        <v/>
      </c>
      <c r="H141" s="17"/>
      <c r="I141" s="16" t="str">
        <f t="shared" si="27"/>
        <v/>
      </c>
      <c r="J141" s="16" t="str">
        <f t="shared" si="28"/>
        <v/>
      </c>
      <c r="K141" s="18" t="str">
        <f t="shared" si="29"/>
        <v/>
      </c>
      <c r="L141" s="16" t="str">
        <f t="shared" si="30"/>
        <v/>
      </c>
      <c r="M141" s="16" t="str">
        <f t="shared" si="31"/>
        <v/>
      </c>
      <c r="N141" s="16" t="str">
        <f t="shared" si="32"/>
        <v/>
      </c>
      <c r="O141" s="16" t="str">
        <f t="shared" si="33"/>
        <v/>
      </c>
      <c r="P141" s="16" t="str">
        <f t="shared" si="34"/>
        <v/>
      </c>
      <c r="Q141" s="18" t="str">
        <f t="shared" si="35"/>
        <v/>
      </c>
      <c r="R141" s="19" t="str">
        <f>IF(C141="","",IF(ISNA(MATCH(B141,'Registru oferte'!$B$5:$B$504,0)),"Oferta nu există în registru",IF(N(F141)&lt;=0,"Lipsește cantitatea",IF(AND(ISNUMBER(Q141),Q141&lt;MarjaMin),"Marjă sub minim ("&amp;TEXT(Q141*100,"0")&amp;"%)",""))))</f>
        <v/>
      </c>
      <c r="S141" s="1" t="str">
        <f>IF(B141="","",B141&amp;"|"&amp;COUNTIF($B$5:B141,B141))</f>
        <v/>
      </c>
    </row>
    <row r="142" spans="2:19" x14ac:dyDescent="0.2">
      <c r="B142" s="11"/>
      <c r="C142" s="11"/>
      <c r="D142" s="10" t="str">
        <f t="shared" si="24"/>
        <v/>
      </c>
      <c r="E142" s="15" t="str">
        <f t="shared" si="25"/>
        <v/>
      </c>
      <c r="F142" s="11"/>
      <c r="G142" s="16" t="str">
        <f t="shared" si="26"/>
        <v/>
      </c>
      <c r="H142" s="17"/>
      <c r="I142" s="16" t="str">
        <f t="shared" si="27"/>
        <v/>
      </c>
      <c r="J142" s="16" t="str">
        <f t="shared" si="28"/>
        <v/>
      </c>
      <c r="K142" s="18" t="str">
        <f t="shared" si="29"/>
        <v/>
      </c>
      <c r="L142" s="16" t="str">
        <f t="shared" si="30"/>
        <v/>
      </c>
      <c r="M142" s="16" t="str">
        <f t="shared" si="31"/>
        <v/>
      </c>
      <c r="N142" s="16" t="str">
        <f t="shared" si="32"/>
        <v/>
      </c>
      <c r="O142" s="16" t="str">
        <f t="shared" si="33"/>
        <v/>
      </c>
      <c r="P142" s="16" t="str">
        <f t="shared" si="34"/>
        <v/>
      </c>
      <c r="Q142" s="18" t="str">
        <f t="shared" si="35"/>
        <v/>
      </c>
      <c r="R142" s="19" t="str">
        <f>IF(C142="","",IF(ISNA(MATCH(B142,'Registru oferte'!$B$5:$B$504,0)),"Oferta nu există în registru",IF(N(F142)&lt;=0,"Lipsește cantitatea",IF(AND(ISNUMBER(Q142),Q142&lt;MarjaMin),"Marjă sub minim ("&amp;TEXT(Q142*100,"0")&amp;"%)",""))))</f>
        <v/>
      </c>
      <c r="S142" s="1" t="str">
        <f>IF(B142="","",B142&amp;"|"&amp;COUNTIF($B$5:B142,B142))</f>
        <v/>
      </c>
    </row>
    <row r="143" spans="2:19" x14ac:dyDescent="0.2">
      <c r="B143" s="11"/>
      <c r="C143" s="11"/>
      <c r="D143" s="10" t="str">
        <f t="shared" si="24"/>
        <v/>
      </c>
      <c r="E143" s="15" t="str">
        <f t="shared" si="25"/>
        <v/>
      </c>
      <c r="F143" s="11"/>
      <c r="G143" s="16" t="str">
        <f t="shared" si="26"/>
        <v/>
      </c>
      <c r="H143" s="17"/>
      <c r="I143" s="16" t="str">
        <f t="shared" si="27"/>
        <v/>
      </c>
      <c r="J143" s="16" t="str">
        <f t="shared" si="28"/>
        <v/>
      </c>
      <c r="K143" s="18" t="str">
        <f t="shared" si="29"/>
        <v/>
      </c>
      <c r="L143" s="16" t="str">
        <f t="shared" si="30"/>
        <v/>
      </c>
      <c r="M143" s="16" t="str">
        <f t="shared" si="31"/>
        <v/>
      </c>
      <c r="N143" s="16" t="str">
        <f t="shared" si="32"/>
        <v/>
      </c>
      <c r="O143" s="16" t="str">
        <f t="shared" si="33"/>
        <v/>
      </c>
      <c r="P143" s="16" t="str">
        <f t="shared" si="34"/>
        <v/>
      </c>
      <c r="Q143" s="18" t="str">
        <f t="shared" si="35"/>
        <v/>
      </c>
      <c r="R143" s="19" t="str">
        <f>IF(C143="","",IF(ISNA(MATCH(B143,'Registru oferte'!$B$5:$B$504,0)),"Oferta nu există în registru",IF(N(F143)&lt;=0,"Lipsește cantitatea",IF(AND(ISNUMBER(Q143),Q143&lt;MarjaMin),"Marjă sub minim ("&amp;TEXT(Q143*100,"0")&amp;"%)",""))))</f>
        <v/>
      </c>
      <c r="S143" s="1" t="str">
        <f>IF(B143="","",B143&amp;"|"&amp;COUNTIF($B$5:B143,B143))</f>
        <v/>
      </c>
    </row>
    <row r="144" spans="2:19" x14ac:dyDescent="0.2">
      <c r="B144" s="11"/>
      <c r="C144" s="11"/>
      <c r="D144" s="10" t="str">
        <f t="shared" si="24"/>
        <v/>
      </c>
      <c r="E144" s="15" t="str">
        <f t="shared" si="25"/>
        <v/>
      </c>
      <c r="F144" s="11"/>
      <c r="G144" s="16" t="str">
        <f t="shared" si="26"/>
        <v/>
      </c>
      <c r="H144" s="17"/>
      <c r="I144" s="16" t="str">
        <f t="shared" si="27"/>
        <v/>
      </c>
      <c r="J144" s="16" t="str">
        <f t="shared" si="28"/>
        <v/>
      </c>
      <c r="K144" s="18" t="str">
        <f t="shared" si="29"/>
        <v/>
      </c>
      <c r="L144" s="16" t="str">
        <f t="shared" si="30"/>
        <v/>
      </c>
      <c r="M144" s="16" t="str">
        <f t="shared" si="31"/>
        <v/>
      </c>
      <c r="N144" s="16" t="str">
        <f t="shared" si="32"/>
        <v/>
      </c>
      <c r="O144" s="16" t="str">
        <f t="shared" si="33"/>
        <v/>
      </c>
      <c r="P144" s="16" t="str">
        <f t="shared" si="34"/>
        <v/>
      </c>
      <c r="Q144" s="18" t="str">
        <f t="shared" si="35"/>
        <v/>
      </c>
      <c r="R144" s="19" t="str">
        <f>IF(C144="","",IF(ISNA(MATCH(B144,'Registru oferte'!$B$5:$B$504,0)),"Oferta nu există în registru",IF(N(F144)&lt;=0,"Lipsește cantitatea",IF(AND(ISNUMBER(Q144),Q144&lt;MarjaMin),"Marjă sub minim ("&amp;TEXT(Q144*100,"0")&amp;"%)",""))))</f>
        <v/>
      </c>
      <c r="S144" s="1" t="str">
        <f>IF(B144="","",B144&amp;"|"&amp;COUNTIF($B$5:B144,B144))</f>
        <v/>
      </c>
    </row>
    <row r="145" spans="2:19" x14ac:dyDescent="0.2">
      <c r="B145" s="11"/>
      <c r="C145" s="11"/>
      <c r="D145" s="10" t="str">
        <f t="shared" si="24"/>
        <v/>
      </c>
      <c r="E145" s="15" t="str">
        <f t="shared" si="25"/>
        <v/>
      </c>
      <c r="F145" s="11"/>
      <c r="G145" s="16" t="str">
        <f t="shared" si="26"/>
        <v/>
      </c>
      <c r="H145" s="17"/>
      <c r="I145" s="16" t="str">
        <f t="shared" si="27"/>
        <v/>
      </c>
      <c r="J145" s="16" t="str">
        <f t="shared" si="28"/>
        <v/>
      </c>
      <c r="K145" s="18" t="str">
        <f t="shared" si="29"/>
        <v/>
      </c>
      <c r="L145" s="16" t="str">
        <f t="shared" si="30"/>
        <v/>
      </c>
      <c r="M145" s="16" t="str">
        <f t="shared" si="31"/>
        <v/>
      </c>
      <c r="N145" s="16" t="str">
        <f t="shared" si="32"/>
        <v/>
      </c>
      <c r="O145" s="16" t="str">
        <f t="shared" si="33"/>
        <v/>
      </c>
      <c r="P145" s="16" t="str">
        <f t="shared" si="34"/>
        <v/>
      </c>
      <c r="Q145" s="18" t="str">
        <f t="shared" si="35"/>
        <v/>
      </c>
      <c r="R145" s="19" t="str">
        <f>IF(C145="","",IF(ISNA(MATCH(B145,'Registru oferte'!$B$5:$B$504,0)),"Oferta nu există în registru",IF(N(F145)&lt;=0,"Lipsește cantitatea",IF(AND(ISNUMBER(Q145),Q145&lt;MarjaMin),"Marjă sub minim ("&amp;TEXT(Q145*100,"0")&amp;"%)",""))))</f>
        <v/>
      </c>
      <c r="S145" s="1" t="str">
        <f>IF(B145="","",B145&amp;"|"&amp;COUNTIF($B$5:B145,B145))</f>
        <v/>
      </c>
    </row>
    <row r="146" spans="2:19" x14ac:dyDescent="0.2">
      <c r="B146" s="11"/>
      <c r="C146" s="11"/>
      <c r="D146" s="10" t="str">
        <f t="shared" si="24"/>
        <v/>
      </c>
      <c r="E146" s="15" t="str">
        <f t="shared" si="25"/>
        <v/>
      </c>
      <c r="F146" s="11"/>
      <c r="G146" s="16" t="str">
        <f t="shared" si="26"/>
        <v/>
      </c>
      <c r="H146" s="17"/>
      <c r="I146" s="16" t="str">
        <f t="shared" si="27"/>
        <v/>
      </c>
      <c r="J146" s="16" t="str">
        <f t="shared" si="28"/>
        <v/>
      </c>
      <c r="K146" s="18" t="str">
        <f t="shared" si="29"/>
        <v/>
      </c>
      <c r="L146" s="16" t="str">
        <f t="shared" si="30"/>
        <v/>
      </c>
      <c r="M146" s="16" t="str">
        <f t="shared" si="31"/>
        <v/>
      </c>
      <c r="N146" s="16" t="str">
        <f t="shared" si="32"/>
        <v/>
      </c>
      <c r="O146" s="16" t="str">
        <f t="shared" si="33"/>
        <v/>
      </c>
      <c r="P146" s="16" t="str">
        <f t="shared" si="34"/>
        <v/>
      </c>
      <c r="Q146" s="18" t="str">
        <f t="shared" si="35"/>
        <v/>
      </c>
      <c r="R146" s="19" t="str">
        <f>IF(C146="","",IF(ISNA(MATCH(B146,'Registru oferte'!$B$5:$B$504,0)),"Oferta nu există în registru",IF(N(F146)&lt;=0,"Lipsește cantitatea",IF(AND(ISNUMBER(Q146),Q146&lt;MarjaMin),"Marjă sub minim ("&amp;TEXT(Q146*100,"0")&amp;"%)",""))))</f>
        <v/>
      </c>
      <c r="S146" s="1" t="str">
        <f>IF(B146="","",B146&amp;"|"&amp;COUNTIF($B$5:B146,B146))</f>
        <v/>
      </c>
    </row>
    <row r="147" spans="2:19" x14ac:dyDescent="0.2">
      <c r="B147" s="11"/>
      <c r="C147" s="11"/>
      <c r="D147" s="10" t="str">
        <f t="shared" si="24"/>
        <v/>
      </c>
      <c r="E147" s="15" t="str">
        <f t="shared" si="25"/>
        <v/>
      </c>
      <c r="F147" s="11"/>
      <c r="G147" s="16" t="str">
        <f t="shared" si="26"/>
        <v/>
      </c>
      <c r="H147" s="17"/>
      <c r="I147" s="16" t="str">
        <f t="shared" si="27"/>
        <v/>
      </c>
      <c r="J147" s="16" t="str">
        <f t="shared" si="28"/>
        <v/>
      </c>
      <c r="K147" s="18" t="str">
        <f t="shared" si="29"/>
        <v/>
      </c>
      <c r="L147" s="16" t="str">
        <f t="shared" si="30"/>
        <v/>
      </c>
      <c r="M147" s="16" t="str">
        <f t="shared" si="31"/>
        <v/>
      </c>
      <c r="N147" s="16" t="str">
        <f t="shared" si="32"/>
        <v/>
      </c>
      <c r="O147" s="16" t="str">
        <f t="shared" si="33"/>
        <v/>
      </c>
      <c r="P147" s="16" t="str">
        <f t="shared" si="34"/>
        <v/>
      </c>
      <c r="Q147" s="18" t="str">
        <f t="shared" si="35"/>
        <v/>
      </c>
      <c r="R147" s="19" t="str">
        <f>IF(C147="","",IF(ISNA(MATCH(B147,'Registru oferte'!$B$5:$B$504,0)),"Oferta nu există în registru",IF(N(F147)&lt;=0,"Lipsește cantitatea",IF(AND(ISNUMBER(Q147),Q147&lt;MarjaMin),"Marjă sub minim ("&amp;TEXT(Q147*100,"0")&amp;"%)",""))))</f>
        <v/>
      </c>
      <c r="S147" s="1" t="str">
        <f>IF(B147="","",B147&amp;"|"&amp;COUNTIF($B$5:B147,B147))</f>
        <v/>
      </c>
    </row>
    <row r="148" spans="2:19" x14ac:dyDescent="0.2">
      <c r="B148" s="11"/>
      <c r="C148" s="11"/>
      <c r="D148" s="10" t="str">
        <f t="shared" si="24"/>
        <v/>
      </c>
      <c r="E148" s="15" t="str">
        <f t="shared" si="25"/>
        <v/>
      </c>
      <c r="F148" s="11"/>
      <c r="G148" s="16" t="str">
        <f t="shared" si="26"/>
        <v/>
      </c>
      <c r="H148" s="17"/>
      <c r="I148" s="16" t="str">
        <f t="shared" si="27"/>
        <v/>
      </c>
      <c r="J148" s="16" t="str">
        <f t="shared" si="28"/>
        <v/>
      </c>
      <c r="K148" s="18" t="str">
        <f t="shared" si="29"/>
        <v/>
      </c>
      <c r="L148" s="16" t="str">
        <f t="shared" si="30"/>
        <v/>
      </c>
      <c r="M148" s="16" t="str">
        <f t="shared" si="31"/>
        <v/>
      </c>
      <c r="N148" s="16" t="str">
        <f t="shared" si="32"/>
        <v/>
      </c>
      <c r="O148" s="16" t="str">
        <f t="shared" si="33"/>
        <v/>
      </c>
      <c r="P148" s="16" t="str">
        <f t="shared" si="34"/>
        <v/>
      </c>
      <c r="Q148" s="18" t="str">
        <f t="shared" si="35"/>
        <v/>
      </c>
      <c r="R148" s="19" t="str">
        <f>IF(C148="","",IF(ISNA(MATCH(B148,'Registru oferte'!$B$5:$B$504,0)),"Oferta nu există în registru",IF(N(F148)&lt;=0,"Lipsește cantitatea",IF(AND(ISNUMBER(Q148),Q148&lt;MarjaMin),"Marjă sub minim ("&amp;TEXT(Q148*100,"0")&amp;"%)",""))))</f>
        <v/>
      </c>
      <c r="S148" s="1" t="str">
        <f>IF(B148="","",B148&amp;"|"&amp;COUNTIF($B$5:B148,B148))</f>
        <v/>
      </c>
    </row>
    <row r="149" spans="2:19" x14ac:dyDescent="0.2">
      <c r="B149" s="11"/>
      <c r="C149" s="11"/>
      <c r="D149" s="10" t="str">
        <f t="shared" si="24"/>
        <v/>
      </c>
      <c r="E149" s="15" t="str">
        <f t="shared" si="25"/>
        <v/>
      </c>
      <c r="F149" s="11"/>
      <c r="G149" s="16" t="str">
        <f t="shared" si="26"/>
        <v/>
      </c>
      <c r="H149" s="17"/>
      <c r="I149" s="16" t="str">
        <f t="shared" si="27"/>
        <v/>
      </c>
      <c r="J149" s="16" t="str">
        <f t="shared" si="28"/>
        <v/>
      </c>
      <c r="K149" s="18" t="str">
        <f t="shared" si="29"/>
        <v/>
      </c>
      <c r="L149" s="16" t="str">
        <f t="shared" si="30"/>
        <v/>
      </c>
      <c r="M149" s="16" t="str">
        <f t="shared" si="31"/>
        <v/>
      </c>
      <c r="N149" s="16" t="str">
        <f t="shared" si="32"/>
        <v/>
      </c>
      <c r="O149" s="16" t="str">
        <f t="shared" si="33"/>
        <v/>
      </c>
      <c r="P149" s="16" t="str">
        <f t="shared" si="34"/>
        <v/>
      </c>
      <c r="Q149" s="18" t="str">
        <f t="shared" si="35"/>
        <v/>
      </c>
      <c r="R149" s="19" t="str">
        <f>IF(C149="","",IF(ISNA(MATCH(B149,'Registru oferte'!$B$5:$B$504,0)),"Oferta nu există în registru",IF(N(F149)&lt;=0,"Lipsește cantitatea",IF(AND(ISNUMBER(Q149),Q149&lt;MarjaMin),"Marjă sub minim ("&amp;TEXT(Q149*100,"0")&amp;"%)",""))))</f>
        <v/>
      </c>
      <c r="S149" s="1" t="str">
        <f>IF(B149="","",B149&amp;"|"&amp;COUNTIF($B$5:B149,B149))</f>
        <v/>
      </c>
    </row>
    <row r="150" spans="2:19" x14ac:dyDescent="0.2">
      <c r="B150" s="11"/>
      <c r="C150" s="11"/>
      <c r="D150" s="10" t="str">
        <f t="shared" si="24"/>
        <v/>
      </c>
      <c r="E150" s="15" t="str">
        <f t="shared" si="25"/>
        <v/>
      </c>
      <c r="F150" s="11"/>
      <c r="G150" s="16" t="str">
        <f t="shared" si="26"/>
        <v/>
      </c>
      <c r="H150" s="17"/>
      <c r="I150" s="16" t="str">
        <f t="shared" si="27"/>
        <v/>
      </c>
      <c r="J150" s="16" t="str">
        <f t="shared" si="28"/>
        <v/>
      </c>
      <c r="K150" s="18" t="str">
        <f t="shared" si="29"/>
        <v/>
      </c>
      <c r="L150" s="16" t="str">
        <f t="shared" si="30"/>
        <v/>
      </c>
      <c r="M150" s="16" t="str">
        <f t="shared" si="31"/>
        <v/>
      </c>
      <c r="N150" s="16" t="str">
        <f t="shared" si="32"/>
        <v/>
      </c>
      <c r="O150" s="16" t="str">
        <f t="shared" si="33"/>
        <v/>
      </c>
      <c r="P150" s="16" t="str">
        <f t="shared" si="34"/>
        <v/>
      </c>
      <c r="Q150" s="18" t="str">
        <f t="shared" si="35"/>
        <v/>
      </c>
      <c r="R150" s="19" t="str">
        <f>IF(C150="","",IF(ISNA(MATCH(B150,'Registru oferte'!$B$5:$B$504,0)),"Oferta nu există în registru",IF(N(F150)&lt;=0,"Lipsește cantitatea",IF(AND(ISNUMBER(Q150),Q150&lt;MarjaMin),"Marjă sub minim ("&amp;TEXT(Q150*100,"0")&amp;"%)",""))))</f>
        <v/>
      </c>
      <c r="S150" s="1" t="str">
        <f>IF(B150="","",B150&amp;"|"&amp;COUNTIF($B$5:B150,B150))</f>
        <v/>
      </c>
    </row>
    <row r="151" spans="2:19" x14ac:dyDescent="0.2">
      <c r="B151" s="11"/>
      <c r="C151" s="11"/>
      <c r="D151" s="10" t="str">
        <f t="shared" si="24"/>
        <v/>
      </c>
      <c r="E151" s="15" t="str">
        <f t="shared" si="25"/>
        <v/>
      </c>
      <c r="F151" s="11"/>
      <c r="G151" s="16" t="str">
        <f t="shared" si="26"/>
        <v/>
      </c>
      <c r="H151" s="17"/>
      <c r="I151" s="16" t="str">
        <f t="shared" si="27"/>
        <v/>
      </c>
      <c r="J151" s="16" t="str">
        <f t="shared" si="28"/>
        <v/>
      </c>
      <c r="K151" s="18" t="str">
        <f t="shared" si="29"/>
        <v/>
      </c>
      <c r="L151" s="16" t="str">
        <f t="shared" si="30"/>
        <v/>
      </c>
      <c r="M151" s="16" t="str">
        <f t="shared" si="31"/>
        <v/>
      </c>
      <c r="N151" s="16" t="str">
        <f t="shared" si="32"/>
        <v/>
      </c>
      <c r="O151" s="16" t="str">
        <f t="shared" si="33"/>
        <v/>
      </c>
      <c r="P151" s="16" t="str">
        <f t="shared" si="34"/>
        <v/>
      </c>
      <c r="Q151" s="18" t="str">
        <f t="shared" si="35"/>
        <v/>
      </c>
      <c r="R151" s="19" t="str">
        <f>IF(C151="","",IF(ISNA(MATCH(B151,'Registru oferte'!$B$5:$B$504,0)),"Oferta nu există în registru",IF(N(F151)&lt;=0,"Lipsește cantitatea",IF(AND(ISNUMBER(Q151),Q151&lt;MarjaMin),"Marjă sub minim ("&amp;TEXT(Q151*100,"0")&amp;"%)",""))))</f>
        <v/>
      </c>
      <c r="S151" s="1" t="str">
        <f>IF(B151="","",B151&amp;"|"&amp;COUNTIF($B$5:B151,B151))</f>
        <v/>
      </c>
    </row>
    <row r="152" spans="2:19" x14ac:dyDescent="0.2">
      <c r="B152" s="11"/>
      <c r="C152" s="11"/>
      <c r="D152" s="10" t="str">
        <f t="shared" si="24"/>
        <v/>
      </c>
      <c r="E152" s="15" t="str">
        <f t="shared" si="25"/>
        <v/>
      </c>
      <c r="F152" s="11"/>
      <c r="G152" s="16" t="str">
        <f t="shared" si="26"/>
        <v/>
      </c>
      <c r="H152" s="17"/>
      <c r="I152" s="16" t="str">
        <f t="shared" si="27"/>
        <v/>
      </c>
      <c r="J152" s="16" t="str">
        <f t="shared" si="28"/>
        <v/>
      </c>
      <c r="K152" s="18" t="str">
        <f t="shared" si="29"/>
        <v/>
      </c>
      <c r="L152" s="16" t="str">
        <f t="shared" si="30"/>
        <v/>
      </c>
      <c r="M152" s="16" t="str">
        <f t="shared" si="31"/>
        <v/>
      </c>
      <c r="N152" s="16" t="str">
        <f t="shared" si="32"/>
        <v/>
      </c>
      <c r="O152" s="16" t="str">
        <f t="shared" si="33"/>
        <v/>
      </c>
      <c r="P152" s="16" t="str">
        <f t="shared" si="34"/>
        <v/>
      </c>
      <c r="Q152" s="18" t="str">
        <f t="shared" si="35"/>
        <v/>
      </c>
      <c r="R152" s="19" t="str">
        <f>IF(C152="","",IF(ISNA(MATCH(B152,'Registru oferte'!$B$5:$B$504,0)),"Oferta nu există în registru",IF(N(F152)&lt;=0,"Lipsește cantitatea",IF(AND(ISNUMBER(Q152),Q152&lt;MarjaMin),"Marjă sub minim ("&amp;TEXT(Q152*100,"0")&amp;"%)",""))))</f>
        <v/>
      </c>
      <c r="S152" s="1" t="str">
        <f>IF(B152="","",B152&amp;"|"&amp;COUNTIF($B$5:B152,B152))</f>
        <v/>
      </c>
    </row>
    <row r="153" spans="2:19" x14ac:dyDescent="0.2">
      <c r="B153" s="11"/>
      <c r="C153" s="11"/>
      <c r="D153" s="10" t="str">
        <f t="shared" si="24"/>
        <v/>
      </c>
      <c r="E153" s="15" t="str">
        <f t="shared" si="25"/>
        <v/>
      </c>
      <c r="F153" s="11"/>
      <c r="G153" s="16" t="str">
        <f t="shared" si="26"/>
        <v/>
      </c>
      <c r="H153" s="17"/>
      <c r="I153" s="16" t="str">
        <f t="shared" si="27"/>
        <v/>
      </c>
      <c r="J153" s="16" t="str">
        <f t="shared" si="28"/>
        <v/>
      </c>
      <c r="K153" s="18" t="str">
        <f t="shared" si="29"/>
        <v/>
      </c>
      <c r="L153" s="16" t="str">
        <f t="shared" si="30"/>
        <v/>
      </c>
      <c r="M153" s="16" t="str">
        <f t="shared" si="31"/>
        <v/>
      </c>
      <c r="N153" s="16" t="str">
        <f t="shared" si="32"/>
        <v/>
      </c>
      <c r="O153" s="16" t="str">
        <f t="shared" si="33"/>
        <v/>
      </c>
      <c r="P153" s="16" t="str">
        <f t="shared" si="34"/>
        <v/>
      </c>
      <c r="Q153" s="18" t="str">
        <f t="shared" si="35"/>
        <v/>
      </c>
      <c r="R153" s="19" t="str">
        <f>IF(C153="","",IF(ISNA(MATCH(B153,'Registru oferte'!$B$5:$B$504,0)),"Oferta nu există în registru",IF(N(F153)&lt;=0,"Lipsește cantitatea",IF(AND(ISNUMBER(Q153),Q153&lt;MarjaMin),"Marjă sub minim ("&amp;TEXT(Q153*100,"0")&amp;"%)",""))))</f>
        <v/>
      </c>
      <c r="S153" s="1" t="str">
        <f>IF(B153="","",B153&amp;"|"&amp;COUNTIF($B$5:B153,B153))</f>
        <v/>
      </c>
    </row>
    <row r="154" spans="2:19" x14ac:dyDescent="0.2">
      <c r="B154" s="11"/>
      <c r="C154" s="11"/>
      <c r="D154" s="10" t="str">
        <f t="shared" si="24"/>
        <v/>
      </c>
      <c r="E154" s="15" t="str">
        <f t="shared" si="25"/>
        <v/>
      </c>
      <c r="F154" s="11"/>
      <c r="G154" s="16" t="str">
        <f t="shared" si="26"/>
        <v/>
      </c>
      <c r="H154" s="17"/>
      <c r="I154" s="16" t="str">
        <f t="shared" si="27"/>
        <v/>
      </c>
      <c r="J154" s="16" t="str">
        <f t="shared" si="28"/>
        <v/>
      </c>
      <c r="K154" s="18" t="str">
        <f t="shared" si="29"/>
        <v/>
      </c>
      <c r="L154" s="16" t="str">
        <f t="shared" si="30"/>
        <v/>
      </c>
      <c r="M154" s="16" t="str">
        <f t="shared" si="31"/>
        <v/>
      </c>
      <c r="N154" s="16" t="str">
        <f t="shared" si="32"/>
        <v/>
      </c>
      <c r="O154" s="16" t="str">
        <f t="shared" si="33"/>
        <v/>
      </c>
      <c r="P154" s="16" t="str">
        <f t="shared" si="34"/>
        <v/>
      </c>
      <c r="Q154" s="18" t="str">
        <f t="shared" si="35"/>
        <v/>
      </c>
      <c r="R154" s="19" t="str">
        <f>IF(C154="","",IF(ISNA(MATCH(B154,'Registru oferte'!$B$5:$B$504,0)),"Oferta nu există în registru",IF(N(F154)&lt;=0,"Lipsește cantitatea",IF(AND(ISNUMBER(Q154),Q154&lt;MarjaMin),"Marjă sub minim ("&amp;TEXT(Q154*100,"0")&amp;"%)",""))))</f>
        <v/>
      </c>
      <c r="S154" s="1" t="str">
        <f>IF(B154="","",B154&amp;"|"&amp;COUNTIF($B$5:B154,B154))</f>
        <v/>
      </c>
    </row>
    <row r="155" spans="2:19" x14ac:dyDescent="0.2">
      <c r="B155" s="11"/>
      <c r="C155" s="11"/>
      <c r="D155" s="10" t="str">
        <f t="shared" si="24"/>
        <v/>
      </c>
      <c r="E155" s="15" t="str">
        <f t="shared" si="25"/>
        <v/>
      </c>
      <c r="F155" s="11"/>
      <c r="G155" s="16" t="str">
        <f t="shared" si="26"/>
        <v/>
      </c>
      <c r="H155" s="17"/>
      <c r="I155" s="16" t="str">
        <f t="shared" si="27"/>
        <v/>
      </c>
      <c r="J155" s="16" t="str">
        <f t="shared" si="28"/>
        <v/>
      </c>
      <c r="K155" s="18" t="str">
        <f t="shared" si="29"/>
        <v/>
      </c>
      <c r="L155" s="16" t="str">
        <f t="shared" si="30"/>
        <v/>
      </c>
      <c r="M155" s="16" t="str">
        <f t="shared" si="31"/>
        <v/>
      </c>
      <c r="N155" s="16" t="str">
        <f t="shared" si="32"/>
        <v/>
      </c>
      <c r="O155" s="16" t="str">
        <f t="shared" si="33"/>
        <v/>
      </c>
      <c r="P155" s="16" t="str">
        <f t="shared" si="34"/>
        <v/>
      </c>
      <c r="Q155" s="18" t="str">
        <f t="shared" si="35"/>
        <v/>
      </c>
      <c r="R155" s="19" t="str">
        <f>IF(C155="","",IF(ISNA(MATCH(B155,'Registru oferte'!$B$5:$B$504,0)),"Oferta nu există în registru",IF(N(F155)&lt;=0,"Lipsește cantitatea",IF(AND(ISNUMBER(Q155),Q155&lt;MarjaMin),"Marjă sub minim ("&amp;TEXT(Q155*100,"0")&amp;"%)",""))))</f>
        <v/>
      </c>
      <c r="S155" s="1" t="str">
        <f>IF(B155="","",B155&amp;"|"&amp;COUNTIF($B$5:B155,B155))</f>
        <v/>
      </c>
    </row>
    <row r="156" spans="2:19" x14ac:dyDescent="0.2">
      <c r="B156" s="11"/>
      <c r="C156" s="11"/>
      <c r="D156" s="10" t="str">
        <f t="shared" si="24"/>
        <v/>
      </c>
      <c r="E156" s="15" t="str">
        <f t="shared" si="25"/>
        <v/>
      </c>
      <c r="F156" s="11"/>
      <c r="G156" s="16" t="str">
        <f t="shared" si="26"/>
        <v/>
      </c>
      <c r="H156" s="17"/>
      <c r="I156" s="16" t="str">
        <f t="shared" si="27"/>
        <v/>
      </c>
      <c r="J156" s="16" t="str">
        <f t="shared" si="28"/>
        <v/>
      </c>
      <c r="K156" s="18" t="str">
        <f t="shared" si="29"/>
        <v/>
      </c>
      <c r="L156" s="16" t="str">
        <f t="shared" si="30"/>
        <v/>
      </c>
      <c r="M156" s="16" t="str">
        <f t="shared" si="31"/>
        <v/>
      </c>
      <c r="N156" s="16" t="str">
        <f t="shared" si="32"/>
        <v/>
      </c>
      <c r="O156" s="16" t="str">
        <f t="shared" si="33"/>
        <v/>
      </c>
      <c r="P156" s="16" t="str">
        <f t="shared" si="34"/>
        <v/>
      </c>
      <c r="Q156" s="18" t="str">
        <f t="shared" si="35"/>
        <v/>
      </c>
      <c r="R156" s="19" t="str">
        <f>IF(C156="","",IF(ISNA(MATCH(B156,'Registru oferte'!$B$5:$B$504,0)),"Oferta nu există în registru",IF(N(F156)&lt;=0,"Lipsește cantitatea",IF(AND(ISNUMBER(Q156),Q156&lt;MarjaMin),"Marjă sub minim ("&amp;TEXT(Q156*100,"0")&amp;"%)",""))))</f>
        <v/>
      </c>
      <c r="S156" s="1" t="str">
        <f>IF(B156="","",B156&amp;"|"&amp;COUNTIF($B$5:B156,B156))</f>
        <v/>
      </c>
    </row>
    <row r="157" spans="2:19" x14ac:dyDescent="0.2">
      <c r="B157" s="11"/>
      <c r="C157" s="11"/>
      <c r="D157" s="10" t="str">
        <f t="shared" si="24"/>
        <v/>
      </c>
      <c r="E157" s="15" t="str">
        <f t="shared" si="25"/>
        <v/>
      </c>
      <c r="F157" s="11"/>
      <c r="G157" s="16" t="str">
        <f t="shared" si="26"/>
        <v/>
      </c>
      <c r="H157" s="17"/>
      <c r="I157" s="16" t="str">
        <f t="shared" si="27"/>
        <v/>
      </c>
      <c r="J157" s="16" t="str">
        <f t="shared" si="28"/>
        <v/>
      </c>
      <c r="K157" s="18" t="str">
        <f t="shared" si="29"/>
        <v/>
      </c>
      <c r="L157" s="16" t="str">
        <f t="shared" si="30"/>
        <v/>
      </c>
      <c r="M157" s="16" t="str">
        <f t="shared" si="31"/>
        <v/>
      </c>
      <c r="N157" s="16" t="str">
        <f t="shared" si="32"/>
        <v/>
      </c>
      <c r="O157" s="16" t="str">
        <f t="shared" si="33"/>
        <v/>
      </c>
      <c r="P157" s="16" t="str">
        <f t="shared" si="34"/>
        <v/>
      </c>
      <c r="Q157" s="18" t="str">
        <f t="shared" si="35"/>
        <v/>
      </c>
      <c r="R157" s="19" t="str">
        <f>IF(C157="","",IF(ISNA(MATCH(B157,'Registru oferte'!$B$5:$B$504,0)),"Oferta nu există în registru",IF(N(F157)&lt;=0,"Lipsește cantitatea",IF(AND(ISNUMBER(Q157),Q157&lt;MarjaMin),"Marjă sub minim ("&amp;TEXT(Q157*100,"0")&amp;"%)",""))))</f>
        <v/>
      </c>
      <c r="S157" s="1" t="str">
        <f>IF(B157="","",B157&amp;"|"&amp;COUNTIF($B$5:B157,B157))</f>
        <v/>
      </c>
    </row>
    <row r="158" spans="2:19" x14ac:dyDescent="0.2">
      <c r="B158" s="11"/>
      <c r="C158" s="11"/>
      <c r="D158" s="10" t="str">
        <f t="shared" si="24"/>
        <v/>
      </c>
      <c r="E158" s="15" t="str">
        <f t="shared" si="25"/>
        <v/>
      </c>
      <c r="F158" s="11"/>
      <c r="G158" s="16" t="str">
        <f t="shared" si="26"/>
        <v/>
      </c>
      <c r="H158" s="17"/>
      <c r="I158" s="16" t="str">
        <f t="shared" si="27"/>
        <v/>
      </c>
      <c r="J158" s="16" t="str">
        <f t="shared" si="28"/>
        <v/>
      </c>
      <c r="K158" s="18" t="str">
        <f t="shared" si="29"/>
        <v/>
      </c>
      <c r="L158" s="16" t="str">
        <f t="shared" si="30"/>
        <v/>
      </c>
      <c r="M158" s="16" t="str">
        <f t="shared" si="31"/>
        <v/>
      </c>
      <c r="N158" s="16" t="str">
        <f t="shared" si="32"/>
        <v/>
      </c>
      <c r="O158" s="16" t="str">
        <f t="shared" si="33"/>
        <v/>
      </c>
      <c r="P158" s="16" t="str">
        <f t="shared" si="34"/>
        <v/>
      </c>
      <c r="Q158" s="18" t="str">
        <f t="shared" si="35"/>
        <v/>
      </c>
      <c r="R158" s="19" t="str">
        <f>IF(C158="","",IF(ISNA(MATCH(B158,'Registru oferte'!$B$5:$B$504,0)),"Oferta nu există în registru",IF(N(F158)&lt;=0,"Lipsește cantitatea",IF(AND(ISNUMBER(Q158),Q158&lt;MarjaMin),"Marjă sub minim ("&amp;TEXT(Q158*100,"0")&amp;"%)",""))))</f>
        <v/>
      </c>
      <c r="S158" s="1" t="str">
        <f>IF(B158="","",B158&amp;"|"&amp;COUNTIF($B$5:B158,B158))</f>
        <v/>
      </c>
    </row>
    <row r="159" spans="2:19" x14ac:dyDescent="0.2">
      <c r="B159" s="11"/>
      <c r="C159" s="11"/>
      <c r="D159" s="10" t="str">
        <f t="shared" si="24"/>
        <v/>
      </c>
      <c r="E159" s="15" t="str">
        <f t="shared" si="25"/>
        <v/>
      </c>
      <c r="F159" s="11"/>
      <c r="G159" s="16" t="str">
        <f t="shared" si="26"/>
        <v/>
      </c>
      <c r="H159" s="17"/>
      <c r="I159" s="16" t="str">
        <f t="shared" si="27"/>
        <v/>
      </c>
      <c r="J159" s="16" t="str">
        <f t="shared" si="28"/>
        <v/>
      </c>
      <c r="K159" s="18" t="str">
        <f t="shared" si="29"/>
        <v/>
      </c>
      <c r="L159" s="16" t="str">
        <f t="shared" si="30"/>
        <v/>
      </c>
      <c r="M159" s="16" t="str">
        <f t="shared" si="31"/>
        <v/>
      </c>
      <c r="N159" s="16" t="str">
        <f t="shared" si="32"/>
        <v/>
      </c>
      <c r="O159" s="16" t="str">
        <f t="shared" si="33"/>
        <v/>
      </c>
      <c r="P159" s="16" t="str">
        <f t="shared" si="34"/>
        <v/>
      </c>
      <c r="Q159" s="18" t="str">
        <f t="shared" si="35"/>
        <v/>
      </c>
      <c r="R159" s="19" t="str">
        <f>IF(C159="","",IF(ISNA(MATCH(B159,'Registru oferte'!$B$5:$B$504,0)),"Oferta nu există în registru",IF(N(F159)&lt;=0,"Lipsește cantitatea",IF(AND(ISNUMBER(Q159),Q159&lt;MarjaMin),"Marjă sub minim ("&amp;TEXT(Q159*100,"0")&amp;"%)",""))))</f>
        <v/>
      </c>
      <c r="S159" s="1" t="str">
        <f>IF(B159="","",B159&amp;"|"&amp;COUNTIF($B$5:B159,B159))</f>
        <v/>
      </c>
    </row>
    <row r="160" spans="2:19" x14ac:dyDescent="0.2">
      <c r="B160" s="11"/>
      <c r="C160" s="11"/>
      <c r="D160" s="10" t="str">
        <f t="shared" si="24"/>
        <v/>
      </c>
      <c r="E160" s="15" t="str">
        <f t="shared" si="25"/>
        <v/>
      </c>
      <c r="F160" s="11"/>
      <c r="G160" s="16" t="str">
        <f t="shared" si="26"/>
        <v/>
      </c>
      <c r="H160" s="17"/>
      <c r="I160" s="16" t="str">
        <f t="shared" si="27"/>
        <v/>
      </c>
      <c r="J160" s="16" t="str">
        <f t="shared" si="28"/>
        <v/>
      </c>
      <c r="K160" s="18" t="str">
        <f t="shared" si="29"/>
        <v/>
      </c>
      <c r="L160" s="16" t="str">
        <f t="shared" si="30"/>
        <v/>
      </c>
      <c r="M160" s="16" t="str">
        <f t="shared" si="31"/>
        <v/>
      </c>
      <c r="N160" s="16" t="str">
        <f t="shared" si="32"/>
        <v/>
      </c>
      <c r="O160" s="16" t="str">
        <f t="shared" si="33"/>
        <v/>
      </c>
      <c r="P160" s="16" t="str">
        <f t="shared" si="34"/>
        <v/>
      </c>
      <c r="Q160" s="18" t="str">
        <f t="shared" si="35"/>
        <v/>
      </c>
      <c r="R160" s="19" t="str">
        <f>IF(C160="","",IF(ISNA(MATCH(B160,'Registru oferte'!$B$5:$B$504,0)),"Oferta nu există în registru",IF(N(F160)&lt;=0,"Lipsește cantitatea",IF(AND(ISNUMBER(Q160),Q160&lt;MarjaMin),"Marjă sub minim ("&amp;TEXT(Q160*100,"0")&amp;"%)",""))))</f>
        <v/>
      </c>
      <c r="S160" s="1" t="str">
        <f>IF(B160="","",B160&amp;"|"&amp;COUNTIF($B$5:B160,B160))</f>
        <v/>
      </c>
    </row>
    <row r="161" spans="2:19" x14ac:dyDescent="0.2">
      <c r="B161" s="11"/>
      <c r="C161" s="11"/>
      <c r="D161" s="10" t="str">
        <f t="shared" si="24"/>
        <v/>
      </c>
      <c r="E161" s="15" t="str">
        <f t="shared" si="25"/>
        <v/>
      </c>
      <c r="F161" s="11"/>
      <c r="G161" s="16" t="str">
        <f t="shared" si="26"/>
        <v/>
      </c>
      <c r="H161" s="17"/>
      <c r="I161" s="16" t="str">
        <f t="shared" si="27"/>
        <v/>
      </c>
      <c r="J161" s="16" t="str">
        <f t="shared" si="28"/>
        <v/>
      </c>
      <c r="K161" s="18" t="str">
        <f t="shared" si="29"/>
        <v/>
      </c>
      <c r="L161" s="16" t="str">
        <f t="shared" si="30"/>
        <v/>
      </c>
      <c r="M161" s="16" t="str">
        <f t="shared" si="31"/>
        <v/>
      </c>
      <c r="N161" s="16" t="str">
        <f t="shared" si="32"/>
        <v/>
      </c>
      <c r="O161" s="16" t="str">
        <f t="shared" si="33"/>
        <v/>
      </c>
      <c r="P161" s="16" t="str">
        <f t="shared" si="34"/>
        <v/>
      </c>
      <c r="Q161" s="18" t="str">
        <f t="shared" si="35"/>
        <v/>
      </c>
      <c r="R161" s="19" t="str">
        <f>IF(C161="","",IF(ISNA(MATCH(B161,'Registru oferte'!$B$5:$B$504,0)),"Oferta nu există în registru",IF(N(F161)&lt;=0,"Lipsește cantitatea",IF(AND(ISNUMBER(Q161),Q161&lt;MarjaMin),"Marjă sub minim ("&amp;TEXT(Q161*100,"0")&amp;"%)",""))))</f>
        <v/>
      </c>
      <c r="S161" s="1" t="str">
        <f>IF(B161="","",B161&amp;"|"&amp;COUNTIF($B$5:B161,B161))</f>
        <v/>
      </c>
    </row>
    <row r="162" spans="2:19" x14ac:dyDescent="0.2">
      <c r="B162" s="11"/>
      <c r="C162" s="11"/>
      <c r="D162" s="10" t="str">
        <f t="shared" si="24"/>
        <v/>
      </c>
      <c r="E162" s="15" t="str">
        <f t="shared" si="25"/>
        <v/>
      </c>
      <c r="F162" s="11"/>
      <c r="G162" s="16" t="str">
        <f t="shared" si="26"/>
        <v/>
      </c>
      <c r="H162" s="17"/>
      <c r="I162" s="16" t="str">
        <f t="shared" si="27"/>
        <v/>
      </c>
      <c r="J162" s="16" t="str">
        <f t="shared" si="28"/>
        <v/>
      </c>
      <c r="K162" s="18" t="str">
        <f t="shared" si="29"/>
        <v/>
      </c>
      <c r="L162" s="16" t="str">
        <f t="shared" si="30"/>
        <v/>
      </c>
      <c r="M162" s="16" t="str">
        <f t="shared" si="31"/>
        <v/>
      </c>
      <c r="N162" s="16" t="str">
        <f t="shared" si="32"/>
        <v/>
      </c>
      <c r="O162" s="16" t="str">
        <f t="shared" si="33"/>
        <v/>
      </c>
      <c r="P162" s="16" t="str">
        <f t="shared" si="34"/>
        <v/>
      </c>
      <c r="Q162" s="18" t="str">
        <f t="shared" si="35"/>
        <v/>
      </c>
      <c r="R162" s="19" t="str">
        <f>IF(C162="","",IF(ISNA(MATCH(B162,'Registru oferte'!$B$5:$B$504,0)),"Oferta nu există în registru",IF(N(F162)&lt;=0,"Lipsește cantitatea",IF(AND(ISNUMBER(Q162),Q162&lt;MarjaMin),"Marjă sub minim ("&amp;TEXT(Q162*100,"0")&amp;"%)",""))))</f>
        <v/>
      </c>
      <c r="S162" s="1" t="str">
        <f>IF(B162="","",B162&amp;"|"&amp;COUNTIF($B$5:B162,B162))</f>
        <v/>
      </c>
    </row>
    <row r="163" spans="2:19" x14ac:dyDescent="0.2">
      <c r="B163" s="11"/>
      <c r="C163" s="11"/>
      <c r="D163" s="10" t="str">
        <f t="shared" si="24"/>
        <v/>
      </c>
      <c r="E163" s="15" t="str">
        <f t="shared" si="25"/>
        <v/>
      </c>
      <c r="F163" s="11"/>
      <c r="G163" s="16" t="str">
        <f t="shared" si="26"/>
        <v/>
      </c>
      <c r="H163" s="17"/>
      <c r="I163" s="16" t="str">
        <f t="shared" si="27"/>
        <v/>
      </c>
      <c r="J163" s="16" t="str">
        <f t="shared" si="28"/>
        <v/>
      </c>
      <c r="K163" s="18" t="str">
        <f t="shared" si="29"/>
        <v/>
      </c>
      <c r="L163" s="16" t="str">
        <f t="shared" si="30"/>
        <v/>
      </c>
      <c r="M163" s="16" t="str">
        <f t="shared" si="31"/>
        <v/>
      </c>
      <c r="N163" s="16" t="str">
        <f t="shared" si="32"/>
        <v/>
      </c>
      <c r="O163" s="16" t="str">
        <f t="shared" si="33"/>
        <v/>
      </c>
      <c r="P163" s="16" t="str">
        <f t="shared" si="34"/>
        <v/>
      </c>
      <c r="Q163" s="18" t="str">
        <f t="shared" si="35"/>
        <v/>
      </c>
      <c r="R163" s="19" t="str">
        <f>IF(C163="","",IF(ISNA(MATCH(B163,'Registru oferte'!$B$5:$B$504,0)),"Oferta nu există în registru",IF(N(F163)&lt;=0,"Lipsește cantitatea",IF(AND(ISNUMBER(Q163),Q163&lt;MarjaMin),"Marjă sub minim ("&amp;TEXT(Q163*100,"0")&amp;"%)",""))))</f>
        <v/>
      </c>
      <c r="S163" s="1" t="str">
        <f>IF(B163="","",B163&amp;"|"&amp;COUNTIF($B$5:B163,B163))</f>
        <v/>
      </c>
    </row>
    <row r="164" spans="2:19" x14ac:dyDescent="0.2">
      <c r="B164" s="11"/>
      <c r="C164" s="11"/>
      <c r="D164" s="10" t="str">
        <f t="shared" si="24"/>
        <v/>
      </c>
      <c r="E164" s="15" t="str">
        <f t="shared" si="25"/>
        <v/>
      </c>
      <c r="F164" s="11"/>
      <c r="G164" s="16" t="str">
        <f t="shared" si="26"/>
        <v/>
      </c>
      <c r="H164" s="17"/>
      <c r="I164" s="16" t="str">
        <f t="shared" si="27"/>
        <v/>
      </c>
      <c r="J164" s="16" t="str">
        <f t="shared" si="28"/>
        <v/>
      </c>
      <c r="K164" s="18" t="str">
        <f t="shared" si="29"/>
        <v/>
      </c>
      <c r="L164" s="16" t="str">
        <f t="shared" si="30"/>
        <v/>
      </c>
      <c r="M164" s="16" t="str">
        <f t="shared" si="31"/>
        <v/>
      </c>
      <c r="N164" s="16" t="str">
        <f t="shared" si="32"/>
        <v/>
      </c>
      <c r="O164" s="16" t="str">
        <f t="shared" si="33"/>
        <v/>
      </c>
      <c r="P164" s="16" t="str">
        <f t="shared" si="34"/>
        <v/>
      </c>
      <c r="Q164" s="18" t="str">
        <f t="shared" si="35"/>
        <v/>
      </c>
      <c r="R164" s="19" t="str">
        <f>IF(C164="","",IF(ISNA(MATCH(B164,'Registru oferte'!$B$5:$B$504,0)),"Oferta nu există în registru",IF(N(F164)&lt;=0,"Lipsește cantitatea",IF(AND(ISNUMBER(Q164),Q164&lt;MarjaMin),"Marjă sub minim ("&amp;TEXT(Q164*100,"0")&amp;"%)",""))))</f>
        <v/>
      </c>
      <c r="S164" s="1" t="str">
        <f>IF(B164="","",B164&amp;"|"&amp;COUNTIF($B$5:B164,B164))</f>
        <v/>
      </c>
    </row>
    <row r="165" spans="2:19" x14ac:dyDescent="0.2">
      <c r="B165" s="11"/>
      <c r="C165" s="11"/>
      <c r="D165" s="10" t="str">
        <f t="shared" si="24"/>
        <v/>
      </c>
      <c r="E165" s="15" t="str">
        <f t="shared" si="25"/>
        <v/>
      </c>
      <c r="F165" s="11"/>
      <c r="G165" s="16" t="str">
        <f t="shared" si="26"/>
        <v/>
      </c>
      <c r="H165" s="17"/>
      <c r="I165" s="16" t="str">
        <f t="shared" si="27"/>
        <v/>
      </c>
      <c r="J165" s="16" t="str">
        <f t="shared" si="28"/>
        <v/>
      </c>
      <c r="K165" s="18" t="str">
        <f t="shared" si="29"/>
        <v/>
      </c>
      <c r="L165" s="16" t="str">
        <f t="shared" si="30"/>
        <v/>
      </c>
      <c r="M165" s="16" t="str">
        <f t="shared" si="31"/>
        <v/>
      </c>
      <c r="N165" s="16" t="str">
        <f t="shared" si="32"/>
        <v/>
      </c>
      <c r="O165" s="16" t="str">
        <f t="shared" si="33"/>
        <v/>
      </c>
      <c r="P165" s="16" t="str">
        <f t="shared" si="34"/>
        <v/>
      </c>
      <c r="Q165" s="18" t="str">
        <f t="shared" si="35"/>
        <v/>
      </c>
      <c r="R165" s="19" t="str">
        <f>IF(C165="","",IF(ISNA(MATCH(B165,'Registru oferte'!$B$5:$B$504,0)),"Oferta nu există în registru",IF(N(F165)&lt;=0,"Lipsește cantitatea",IF(AND(ISNUMBER(Q165),Q165&lt;MarjaMin),"Marjă sub minim ("&amp;TEXT(Q165*100,"0")&amp;"%)",""))))</f>
        <v/>
      </c>
      <c r="S165" s="1" t="str">
        <f>IF(B165="","",B165&amp;"|"&amp;COUNTIF($B$5:B165,B165))</f>
        <v/>
      </c>
    </row>
    <row r="166" spans="2:19" x14ac:dyDescent="0.2">
      <c r="B166" s="11"/>
      <c r="C166" s="11"/>
      <c r="D166" s="10" t="str">
        <f t="shared" si="24"/>
        <v/>
      </c>
      <c r="E166" s="15" t="str">
        <f t="shared" si="25"/>
        <v/>
      </c>
      <c r="F166" s="11"/>
      <c r="G166" s="16" t="str">
        <f t="shared" si="26"/>
        <v/>
      </c>
      <c r="H166" s="17"/>
      <c r="I166" s="16" t="str">
        <f t="shared" si="27"/>
        <v/>
      </c>
      <c r="J166" s="16" t="str">
        <f t="shared" si="28"/>
        <v/>
      </c>
      <c r="K166" s="18" t="str">
        <f t="shared" si="29"/>
        <v/>
      </c>
      <c r="L166" s="16" t="str">
        <f t="shared" si="30"/>
        <v/>
      </c>
      <c r="M166" s="16" t="str">
        <f t="shared" si="31"/>
        <v/>
      </c>
      <c r="N166" s="16" t="str">
        <f t="shared" si="32"/>
        <v/>
      </c>
      <c r="O166" s="16" t="str">
        <f t="shared" si="33"/>
        <v/>
      </c>
      <c r="P166" s="16" t="str">
        <f t="shared" si="34"/>
        <v/>
      </c>
      <c r="Q166" s="18" t="str">
        <f t="shared" si="35"/>
        <v/>
      </c>
      <c r="R166" s="19" t="str">
        <f>IF(C166="","",IF(ISNA(MATCH(B166,'Registru oferte'!$B$5:$B$504,0)),"Oferta nu există în registru",IF(N(F166)&lt;=0,"Lipsește cantitatea",IF(AND(ISNUMBER(Q166),Q166&lt;MarjaMin),"Marjă sub minim ("&amp;TEXT(Q166*100,"0")&amp;"%)",""))))</f>
        <v/>
      </c>
      <c r="S166" s="1" t="str">
        <f>IF(B166="","",B166&amp;"|"&amp;COUNTIF($B$5:B166,B166))</f>
        <v/>
      </c>
    </row>
    <row r="167" spans="2:19" x14ac:dyDescent="0.2">
      <c r="B167" s="11"/>
      <c r="C167" s="11"/>
      <c r="D167" s="10" t="str">
        <f t="shared" si="24"/>
        <v/>
      </c>
      <c r="E167" s="15" t="str">
        <f t="shared" si="25"/>
        <v/>
      </c>
      <c r="F167" s="11"/>
      <c r="G167" s="16" t="str">
        <f t="shared" si="26"/>
        <v/>
      </c>
      <c r="H167" s="17"/>
      <c r="I167" s="16" t="str">
        <f t="shared" si="27"/>
        <v/>
      </c>
      <c r="J167" s="16" t="str">
        <f t="shared" si="28"/>
        <v/>
      </c>
      <c r="K167" s="18" t="str">
        <f t="shared" si="29"/>
        <v/>
      </c>
      <c r="L167" s="16" t="str">
        <f t="shared" si="30"/>
        <v/>
      </c>
      <c r="M167" s="16" t="str">
        <f t="shared" si="31"/>
        <v/>
      </c>
      <c r="N167" s="16" t="str">
        <f t="shared" si="32"/>
        <v/>
      </c>
      <c r="O167" s="16" t="str">
        <f t="shared" si="33"/>
        <v/>
      </c>
      <c r="P167" s="16" t="str">
        <f t="shared" si="34"/>
        <v/>
      </c>
      <c r="Q167" s="18" t="str">
        <f t="shared" si="35"/>
        <v/>
      </c>
      <c r="R167" s="19" t="str">
        <f>IF(C167="","",IF(ISNA(MATCH(B167,'Registru oferte'!$B$5:$B$504,0)),"Oferta nu există în registru",IF(N(F167)&lt;=0,"Lipsește cantitatea",IF(AND(ISNUMBER(Q167),Q167&lt;MarjaMin),"Marjă sub minim ("&amp;TEXT(Q167*100,"0")&amp;"%)",""))))</f>
        <v/>
      </c>
      <c r="S167" s="1" t="str">
        <f>IF(B167="","",B167&amp;"|"&amp;COUNTIF($B$5:B167,B167))</f>
        <v/>
      </c>
    </row>
    <row r="168" spans="2:19" x14ac:dyDescent="0.2">
      <c r="B168" s="11"/>
      <c r="C168" s="11"/>
      <c r="D168" s="10" t="str">
        <f t="shared" si="24"/>
        <v/>
      </c>
      <c r="E168" s="15" t="str">
        <f t="shared" si="25"/>
        <v/>
      </c>
      <c r="F168" s="11"/>
      <c r="G168" s="16" t="str">
        <f t="shared" si="26"/>
        <v/>
      </c>
      <c r="H168" s="17"/>
      <c r="I168" s="16" t="str">
        <f t="shared" si="27"/>
        <v/>
      </c>
      <c r="J168" s="16" t="str">
        <f t="shared" si="28"/>
        <v/>
      </c>
      <c r="K168" s="18" t="str">
        <f t="shared" si="29"/>
        <v/>
      </c>
      <c r="L168" s="16" t="str">
        <f t="shared" si="30"/>
        <v/>
      </c>
      <c r="M168" s="16" t="str">
        <f t="shared" si="31"/>
        <v/>
      </c>
      <c r="N168" s="16" t="str">
        <f t="shared" si="32"/>
        <v/>
      </c>
      <c r="O168" s="16" t="str">
        <f t="shared" si="33"/>
        <v/>
      </c>
      <c r="P168" s="16" t="str">
        <f t="shared" si="34"/>
        <v/>
      </c>
      <c r="Q168" s="18" t="str">
        <f t="shared" si="35"/>
        <v/>
      </c>
      <c r="R168" s="19" t="str">
        <f>IF(C168="","",IF(ISNA(MATCH(B168,'Registru oferte'!$B$5:$B$504,0)),"Oferta nu există în registru",IF(N(F168)&lt;=0,"Lipsește cantitatea",IF(AND(ISNUMBER(Q168),Q168&lt;MarjaMin),"Marjă sub minim ("&amp;TEXT(Q168*100,"0")&amp;"%)",""))))</f>
        <v/>
      </c>
      <c r="S168" s="1" t="str">
        <f>IF(B168="","",B168&amp;"|"&amp;COUNTIF($B$5:B168,B168))</f>
        <v/>
      </c>
    </row>
    <row r="169" spans="2:19" x14ac:dyDescent="0.2">
      <c r="B169" s="11"/>
      <c r="C169" s="11"/>
      <c r="D169" s="10" t="str">
        <f t="shared" si="24"/>
        <v/>
      </c>
      <c r="E169" s="15" t="str">
        <f t="shared" si="25"/>
        <v/>
      </c>
      <c r="F169" s="11"/>
      <c r="G169" s="16" t="str">
        <f t="shared" si="26"/>
        <v/>
      </c>
      <c r="H169" s="17"/>
      <c r="I169" s="16" t="str">
        <f t="shared" si="27"/>
        <v/>
      </c>
      <c r="J169" s="16" t="str">
        <f t="shared" si="28"/>
        <v/>
      </c>
      <c r="K169" s="18" t="str">
        <f t="shared" si="29"/>
        <v/>
      </c>
      <c r="L169" s="16" t="str">
        <f t="shared" si="30"/>
        <v/>
      </c>
      <c r="M169" s="16" t="str">
        <f t="shared" si="31"/>
        <v/>
      </c>
      <c r="N169" s="16" t="str">
        <f t="shared" si="32"/>
        <v/>
      </c>
      <c r="O169" s="16" t="str">
        <f t="shared" si="33"/>
        <v/>
      </c>
      <c r="P169" s="16" t="str">
        <f t="shared" si="34"/>
        <v/>
      </c>
      <c r="Q169" s="18" t="str">
        <f t="shared" si="35"/>
        <v/>
      </c>
      <c r="R169" s="19" t="str">
        <f>IF(C169="","",IF(ISNA(MATCH(B169,'Registru oferte'!$B$5:$B$504,0)),"Oferta nu există în registru",IF(N(F169)&lt;=0,"Lipsește cantitatea",IF(AND(ISNUMBER(Q169),Q169&lt;MarjaMin),"Marjă sub minim ("&amp;TEXT(Q169*100,"0")&amp;"%)",""))))</f>
        <v/>
      </c>
      <c r="S169" s="1" t="str">
        <f>IF(B169="","",B169&amp;"|"&amp;COUNTIF($B$5:B169,B169))</f>
        <v/>
      </c>
    </row>
    <row r="170" spans="2:19" x14ac:dyDescent="0.2">
      <c r="B170" s="11"/>
      <c r="C170" s="11"/>
      <c r="D170" s="10" t="str">
        <f t="shared" si="24"/>
        <v/>
      </c>
      <c r="E170" s="15" t="str">
        <f t="shared" si="25"/>
        <v/>
      </c>
      <c r="F170" s="11"/>
      <c r="G170" s="16" t="str">
        <f t="shared" si="26"/>
        <v/>
      </c>
      <c r="H170" s="17"/>
      <c r="I170" s="16" t="str">
        <f t="shared" si="27"/>
        <v/>
      </c>
      <c r="J170" s="16" t="str">
        <f t="shared" si="28"/>
        <v/>
      </c>
      <c r="K170" s="18" t="str">
        <f t="shared" si="29"/>
        <v/>
      </c>
      <c r="L170" s="16" t="str">
        <f t="shared" si="30"/>
        <v/>
      </c>
      <c r="M170" s="16" t="str">
        <f t="shared" si="31"/>
        <v/>
      </c>
      <c r="N170" s="16" t="str">
        <f t="shared" si="32"/>
        <v/>
      </c>
      <c r="O170" s="16" t="str">
        <f t="shared" si="33"/>
        <v/>
      </c>
      <c r="P170" s="16" t="str">
        <f t="shared" si="34"/>
        <v/>
      </c>
      <c r="Q170" s="18" t="str">
        <f t="shared" si="35"/>
        <v/>
      </c>
      <c r="R170" s="19" t="str">
        <f>IF(C170="","",IF(ISNA(MATCH(B170,'Registru oferte'!$B$5:$B$504,0)),"Oferta nu există în registru",IF(N(F170)&lt;=0,"Lipsește cantitatea",IF(AND(ISNUMBER(Q170),Q170&lt;MarjaMin),"Marjă sub minim ("&amp;TEXT(Q170*100,"0")&amp;"%)",""))))</f>
        <v/>
      </c>
      <c r="S170" s="1" t="str">
        <f>IF(B170="","",B170&amp;"|"&amp;COUNTIF($B$5:B170,B170))</f>
        <v/>
      </c>
    </row>
    <row r="171" spans="2:19" x14ac:dyDescent="0.2">
      <c r="B171" s="11"/>
      <c r="C171" s="11"/>
      <c r="D171" s="10" t="str">
        <f t="shared" si="24"/>
        <v/>
      </c>
      <c r="E171" s="15" t="str">
        <f t="shared" si="25"/>
        <v/>
      </c>
      <c r="F171" s="11"/>
      <c r="G171" s="16" t="str">
        <f t="shared" si="26"/>
        <v/>
      </c>
      <c r="H171" s="17"/>
      <c r="I171" s="16" t="str">
        <f t="shared" si="27"/>
        <v/>
      </c>
      <c r="J171" s="16" t="str">
        <f t="shared" si="28"/>
        <v/>
      </c>
      <c r="K171" s="18" t="str">
        <f t="shared" si="29"/>
        <v/>
      </c>
      <c r="L171" s="16" t="str">
        <f t="shared" si="30"/>
        <v/>
      </c>
      <c r="M171" s="16" t="str">
        <f t="shared" si="31"/>
        <v/>
      </c>
      <c r="N171" s="16" t="str">
        <f t="shared" si="32"/>
        <v/>
      </c>
      <c r="O171" s="16" t="str">
        <f t="shared" si="33"/>
        <v/>
      </c>
      <c r="P171" s="16" t="str">
        <f t="shared" si="34"/>
        <v/>
      </c>
      <c r="Q171" s="18" t="str">
        <f t="shared" si="35"/>
        <v/>
      </c>
      <c r="R171" s="19" t="str">
        <f>IF(C171="","",IF(ISNA(MATCH(B171,'Registru oferte'!$B$5:$B$504,0)),"Oferta nu există în registru",IF(N(F171)&lt;=0,"Lipsește cantitatea",IF(AND(ISNUMBER(Q171),Q171&lt;MarjaMin),"Marjă sub minim ("&amp;TEXT(Q171*100,"0")&amp;"%)",""))))</f>
        <v/>
      </c>
      <c r="S171" s="1" t="str">
        <f>IF(B171="","",B171&amp;"|"&amp;COUNTIF($B$5:B171,B171))</f>
        <v/>
      </c>
    </row>
    <row r="172" spans="2:19" x14ac:dyDescent="0.2">
      <c r="B172" s="11"/>
      <c r="C172" s="11"/>
      <c r="D172" s="10" t="str">
        <f t="shared" si="24"/>
        <v/>
      </c>
      <c r="E172" s="15" t="str">
        <f t="shared" si="25"/>
        <v/>
      </c>
      <c r="F172" s="11"/>
      <c r="G172" s="16" t="str">
        <f t="shared" si="26"/>
        <v/>
      </c>
      <c r="H172" s="17"/>
      <c r="I172" s="16" t="str">
        <f t="shared" si="27"/>
        <v/>
      </c>
      <c r="J172" s="16" t="str">
        <f t="shared" si="28"/>
        <v/>
      </c>
      <c r="K172" s="18" t="str">
        <f t="shared" si="29"/>
        <v/>
      </c>
      <c r="L172" s="16" t="str">
        <f t="shared" si="30"/>
        <v/>
      </c>
      <c r="M172" s="16" t="str">
        <f t="shared" si="31"/>
        <v/>
      </c>
      <c r="N172" s="16" t="str">
        <f t="shared" si="32"/>
        <v/>
      </c>
      <c r="O172" s="16" t="str">
        <f t="shared" si="33"/>
        <v/>
      </c>
      <c r="P172" s="16" t="str">
        <f t="shared" si="34"/>
        <v/>
      </c>
      <c r="Q172" s="18" t="str">
        <f t="shared" si="35"/>
        <v/>
      </c>
      <c r="R172" s="19" t="str">
        <f>IF(C172="","",IF(ISNA(MATCH(B172,'Registru oferte'!$B$5:$B$504,0)),"Oferta nu există în registru",IF(N(F172)&lt;=0,"Lipsește cantitatea",IF(AND(ISNUMBER(Q172),Q172&lt;MarjaMin),"Marjă sub minim ("&amp;TEXT(Q172*100,"0")&amp;"%)",""))))</f>
        <v/>
      </c>
      <c r="S172" s="1" t="str">
        <f>IF(B172="","",B172&amp;"|"&amp;COUNTIF($B$5:B172,B172))</f>
        <v/>
      </c>
    </row>
    <row r="173" spans="2:19" x14ac:dyDescent="0.2">
      <c r="B173" s="11"/>
      <c r="C173" s="11"/>
      <c r="D173" s="10" t="str">
        <f t="shared" si="24"/>
        <v/>
      </c>
      <c r="E173" s="15" t="str">
        <f t="shared" si="25"/>
        <v/>
      </c>
      <c r="F173" s="11"/>
      <c r="G173" s="16" t="str">
        <f t="shared" si="26"/>
        <v/>
      </c>
      <c r="H173" s="17"/>
      <c r="I173" s="16" t="str">
        <f t="shared" si="27"/>
        <v/>
      </c>
      <c r="J173" s="16" t="str">
        <f t="shared" si="28"/>
        <v/>
      </c>
      <c r="K173" s="18" t="str">
        <f t="shared" si="29"/>
        <v/>
      </c>
      <c r="L173" s="16" t="str">
        <f t="shared" si="30"/>
        <v/>
      </c>
      <c r="M173" s="16" t="str">
        <f t="shared" si="31"/>
        <v/>
      </c>
      <c r="N173" s="16" t="str">
        <f t="shared" si="32"/>
        <v/>
      </c>
      <c r="O173" s="16" t="str">
        <f t="shared" si="33"/>
        <v/>
      </c>
      <c r="P173" s="16" t="str">
        <f t="shared" si="34"/>
        <v/>
      </c>
      <c r="Q173" s="18" t="str">
        <f t="shared" si="35"/>
        <v/>
      </c>
      <c r="R173" s="19" t="str">
        <f>IF(C173="","",IF(ISNA(MATCH(B173,'Registru oferte'!$B$5:$B$504,0)),"Oferta nu există în registru",IF(N(F173)&lt;=0,"Lipsește cantitatea",IF(AND(ISNUMBER(Q173),Q173&lt;MarjaMin),"Marjă sub minim ("&amp;TEXT(Q173*100,"0")&amp;"%)",""))))</f>
        <v/>
      </c>
      <c r="S173" s="1" t="str">
        <f>IF(B173="","",B173&amp;"|"&amp;COUNTIF($B$5:B173,B173))</f>
        <v/>
      </c>
    </row>
    <row r="174" spans="2:19" x14ac:dyDescent="0.2">
      <c r="B174" s="11"/>
      <c r="C174" s="11"/>
      <c r="D174" s="10" t="str">
        <f t="shared" si="24"/>
        <v/>
      </c>
      <c r="E174" s="15" t="str">
        <f t="shared" si="25"/>
        <v/>
      </c>
      <c r="F174" s="11"/>
      <c r="G174" s="16" t="str">
        <f t="shared" si="26"/>
        <v/>
      </c>
      <c r="H174" s="17"/>
      <c r="I174" s="16" t="str">
        <f t="shared" si="27"/>
        <v/>
      </c>
      <c r="J174" s="16" t="str">
        <f t="shared" si="28"/>
        <v/>
      </c>
      <c r="K174" s="18" t="str">
        <f t="shared" si="29"/>
        <v/>
      </c>
      <c r="L174" s="16" t="str">
        <f t="shared" si="30"/>
        <v/>
      </c>
      <c r="M174" s="16" t="str">
        <f t="shared" si="31"/>
        <v/>
      </c>
      <c r="N174" s="16" t="str">
        <f t="shared" si="32"/>
        <v/>
      </c>
      <c r="O174" s="16" t="str">
        <f t="shared" si="33"/>
        <v/>
      </c>
      <c r="P174" s="16" t="str">
        <f t="shared" si="34"/>
        <v/>
      </c>
      <c r="Q174" s="18" t="str">
        <f t="shared" si="35"/>
        <v/>
      </c>
      <c r="R174" s="19" t="str">
        <f>IF(C174="","",IF(ISNA(MATCH(B174,'Registru oferte'!$B$5:$B$504,0)),"Oferta nu există în registru",IF(N(F174)&lt;=0,"Lipsește cantitatea",IF(AND(ISNUMBER(Q174),Q174&lt;MarjaMin),"Marjă sub minim ("&amp;TEXT(Q174*100,"0")&amp;"%)",""))))</f>
        <v/>
      </c>
      <c r="S174" s="1" t="str">
        <f>IF(B174="","",B174&amp;"|"&amp;COUNTIF($B$5:B174,B174))</f>
        <v/>
      </c>
    </row>
    <row r="175" spans="2:19" x14ac:dyDescent="0.2">
      <c r="B175" s="11"/>
      <c r="C175" s="11"/>
      <c r="D175" s="10" t="str">
        <f t="shared" si="24"/>
        <v/>
      </c>
      <c r="E175" s="15" t="str">
        <f t="shared" si="25"/>
        <v/>
      </c>
      <c r="F175" s="11"/>
      <c r="G175" s="16" t="str">
        <f t="shared" si="26"/>
        <v/>
      </c>
      <c r="H175" s="17"/>
      <c r="I175" s="16" t="str">
        <f t="shared" si="27"/>
        <v/>
      </c>
      <c r="J175" s="16" t="str">
        <f t="shared" si="28"/>
        <v/>
      </c>
      <c r="K175" s="18" t="str">
        <f t="shared" si="29"/>
        <v/>
      </c>
      <c r="L175" s="16" t="str">
        <f t="shared" si="30"/>
        <v/>
      </c>
      <c r="M175" s="16" t="str">
        <f t="shared" si="31"/>
        <v/>
      </c>
      <c r="N175" s="16" t="str">
        <f t="shared" si="32"/>
        <v/>
      </c>
      <c r="O175" s="16" t="str">
        <f t="shared" si="33"/>
        <v/>
      </c>
      <c r="P175" s="16" t="str">
        <f t="shared" si="34"/>
        <v/>
      </c>
      <c r="Q175" s="18" t="str">
        <f t="shared" si="35"/>
        <v/>
      </c>
      <c r="R175" s="19" t="str">
        <f>IF(C175="","",IF(ISNA(MATCH(B175,'Registru oferte'!$B$5:$B$504,0)),"Oferta nu există în registru",IF(N(F175)&lt;=0,"Lipsește cantitatea",IF(AND(ISNUMBER(Q175),Q175&lt;MarjaMin),"Marjă sub minim ("&amp;TEXT(Q175*100,"0")&amp;"%)",""))))</f>
        <v/>
      </c>
      <c r="S175" s="1" t="str">
        <f>IF(B175="","",B175&amp;"|"&amp;COUNTIF($B$5:B175,B175))</f>
        <v/>
      </c>
    </row>
    <row r="176" spans="2:19" x14ac:dyDescent="0.2">
      <c r="B176" s="11"/>
      <c r="C176" s="11"/>
      <c r="D176" s="10" t="str">
        <f t="shared" si="24"/>
        <v/>
      </c>
      <c r="E176" s="15" t="str">
        <f t="shared" si="25"/>
        <v/>
      </c>
      <c r="F176" s="11"/>
      <c r="G176" s="16" t="str">
        <f t="shared" si="26"/>
        <v/>
      </c>
      <c r="H176" s="17"/>
      <c r="I176" s="16" t="str">
        <f t="shared" si="27"/>
        <v/>
      </c>
      <c r="J176" s="16" t="str">
        <f t="shared" si="28"/>
        <v/>
      </c>
      <c r="K176" s="18" t="str">
        <f t="shared" si="29"/>
        <v/>
      </c>
      <c r="L176" s="16" t="str">
        <f t="shared" si="30"/>
        <v/>
      </c>
      <c r="M176" s="16" t="str">
        <f t="shared" si="31"/>
        <v/>
      </c>
      <c r="N176" s="16" t="str">
        <f t="shared" si="32"/>
        <v/>
      </c>
      <c r="O176" s="16" t="str">
        <f t="shared" si="33"/>
        <v/>
      </c>
      <c r="P176" s="16" t="str">
        <f t="shared" si="34"/>
        <v/>
      </c>
      <c r="Q176" s="18" t="str">
        <f t="shared" si="35"/>
        <v/>
      </c>
      <c r="R176" s="19" t="str">
        <f>IF(C176="","",IF(ISNA(MATCH(B176,'Registru oferte'!$B$5:$B$504,0)),"Oferta nu există în registru",IF(N(F176)&lt;=0,"Lipsește cantitatea",IF(AND(ISNUMBER(Q176),Q176&lt;MarjaMin),"Marjă sub minim ("&amp;TEXT(Q176*100,"0")&amp;"%)",""))))</f>
        <v/>
      </c>
      <c r="S176" s="1" t="str">
        <f>IF(B176="","",B176&amp;"|"&amp;COUNTIF($B$5:B176,B176))</f>
        <v/>
      </c>
    </row>
    <row r="177" spans="2:19" x14ac:dyDescent="0.2">
      <c r="B177" s="11"/>
      <c r="C177" s="11"/>
      <c r="D177" s="10" t="str">
        <f t="shared" si="24"/>
        <v/>
      </c>
      <c r="E177" s="15" t="str">
        <f t="shared" si="25"/>
        <v/>
      </c>
      <c r="F177" s="11"/>
      <c r="G177" s="16" t="str">
        <f t="shared" si="26"/>
        <v/>
      </c>
      <c r="H177" s="17"/>
      <c r="I177" s="16" t="str">
        <f t="shared" si="27"/>
        <v/>
      </c>
      <c r="J177" s="16" t="str">
        <f t="shared" si="28"/>
        <v/>
      </c>
      <c r="K177" s="18" t="str">
        <f t="shared" si="29"/>
        <v/>
      </c>
      <c r="L177" s="16" t="str">
        <f t="shared" si="30"/>
        <v/>
      </c>
      <c r="M177" s="16" t="str">
        <f t="shared" si="31"/>
        <v/>
      </c>
      <c r="N177" s="16" t="str">
        <f t="shared" si="32"/>
        <v/>
      </c>
      <c r="O177" s="16" t="str">
        <f t="shared" si="33"/>
        <v/>
      </c>
      <c r="P177" s="16" t="str">
        <f t="shared" si="34"/>
        <v/>
      </c>
      <c r="Q177" s="18" t="str">
        <f t="shared" si="35"/>
        <v/>
      </c>
      <c r="R177" s="19" t="str">
        <f>IF(C177="","",IF(ISNA(MATCH(B177,'Registru oferte'!$B$5:$B$504,0)),"Oferta nu există în registru",IF(N(F177)&lt;=0,"Lipsește cantitatea",IF(AND(ISNUMBER(Q177),Q177&lt;MarjaMin),"Marjă sub minim ("&amp;TEXT(Q177*100,"0")&amp;"%)",""))))</f>
        <v/>
      </c>
      <c r="S177" s="1" t="str">
        <f>IF(B177="","",B177&amp;"|"&amp;COUNTIF($B$5:B177,B177))</f>
        <v/>
      </c>
    </row>
    <row r="178" spans="2:19" x14ac:dyDescent="0.2">
      <c r="B178" s="11"/>
      <c r="C178" s="11"/>
      <c r="D178" s="10" t="str">
        <f t="shared" si="24"/>
        <v/>
      </c>
      <c r="E178" s="15" t="str">
        <f t="shared" si="25"/>
        <v/>
      </c>
      <c r="F178" s="11"/>
      <c r="G178" s="16" t="str">
        <f t="shared" si="26"/>
        <v/>
      </c>
      <c r="H178" s="17"/>
      <c r="I178" s="16" t="str">
        <f t="shared" si="27"/>
        <v/>
      </c>
      <c r="J178" s="16" t="str">
        <f t="shared" si="28"/>
        <v/>
      </c>
      <c r="K178" s="18" t="str">
        <f t="shared" si="29"/>
        <v/>
      </c>
      <c r="L178" s="16" t="str">
        <f t="shared" si="30"/>
        <v/>
      </c>
      <c r="M178" s="16" t="str">
        <f t="shared" si="31"/>
        <v/>
      </c>
      <c r="N178" s="16" t="str">
        <f t="shared" si="32"/>
        <v/>
      </c>
      <c r="O178" s="16" t="str">
        <f t="shared" si="33"/>
        <v/>
      </c>
      <c r="P178" s="16" t="str">
        <f t="shared" si="34"/>
        <v/>
      </c>
      <c r="Q178" s="18" t="str">
        <f t="shared" si="35"/>
        <v/>
      </c>
      <c r="R178" s="19" t="str">
        <f>IF(C178="","",IF(ISNA(MATCH(B178,'Registru oferte'!$B$5:$B$504,0)),"Oferta nu există în registru",IF(N(F178)&lt;=0,"Lipsește cantitatea",IF(AND(ISNUMBER(Q178),Q178&lt;MarjaMin),"Marjă sub minim ("&amp;TEXT(Q178*100,"0")&amp;"%)",""))))</f>
        <v/>
      </c>
      <c r="S178" s="1" t="str">
        <f>IF(B178="","",B178&amp;"|"&amp;COUNTIF($B$5:B178,B178))</f>
        <v/>
      </c>
    </row>
    <row r="179" spans="2:19" x14ac:dyDescent="0.2">
      <c r="B179" s="11"/>
      <c r="C179" s="11"/>
      <c r="D179" s="10" t="str">
        <f t="shared" si="24"/>
        <v/>
      </c>
      <c r="E179" s="15" t="str">
        <f t="shared" si="25"/>
        <v/>
      </c>
      <c r="F179" s="11"/>
      <c r="G179" s="16" t="str">
        <f t="shared" si="26"/>
        <v/>
      </c>
      <c r="H179" s="17"/>
      <c r="I179" s="16" t="str">
        <f t="shared" si="27"/>
        <v/>
      </c>
      <c r="J179" s="16" t="str">
        <f t="shared" si="28"/>
        <v/>
      </c>
      <c r="K179" s="18" t="str">
        <f t="shared" si="29"/>
        <v/>
      </c>
      <c r="L179" s="16" t="str">
        <f t="shared" si="30"/>
        <v/>
      </c>
      <c r="M179" s="16" t="str">
        <f t="shared" si="31"/>
        <v/>
      </c>
      <c r="N179" s="16" t="str">
        <f t="shared" si="32"/>
        <v/>
      </c>
      <c r="O179" s="16" t="str">
        <f t="shared" si="33"/>
        <v/>
      </c>
      <c r="P179" s="16" t="str">
        <f t="shared" si="34"/>
        <v/>
      </c>
      <c r="Q179" s="18" t="str">
        <f t="shared" si="35"/>
        <v/>
      </c>
      <c r="R179" s="19" t="str">
        <f>IF(C179="","",IF(ISNA(MATCH(B179,'Registru oferte'!$B$5:$B$504,0)),"Oferta nu există în registru",IF(N(F179)&lt;=0,"Lipsește cantitatea",IF(AND(ISNUMBER(Q179),Q179&lt;MarjaMin),"Marjă sub minim ("&amp;TEXT(Q179*100,"0")&amp;"%)",""))))</f>
        <v/>
      </c>
      <c r="S179" s="1" t="str">
        <f>IF(B179="","",B179&amp;"|"&amp;COUNTIF($B$5:B179,B179))</f>
        <v/>
      </c>
    </row>
    <row r="180" spans="2:19" x14ac:dyDescent="0.2">
      <c r="B180" s="11"/>
      <c r="C180" s="11"/>
      <c r="D180" s="10" t="str">
        <f t="shared" si="24"/>
        <v/>
      </c>
      <c r="E180" s="15" t="str">
        <f t="shared" si="25"/>
        <v/>
      </c>
      <c r="F180" s="11"/>
      <c r="G180" s="16" t="str">
        <f t="shared" si="26"/>
        <v/>
      </c>
      <c r="H180" s="17"/>
      <c r="I180" s="16" t="str">
        <f t="shared" si="27"/>
        <v/>
      </c>
      <c r="J180" s="16" t="str">
        <f t="shared" si="28"/>
        <v/>
      </c>
      <c r="K180" s="18" t="str">
        <f t="shared" si="29"/>
        <v/>
      </c>
      <c r="L180" s="16" t="str">
        <f t="shared" si="30"/>
        <v/>
      </c>
      <c r="M180" s="16" t="str">
        <f t="shared" si="31"/>
        <v/>
      </c>
      <c r="N180" s="16" t="str">
        <f t="shared" si="32"/>
        <v/>
      </c>
      <c r="O180" s="16" t="str">
        <f t="shared" si="33"/>
        <v/>
      </c>
      <c r="P180" s="16" t="str">
        <f t="shared" si="34"/>
        <v/>
      </c>
      <c r="Q180" s="18" t="str">
        <f t="shared" si="35"/>
        <v/>
      </c>
      <c r="R180" s="19" t="str">
        <f>IF(C180="","",IF(ISNA(MATCH(B180,'Registru oferte'!$B$5:$B$504,0)),"Oferta nu există în registru",IF(N(F180)&lt;=0,"Lipsește cantitatea",IF(AND(ISNUMBER(Q180),Q180&lt;MarjaMin),"Marjă sub minim ("&amp;TEXT(Q180*100,"0")&amp;"%)",""))))</f>
        <v/>
      </c>
      <c r="S180" s="1" t="str">
        <f>IF(B180="","",B180&amp;"|"&amp;COUNTIF($B$5:B180,B180))</f>
        <v/>
      </c>
    </row>
    <row r="181" spans="2:19" x14ac:dyDescent="0.2">
      <c r="B181" s="11"/>
      <c r="C181" s="11"/>
      <c r="D181" s="10" t="str">
        <f t="shared" si="24"/>
        <v/>
      </c>
      <c r="E181" s="15" t="str">
        <f t="shared" si="25"/>
        <v/>
      </c>
      <c r="F181" s="11"/>
      <c r="G181" s="16" t="str">
        <f t="shared" si="26"/>
        <v/>
      </c>
      <c r="H181" s="17"/>
      <c r="I181" s="16" t="str">
        <f t="shared" si="27"/>
        <v/>
      </c>
      <c r="J181" s="16" t="str">
        <f t="shared" si="28"/>
        <v/>
      </c>
      <c r="K181" s="18" t="str">
        <f t="shared" si="29"/>
        <v/>
      </c>
      <c r="L181" s="16" t="str">
        <f t="shared" si="30"/>
        <v/>
      </c>
      <c r="M181" s="16" t="str">
        <f t="shared" si="31"/>
        <v/>
      </c>
      <c r="N181" s="16" t="str">
        <f t="shared" si="32"/>
        <v/>
      </c>
      <c r="O181" s="16" t="str">
        <f t="shared" si="33"/>
        <v/>
      </c>
      <c r="P181" s="16" t="str">
        <f t="shared" si="34"/>
        <v/>
      </c>
      <c r="Q181" s="18" t="str">
        <f t="shared" si="35"/>
        <v/>
      </c>
      <c r="R181" s="19" t="str">
        <f>IF(C181="","",IF(ISNA(MATCH(B181,'Registru oferte'!$B$5:$B$504,0)),"Oferta nu există în registru",IF(N(F181)&lt;=0,"Lipsește cantitatea",IF(AND(ISNUMBER(Q181),Q181&lt;MarjaMin),"Marjă sub minim ("&amp;TEXT(Q181*100,"0")&amp;"%)",""))))</f>
        <v/>
      </c>
      <c r="S181" s="1" t="str">
        <f>IF(B181="","",B181&amp;"|"&amp;COUNTIF($B$5:B181,B181))</f>
        <v/>
      </c>
    </row>
    <row r="182" spans="2:19" x14ac:dyDescent="0.2">
      <c r="B182" s="11"/>
      <c r="C182" s="11"/>
      <c r="D182" s="10" t="str">
        <f t="shared" si="24"/>
        <v/>
      </c>
      <c r="E182" s="15" t="str">
        <f t="shared" si="25"/>
        <v/>
      </c>
      <c r="F182" s="11"/>
      <c r="G182" s="16" t="str">
        <f t="shared" si="26"/>
        <v/>
      </c>
      <c r="H182" s="17"/>
      <c r="I182" s="16" t="str">
        <f t="shared" si="27"/>
        <v/>
      </c>
      <c r="J182" s="16" t="str">
        <f t="shared" si="28"/>
        <v/>
      </c>
      <c r="K182" s="18" t="str">
        <f t="shared" si="29"/>
        <v/>
      </c>
      <c r="L182" s="16" t="str">
        <f t="shared" si="30"/>
        <v/>
      </c>
      <c r="M182" s="16" t="str">
        <f t="shared" si="31"/>
        <v/>
      </c>
      <c r="N182" s="16" t="str">
        <f t="shared" si="32"/>
        <v/>
      </c>
      <c r="O182" s="16" t="str">
        <f t="shared" si="33"/>
        <v/>
      </c>
      <c r="P182" s="16" t="str">
        <f t="shared" si="34"/>
        <v/>
      </c>
      <c r="Q182" s="18" t="str">
        <f t="shared" si="35"/>
        <v/>
      </c>
      <c r="R182" s="19" t="str">
        <f>IF(C182="","",IF(ISNA(MATCH(B182,'Registru oferte'!$B$5:$B$504,0)),"Oferta nu există în registru",IF(N(F182)&lt;=0,"Lipsește cantitatea",IF(AND(ISNUMBER(Q182),Q182&lt;MarjaMin),"Marjă sub minim ("&amp;TEXT(Q182*100,"0")&amp;"%)",""))))</f>
        <v/>
      </c>
      <c r="S182" s="1" t="str">
        <f>IF(B182="","",B182&amp;"|"&amp;COUNTIF($B$5:B182,B182))</f>
        <v/>
      </c>
    </row>
    <row r="183" spans="2:19" x14ac:dyDescent="0.2">
      <c r="B183" s="11"/>
      <c r="C183" s="11"/>
      <c r="D183" s="10" t="str">
        <f t="shared" si="24"/>
        <v/>
      </c>
      <c r="E183" s="15" t="str">
        <f t="shared" si="25"/>
        <v/>
      </c>
      <c r="F183" s="11"/>
      <c r="G183" s="16" t="str">
        <f t="shared" si="26"/>
        <v/>
      </c>
      <c r="H183" s="17"/>
      <c r="I183" s="16" t="str">
        <f t="shared" si="27"/>
        <v/>
      </c>
      <c r="J183" s="16" t="str">
        <f t="shared" si="28"/>
        <v/>
      </c>
      <c r="K183" s="18" t="str">
        <f t="shared" si="29"/>
        <v/>
      </c>
      <c r="L183" s="16" t="str">
        <f t="shared" si="30"/>
        <v/>
      </c>
      <c r="M183" s="16" t="str">
        <f t="shared" si="31"/>
        <v/>
      </c>
      <c r="N183" s="16" t="str">
        <f t="shared" si="32"/>
        <v/>
      </c>
      <c r="O183" s="16" t="str">
        <f t="shared" si="33"/>
        <v/>
      </c>
      <c r="P183" s="16" t="str">
        <f t="shared" si="34"/>
        <v/>
      </c>
      <c r="Q183" s="18" t="str">
        <f t="shared" si="35"/>
        <v/>
      </c>
      <c r="R183" s="19" t="str">
        <f>IF(C183="","",IF(ISNA(MATCH(B183,'Registru oferte'!$B$5:$B$504,0)),"Oferta nu există în registru",IF(N(F183)&lt;=0,"Lipsește cantitatea",IF(AND(ISNUMBER(Q183),Q183&lt;MarjaMin),"Marjă sub minim ("&amp;TEXT(Q183*100,"0")&amp;"%)",""))))</f>
        <v/>
      </c>
      <c r="S183" s="1" t="str">
        <f>IF(B183="","",B183&amp;"|"&amp;COUNTIF($B$5:B183,B183))</f>
        <v/>
      </c>
    </row>
    <row r="184" spans="2:19" x14ac:dyDescent="0.2">
      <c r="B184" s="11"/>
      <c r="C184" s="11"/>
      <c r="D184" s="10" t="str">
        <f t="shared" si="24"/>
        <v/>
      </c>
      <c r="E184" s="15" t="str">
        <f t="shared" si="25"/>
        <v/>
      </c>
      <c r="F184" s="11"/>
      <c r="G184" s="16" t="str">
        <f t="shared" si="26"/>
        <v/>
      </c>
      <c r="H184" s="17"/>
      <c r="I184" s="16" t="str">
        <f t="shared" si="27"/>
        <v/>
      </c>
      <c r="J184" s="16" t="str">
        <f t="shared" si="28"/>
        <v/>
      </c>
      <c r="K184" s="18" t="str">
        <f t="shared" si="29"/>
        <v/>
      </c>
      <c r="L184" s="16" t="str">
        <f t="shared" si="30"/>
        <v/>
      </c>
      <c r="M184" s="16" t="str">
        <f t="shared" si="31"/>
        <v/>
      </c>
      <c r="N184" s="16" t="str">
        <f t="shared" si="32"/>
        <v/>
      </c>
      <c r="O184" s="16" t="str">
        <f t="shared" si="33"/>
        <v/>
      </c>
      <c r="P184" s="16" t="str">
        <f t="shared" si="34"/>
        <v/>
      </c>
      <c r="Q184" s="18" t="str">
        <f t="shared" si="35"/>
        <v/>
      </c>
      <c r="R184" s="19" t="str">
        <f>IF(C184="","",IF(ISNA(MATCH(B184,'Registru oferte'!$B$5:$B$504,0)),"Oferta nu există în registru",IF(N(F184)&lt;=0,"Lipsește cantitatea",IF(AND(ISNUMBER(Q184),Q184&lt;MarjaMin),"Marjă sub minim ("&amp;TEXT(Q184*100,"0")&amp;"%)",""))))</f>
        <v/>
      </c>
      <c r="S184" s="1" t="str">
        <f>IF(B184="","",B184&amp;"|"&amp;COUNTIF($B$5:B184,B184))</f>
        <v/>
      </c>
    </row>
    <row r="185" spans="2:19" x14ac:dyDescent="0.2">
      <c r="B185" s="11"/>
      <c r="C185" s="11"/>
      <c r="D185" s="10" t="str">
        <f t="shared" si="24"/>
        <v/>
      </c>
      <c r="E185" s="15" t="str">
        <f t="shared" si="25"/>
        <v/>
      </c>
      <c r="F185" s="11"/>
      <c r="G185" s="16" t="str">
        <f t="shared" si="26"/>
        <v/>
      </c>
      <c r="H185" s="17"/>
      <c r="I185" s="16" t="str">
        <f t="shared" si="27"/>
        <v/>
      </c>
      <c r="J185" s="16" t="str">
        <f t="shared" si="28"/>
        <v/>
      </c>
      <c r="K185" s="18" t="str">
        <f t="shared" si="29"/>
        <v/>
      </c>
      <c r="L185" s="16" t="str">
        <f t="shared" si="30"/>
        <v/>
      </c>
      <c r="M185" s="16" t="str">
        <f t="shared" si="31"/>
        <v/>
      </c>
      <c r="N185" s="16" t="str">
        <f t="shared" si="32"/>
        <v/>
      </c>
      <c r="O185" s="16" t="str">
        <f t="shared" si="33"/>
        <v/>
      </c>
      <c r="P185" s="16" t="str">
        <f t="shared" si="34"/>
        <v/>
      </c>
      <c r="Q185" s="18" t="str">
        <f t="shared" si="35"/>
        <v/>
      </c>
      <c r="R185" s="19" t="str">
        <f>IF(C185="","",IF(ISNA(MATCH(B185,'Registru oferte'!$B$5:$B$504,0)),"Oferta nu există în registru",IF(N(F185)&lt;=0,"Lipsește cantitatea",IF(AND(ISNUMBER(Q185),Q185&lt;MarjaMin),"Marjă sub minim ("&amp;TEXT(Q185*100,"0")&amp;"%)",""))))</f>
        <v/>
      </c>
      <c r="S185" s="1" t="str">
        <f>IF(B185="","",B185&amp;"|"&amp;COUNTIF($B$5:B185,B185))</f>
        <v/>
      </c>
    </row>
    <row r="186" spans="2:19" x14ac:dyDescent="0.2">
      <c r="B186" s="11"/>
      <c r="C186" s="11"/>
      <c r="D186" s="10" t="str">
        <f t="shared" si="24"/>
        <v/>
      </c>
      <c r="E186" s="15" t="str">
        <f t="shared" si="25"/>
        <v/>
      </c>
      <c r="F186" s="11"/>
      <c r="G186" s="16" t="str">
        <f t="shared" si="26"/>
        <v/>
      </c>
      <c r="H186" s="17"/>
      <c r="I186" s="16" t="str">
        <f t="shared" si="27"/>
        <v/>
      </c>
      <c r="J186" s="16" t="str">
        <f t="shared" si="28"/>
        <v/>
      </c>
      <c r="K186" s="18" t="str">
        <f t="shared" si="29"/>
        <v/>
      </c>
      <c r="L186" s="16" t="str">
        <f t="shared" si="30"/>
        <v/>
      </c>
      <c r="M186" s="16" t="str">
        <f t="shared" si="31"/>
        <v/>
      </c>
      <c r="N186" s="16" t="str">
        <f t="shared" si="32"/>
        <v/>
      </c>
      <c r="O186" s="16" t="str">
        <f t="shared" si="33"/>
        <v/>
      </c>
      <c r="P186" s="16" t="str">
        <f t="shared" si="34"/>
        <v/>
      </c>
      <c r="Q186" s="18" t="str">
        <f t="shared" si="35"/>
        <v/>
      </c>
      <c r="R186" s="19" t="str">
        <f>IF(C186="","",IF(ISNA(MATCH(B186,'Registru oferte'!$B$5:$B$504,0)),"Oferta nu există în registru",IF(N(F186)&lt;=0,"Lipsește cantitatea",IF(AND(ISNUMBER(Q186),Q186&lt;MarjaMin),"Marjă sub minim ("&amp;TEXT(Q186*100,"0")&amp;"%)",""))))</f>
        <v/>
      </c>
      <c r="S186" s="1" t="str">
        <f>IF(B186="","",B186&amp;"|"&amp;COUNTIF($B$5:B186,B186))</f>
        <v/>
      </c>
    </row>
    <row r="187" spans="2:19" x14ac:dyDescent="0.2">
      <c r="B187" s="11"/>
      <c r="C187" s="11"/>
      <c r="D187" s="10" t="str">
        <f t="shared" si="24"/>
        <v/>
      </c>
      <c r="E187" s="15" t="str">
        <f t="shared" si="25"/>
        <v/>
      </c>
      <c r="F187" s="11"/>
      <c r="G187" s="16" t="str">
        <f t="shared" si="26"/>
        <v/>
      </c>
      <c r="H187" s="17"/>
      <c r="I187" s="16" t="str">
        <f t="shared" si="27"/>
        <v/>
      </c>
      <c r="J187" s="16" t="str">
        <f t="shared" si="28"/>
        <v/>
      </c>
      <c r="K187" s="18" t="str">
        <f t="shared" si="29"/>
        <v/>
      </c>
      <c r="L187" s="16" t="str">
        <f t="shared" si="30"/>
        <v/>
      </c>
      <c r="M187" s="16" t="str">
        <f t="shared" si="31"/>
        <v/>
      </c>
      <c r="N187" s="16" t="str">
        <f t="shared" si="32"/>
        <v/>
      </c>
      <c r="O187" s="16" t="str">
        <f t="shared" si="33"/>
        <v/>
      </c>
      <c r="P187" s="16" t="str">
        <f t="shared" si="34"/>
        <v/>
      </c>
      <c r="Q187" s="18" t="str">
        <f t="shared" si="35"/>
        <v/>
      </c>
      <c r="R187" s="19" t="str">
        <f>IF(C187="","",IF(ISNA(MATCH(B187,'Registru oferte'!$B$5:$B$504,0)),"Oferta nu există în registru",IF(N(F187)&lt;=0,"Lipsește cantitatea",IF(AND(ISNUMBER(Q187),Q187&lt;MarjaMin),"Marjă sub minim ("&amp;TEXT(Q187*100,"0")&amp;"%)",""))))</f>
        <v/>
      </c>
      <c r="S187" s="1" t="str">
        <f>IF(B187="","",B187&amp;"|"&amp;COUNTIF($B$5:B187,B187))</f>
        <v/>
      </c>
    </row>
    <row r="188" spans="2:19" x14ac:dyDescent="0.2">
      <c r="B188" s="11"/>
      <c r="C188" s="11"/>
      <c r="D188" s="10" t="str">
        <f t="shared" si="24"/>
        <v/>
      </c>
      <c r="E188" s="15" t="str">
        <f t="shared" si="25"/>
        <v/>
      </c>
      <c r="F188" s="11"/>
      <c r="G188" s="16" t="str">
        <f t="shared" si="26"/>
        <v/>
      </c>
      <c r="H188" s="17"/>
      <c r="I188" s="16" t="str">
        <f t="shared" si="27"/>
        <v/>
      </c>
      <c r="J188" s="16" t="str">
        <f t="shared" si="28"/>
        <v/>
      </c>
      <c r="K188" s="18" t="str">
        <f t="shared" si="29"/>
        <v/>
      </c>
      <c r="L188" s="16" t="str">
        <f t="shared" si="30"/>
        <v/>
      </c>
      <c r="M188" s="16" t="str">
        <f t="shared" si="31"/>
        <v/>
      </c>
      <c r="N188" s="16" t="str">
        <f t="shared" si="32"/>
        <v/>
      </c>
      <c r="O188" s="16" t="str">
        <f t="shared" si="33"/>
        <v/>
      </c>
      <c r="P188" s="16" t="str">
        <f t="shared" si="34"/>
        <v/>
      </c>
      <c r="Q188" s="18" t="str">
        <f t="shared" si="35"/>
        <v/>
      </c>
      <c r="R188" s="19" t="str">
        <f>IF(C188="","",IF(ISNA(MATCH(B188,'Registru oferte'!$B$5:$B$504,0)),"Oferta nu există în registru",IF(N(F188)&lt;=0,"Lipsește cantitatea",IF(AND(ISNUMBER(Q188),Q188&lt;MarjaMin),"Marjă sub minim ("&amp;TEXT(Q188*100,"0")&amp;"%)",""))))</f>
        <v/>
      </c>
      <c r="S188" s="1" t="str">
        <f>IF(B188="","",B188&amp;"|"&amp;COUNTIF($B$5:B188,B188))</f>
        <v/>
      </c>
    </row>
    <row r="189" spans="2:19" x14ac:dyDescent="0.2">
      <c r="B189" s="11"/>
      <c r="C189" s="11"/>
      <c r="D189" s="10" t="str">
        <f t="shared" si="24"/>
        <v/>
      </c>
      <c r="E189" s="15" t="str">
        <f t="shared" si="25"/>
        <v/>
      </c>
      <c r="F189" s="11"/>
      <c r="G189" s="16" t="str">
        <f t="shared" si="26"/>
        <v/>
      </c>
      <c r="H189" s="17"/>
      <c r="I189" s="16" t="str">
        <f t="shared" si="27"/>
        <v/>
      </c>
      <c r="J189" s="16" t="str">
        <f t="shared" si="28"/>
        <v/>
      </c>
      <c r="K189" s="18" t="str">
        <f t="shared" si="29"/>
        <v/>
      </c>
      <c r="L189" s="16" t="str">
        <f t="shared" si="30"/>
        <v/>
      </c>
      <c r="M189" s="16" t="str">
        <f t="shared" si="31"/>
        <v/>
      </c>
      <c r="N189" s="16" t="str">
        <f t="shared" si="32"/>
        <v/>
      </c>
      <c r="O189" s="16" t="str">
        <f t="shared" si="33"/>
        <v/>
      </c>
      <c r="P189" s="16" t="str">
        <f t="shared" si="34"/>
        <v/>
      </c>
      <c r="Q189" s="18" t="str">
        <f t="shared" si="35"/>
        <v/>
      </c>
      <c r="R189" s="19" t="str">
        <f>IF(C189="","",IF(ISNA(MATCH(B189,'Registru oferte'!$B$5:$B$504,0)),"Oferta nu există în registru",IF(N(F189)&lt;=0,"Lipsește cantitatea",IF(AND(ISNUMBER(Q189),Q189&lt;MarjaMin),"Marjă sub minim ("&amp;TEXT(Q189*100,"0")&amp;"%)",""))))</f>
        <v/>
      </c>
      <c r="S189" s="1" t="str">
        <f>IF(B189="","",B189&amp;"|"&amp;COUNTIF($B$5:B189,B189))</f>
        <v/>
      </c>
    </row>
    <row r="190" spans="2:19" x14ac:dyDescent="0.2">
      <c r="B190" s="11"/>
      <c r="C190" s="11"/>
      <c r="D190" s="10" t="str">
        <f t="shared" si="24"/>
        <v/>
      </c>
      <c r="E190" s="15" t="str">
        <f t="shared" si="25"/>
        <v/>
      </c>
      <c r="F190" s="11"/>
      <c r="G190" s="16" t="str">
        <f t="shared" si="26"/>
        <v/>
      </c>
      <c r="H190" s="17"/>
      <c r="I190" s="16" t="str">
        <f t="shared" si="27"/>
        <v/>
      </c>
      <c r="J190" s="16" t="str">
        <f t="shared" si="28"/>
        <v/>
      </c>
      <c r="K190" s="18" t="str">
        <f t="shared" si="29"/>
        <v/>
      </c>
      <c r="L190" s="16" t="str">
        <f t="shared" si="30"/>
        <v/>
      </c>
      <c r="M190" s="16" t="str">
        <f t="shared" si="31"/>
        <v/>
      </c>
      <c r="N190" s="16" t="str">
        <f t="shared" si="32"/>
        <v/>
      </c>
      <c r="O190" s="16" t="str">
        <f t="shared" si="33"/>
        <v/>
      </c>
      <c r="P190" s="16" t="str">
        <f t="shared" si="34"/>
        <v/>
      </c>
      <c r="Q190" s="18" t="str">
        <f t="shared" si="35"/>
        <v/>
      </c>
      <c r="R190" s="19" t="str">
        <f>IF(C190="","",IF(ISNA(MATCH(B190,'Registru oferte'!$B$5:$B$504,0)),"Oferta nu există în registru",IF(N(F190)&lt;=0,"Lipsește cantitatea",IF(AND(ISNUMBER(Q190),Q190&lt;MarjaMin),"Marjă sub minim ("&amp;TEXT(Q190*100,"0")&amp;"%)",""))))</f>
        <v/>
      </c>
      <c r="S190" s="1" t="str">
        <f>IF(B190="","",B190&amp;"|"&amp;COUNTIF($B$5:B190,B190))</f>
        <v/>
      </c>
    </row>
    <row r="191" spans="2:19" x14ac:dyDescent="0.2">
      <c r="B191" s="11"/>
      <c r="C191" s="11"/>
      <c r="D191" s="10" t="str">
        <f t="shared" si="24"/>
        <v/>
      </c>
      <c r="E191" s="15" t="str">
        <f t="shared" si="25"/>
        <v/>
      </c>
      <c r="F191" s="11"/>
      <c r="G191" s="16" t="str">
        <f t="shared" si="26"/>
        <v/>
      </c>
      <c r="H191" s="17"/>
      <c r="I191" s="16" t="str">
        <f t="shared" si="27"/>
        <v/>
      </c>
      <c r="J191" s="16" t="str">
        <f t="shared" si="28"/>
        <v/>
      </c>
      <c r="K191" s="18" t="str">
        <f t="shared" si="29"/>
        <v/>
      </c>
      <c r="L191" s="16" t="str">
        <f t="shared" si="30"/>
        <v/>
      </c>
      <c r="M191" s="16" t="str">
        <f t="shared" si="31"/>
        <v/>
      </c>
      <c r="N191" s="16" t="str">
        <f t="shared" si="32"/>
        <v/>
      </c>
      <c r="O191" s="16" t="str">
        <f t="shared" si="33"/>
        <v/>
      </c>
      <c r="P191" s="16" t="str">
        <f t="shared" si="34"/>
        <v/>
      </c>
      <c r="Q191" s="18" t="str">
        <f t="shared" si="35"/>
        <v/>
      </c>
      <c r="R191" s="19" t="str">
        <f>IF(C191="","",IF(ISNA(MATCH(B191,'Registru oferte'!$B$5:$B$504,0)),"Oferta nu există în registru",IF(N(F191)&lt;=0,"Lipsește cantitatea",IF(AND(ISNUMBER(Q191),Q191&lt;MarjaMin),"Marjă sub minim ("&amp;TEXT(Q191*100,"0")&amp;"%)",""))))</f>
        <v/>
      </c>
      <c r="S191" s="1" t="str">
        <f>IF(B191="","",B191&amp;"|"&amp;COUNTIF($B$5:B191,B191))</f>
        <v/>
      </c>
    </row>
    <row r="192" spans="2:19" x14ac:dyDescent="0.2">
      <c r="B192" s="11"/>
      <c r="C192" s="11"/>
      <c r="D192" s="10" t="str">
        <f t="shared" si="24"/>
        <v/>
      </c>
      <c r="E192" s="15" t="str">
        <f t="shared" si="25"/>
        <v/>
      </c>
      <c r="F192" s="11"/>
      <c r="G192" s="16" t="str">
        <f t="shared" si="26"/>
        <v/>
      </c>
      <c r="H192" s="17"/>
      <c r="I192" s="16" t="str">
        <f t="shared" si="27"/>
        <v/>
      </c>
      <c r="J192" s="16" t="str">
        <f t="shared" si="28"/>
        <v/>
      </c>
      <c r="K192" s="18" t="str">
        <f t="shared" si="29"/>
        <v/>
      </c>
      <c r="L192" s="16" t="str">
        <f t="shared" si="30"/>
        <v/>
      </c>
      <c r="M192" s="16" t="str">
        <f t="shared" si="31"/>
        <v/>
      </c>
      <c r="N192" s="16" t="str">
        <f t="shared" si="32"/>
        <v/>
      </c>
      <c r="O192" s="16" t="str">
        <f t="shared" si="33"/>
        <v/>
      </c>
      <c r="P192" s="16" t="str">
        <f t="shared" si="34"/>
        <v/>
      </c>
      <c r="Q192" s="18" t="str">
        <f t="shared" si="35"/>
        <v/>
      </c>
      <c r="R192" s="19" t="str">
        <f>IF(C192="","",IF(ISNA(MATCH(B192,'Registru oferte'!$B$5:$B$504,0)),"Oferta nu există în registru",IF(N(F192)&lt;=0,"Lipsește cantitatea",IF(AND(ISNUMBER(Q192),Q192&lt;MarjaMin),"Marjă sub minim ("&amp;TEXT(Q192*100,"0")&amp;"%)",""))))</f>
        <v/>
      </c>
      <c r="S192" s="1" t="str">
        <f>IF(B192="","",B192&amp;"|"&amp;COUNTIF($B$5:B192,B192))</f>
        <v/>
      </c>
    </row>
    <row r="193" spans="2:19" x14ac:dyDescent="0.2">
      <c r="B193" s="11"/>
      <c r="C193" s="11"/>
      <c r="D193" s="10" t="str">
        <f t="shared" si="24"/>
        <v/>
      </c>
      <c r="E193" s="15" t="str">
        <f t="shared" si="25"/>
        <v/>
      </c>
      <c r="F193" s="11"/>
      <c r="G193" s="16" t="str">
        <f t="shared" si="26"/>
        <v/>
      </c>
      <c r="H193" s="17"/>
      <c r="I193" s="16" t="str">
        <f t="shared" si="27"/>
        <v/>
      </c>
      <c r="J193" s="16" t="str">
        <f t="shared" si="28"/>
        <v/>
      </c>
      <c r="K193" s="18" t="str">
        <f t="shared" si="29"/>
        <v/>
      </c>
      <c r="L193" s="16" t="str">
        <f t="shared" si="30"/>
        <v/>
      </c>
      <c r="M193" s="16" t="str">
        <f t="shared" si="31"/>
        <v/>
      </c>
      <c r="N193" s="16" t="str">
        <f t="shared" si="32"/>
        <v/>
      </c>
      <c r="O193" s="16" t="str">
        <f t="shared" si="33"/>
        <v/>
      </c>
      <c r="P193" s="16" t="str">
        <f t="shared" si="34"/>
        <v/>
      </c>
      <c r="Q193" s="18" t="str">
        <f t="shared" si="35"/>
        <v/>
      </c>
      <c r="R193" s="19" t="str">
        <f>IF(C193="","",IF(ISNA(MATCH(B193,'Registru oferte'!$B$5:$B$504,0)),"Oferta nu există în registru",IF(N(F193)&lt;=0,"Lipsește cantitatea",IF(AND(ISNUMBER(Q193),Q193&lt;MarjaMin),"Marjă sub minim ("&amp;TEXT(Q193*100,"0")&amp;"%)",""))))</f>
        <v/>
      </c>
      <c r="S193" s="1" t="str">
        <f>IF(B193="","",B193&amp;"|"&amp;COUNTIF($B$5:B193,B193))</f>
        <v/>
      </c>
    </row>
    <row r="194" spans="2:19" x14ac:dyDescent="0.2">
      <c r="B194" s="11"/>
      <c r="C194" s="11"/>
      <c r="D194" s="10" t="str">
        <f t="shared" si="24"/>
        <v/>
      </c>
      <c r="E194" s="15" t="str">
        <f t="shared" si="25"/>
        <v/>
      </c>
      <c r="F194" s="11"/>
      <c r="G194" s="16" t="str">
        <f t="shared" si="26"/>
        <v/>
      </c>
      <c r="H194" s="17"/>
      <c r="I194" s="16" t="str">
        <f t="shared" si="27"/>
        <v/>
      </c>
      <c r="J194" s="16" t="str">
        <f t="shared" si="28"/>
        <v/>
      </c>
      <c r="K194" s="18" t="str">
        <f t="shared" si="29"/>
        <v/>
      </c>
      <c r="L194" s="16" t="str">
        <f t="shared" si="30"/>
        <v/>
      </c>
      <c r="M194" s="16" t="str">
        <f t="shared" si="31"/>
        <v/>
      </c>
      <c r="N194" s="16" t="str">
        <f t="shared" si="32"/>
        <v/>
      </c>
      <c r="O194" s="16" t="str">
        <f t="shared" si="33"/>
        <v/>
      </c>
      <c r="P194" s="16" t="str">
        <f t="shared" si="34"/>
        <v/>
      </c>
      <c r="Q194" s="18" t="str">
        <f t="shared" si="35"/>
        <v/>
      </c>
      <c r="R194" s="19" t="str">
        <f>IF(C194="","",IF(ISNA(MATCH(B194,'Registru oferte'!$B$5:$B$504,0)),"Oferta nu există în registru",IF(N(F194)&lt;=0,"Lipsește cantitatea",IF(AND(ISNUMBER(Q194),Q194&lt;MarjaMin),"Marjă sub minim ("&amp;TEXT(Q194*100,"0")&amp;"%)",""))))</f>
        <v/>
      </c>
      <c r="S194" s="1" t="str">
        <f>IF(B194="","",B194&amp;"|"&amp;COUNTIF($B$5:B194,B194))</f>
        <v/>
      </c>
    </row>
    <row r="195" spans="2:19" x14ac:dyDescent="0.2">
      <c r="B195" s="11"/>
      <c r="C195" s="11"/>
      <c r="D195" s="10" t="str">
        <f t="shared" si="24"/>
        <v/>
      </c>
      <c r="E195" s="15" t="str">
        <f t="shared" si="25"/>
        <v/>
      </c>
      <c r="F195" s="11"/>
      <c r="G195" s="16" t="str">
        <f t="shared" si="26"/>
        <v/>
      </c>
      <c r="H195" s="17"/>
      <c r="I195" s="16" t="str">
        <f t="shared" si="27"/>
        <v/>
      </c>
      <c r="J195" s="16" t="str">
        <f t="shared" si="28"/>
        <v/>
      </c>
      <c r="K195" s="18" t="str">
        <f t="shared" si="29"/>
        <v/>
      </c>
      <c r="L195" s="16" t="str">
        <f t="shared" si="30"/>
        <v/>
      </c>
      <c r="M195" s="16" t="str">
        <f t="shared" si="31"/>
        <v/>
      </c>
      <c r="N195" s="16" t="str">
        <f t="shared" si="32"/>
        <v/>
      </c>
      <c r="O195" s="16" t="str">
        <f t="shared" si="33"/>
        <v/>
      </c>
      <c r="P195" s="16" t="str">
        <f t="shared" si="34"/>
        <v/>
      </c>
      <c r="Q195" s="18" t="str">
        <f t="shared" si="35"/>
        <v/>
      </c>
      <c r="R195" s="19" t="str">
        <f>IF(C195="","",IF(ISNA(MATCH(B195,'Registru oferte'!$B$5:$B$504,0)),"Oferta nu există în registru",IF(N(F195)&lt;=0,"Lipsește cantitatea",IF(AND(ISNUMBER(Q195),Q195&lt;MarjaMin),"Marjă sub minim ("&amp;TEXT(Q195*100,"0")&amp;"%)",""))))</f>
        <v/>
      </c>
      <c r="S195" s="1" t="str">
        <f>IF(B195="","",B195&amp;"|"&amp;COUNTIF($B$5:B195,B195))</f>
        <v/>
      </c>
    </row>
    <row r="196" spans="2:19" x14ac:dyDescent="0.2">
      <c r="B196" s="11"/>
      <c r="C196" s="11"/>
      <c r="D196" s="10" t="str">
        <f t="shared" si="24"/>
        <v/>
      </c>
      <c r="E196" s="15" t="str">
        <f t="shared" si="25"/>
        <v/>
      </c>
      <c r="F196" s="11"/>
      <c r="G196" s="16" t="str">
        <f t="shared" si="26"/>
        <v/>
      </c>
      <c r="H196" s="17"/>
      <c r="I196" s="16" t="str">
        <f t="shared" si="27"/>
        <v/>
      </c>
      <c r="J196" s="16" t="str">
        <f t="shared" si="28"/>
        <v/>
      </c>
      <c r="K196" s="18" t="str">
        <f t="shared" si="29"/>
        <v/>
      </c>
      <c r="L196" s="16" t="str">
        <f t="shared" si="30"/>
        <v/>
      </c>
      <c r="M196" s="16" t="str">
        <f t="shared" si="31"/>
        <v/>
      </c>
      <c r="N196" s="16" t="str">
        <f t="shared" si="32"/>
        <v/>
      </c>
      <c r="O196" s="16" t="str">
        <f t="shared" si="33"/>
        <v/>
      </c>
      <c r="P196" s="16" t="str">
        <f t="shared" si="34"/>
        <v/>
      </c>
      <c r="Q196" s="18" t="str">
        <f t="shared" si="35"/>
        <v/>
      </c>
      <c r="R196" s="19" t="str">
        <f>IF(C196="","",IF(ISNA(MATCH(B196,'Registru oferte'!$B$5:$B$504,0)),"Oferta nu există în registru",IF(N(F196)&lt;=0,"Lipsește cantitatea",IF(AND(ISNUMBER(Q196),Q196&lt;MarjaMin),"Marjă sub minim ("&amp;TEXT(Q196*100,"0")&amp;"%)",""))))</f>
        <v/>
      </c>
      <c r="S196" s="1" t="str">
        <f>IF(B196="","",B196&amp;"|"&amp;COUNTIF($B$5:B196,B196))</f>
        <v/>
      </c>
    </row>
    <row r="197" spans="2:19" x14ac:dyDescent="0.2">
      <c r="B197" s="11"/>
      <c r="C197" s="11"/>
      <c r="D197" s="10" t="str">
        <f t="shared" ref="D197:D260" si="36">IF(C197="","",IFERROR(VLOOKUP(C197,TabCat,2,FALSE),"Cod inexistent"))</f>
        <v/>
      </c>
      <c r="E197" s="15" t="str">
        <f t="shared" ref="E197:E260" si="37">IF(C197="","",IFERROR(VLOOKUP(C197,TabCat,3,FALSE),""))</f>
        <v/>
      </c>
      <c r="F197" s="11"/>
      <c r="G197" s="16" t="str">
        <f t="shared" ref="G197:G260" si="38">IF(C197="","",IFERROR(VLOOKUP(C197,TabCat,4,FALSE),0))</f>
        <v/>
      </c>
      <c r="H197" s="17"/>
      <c r="I197" s="16" t="str">
        <f t="shared" ref="I197:I260" si="39">IF(C197="","",ROUND(G197*(1-N(H197)),2))</f>
        <v/>
      </c>
      <c r="J197" s="16" t="str">
        <f t="shared" ref="J197:J260" si="40">IF(C197="","",ROUND(I197*N(F197),2))</f>
        <v/>
      </c>
      <c r="K197" s="18" t="str">
        <f t="shared" ref="K197:K260" si="41">IF(C197="","",IFERROR(VLOOKUP(C197,TabCat,6,FALSE),0))</f>
        <v/>
      </c>
      <c r="L197" s="16" t="str">
        <f t="shared" ref="L197:L260" si="42">IF(C197="","",ROUND(J197*K197,2))</f>
        <v/>
      </c>
      <c r="M197" s="16" t="str">
        <f t="shared" ref="M197:M260" si="43">IF(C197="","",J197+L197)</f>
        <v/>
      </c>
      <c r="N197" s="16" t="str">
        <f t="shared" ref="N197:N260" si="44">IF(C197="","",IFERROR(VLOOKUP(C197,TabCat,5,FALSE),0))</f>
        <v/>
      </c>
      <c r="O197" s="16" t="str">
        <f t="shared" ref="O197:O260" si="45">IF(C197="","",ROUND(N197*N(F197),2))</f>
        <v/>
      </c>
      <c r="P197" s="16" t="str">
        <f t="shared" ref="P197:P260" si="46">IF(C197="","",J197-O197)</f>
        <v/>
      </c>
      <c r="Q197" s="18" t="str">
        <f t="shared" ref="Q197:Q260" si="47">IF(OR(C197="",N(J197)=0),"",P197/J197)</f>
        <v/>
      </c>
      <c r="R197" s="19" t="str">
        <f>IF(C197="","",IF(ISNA(MATCH(B197,'Registru oferte'!$B$5:$B$504,0)),"Oferta nu există în registru",IF(N(F197)&lt;=0,"Lipsește cantitatea",IF(AND(ISNUMBER(Q197),Q197&lt;MarjaMin),"Marjă sub minim ("&amp;TEXT(Q197*100,"0")&amp;"%)",""))))</f>
        <v/>
      </c>
      <c r="S197" s="1" t="str">
        <f>IF(B197="","",B197&amp;"|"&amp;COUNTIF($B$5:B197,B197))</f>
        <v/>
      </c>
    </row>
    <row r="198" spans="2:19" x14ac:dyDescent="0.2">
      <c r="B198" s="11"/>
      <c r="C198" s="11"/>
      <c r="D198" s="10" t="str">
        <f t="shared" si="36"/>
        <v/>
      </c>
      <c r="E198" s="15" t="str">
        <f t="shared" si="37"/>
        <v/>
      </c>
      <c r="F198" s="11"/>
      <c r="G198" s="16" t="str">
        <f t="shared" si="38"/>
        <v/>
      </c>
      <c r="H198" s="17"/>
      <c r="I198" s="16" t="str">
        <f t="shared" si="39"/>
        <v/>
      </c>
      <c r="J198" s="16" t="str">
        <f t="shared" si="40"/>
        <v/>
      </c>
      <c r="K198" s="18" t="str">
        <f t="shared" si="41"/>
        <v/>
      </c>
      <c r="L198" s="16" t="str">
        <f t="shared" si="42"/>
        <v/>
      </c>
      <c r="M198" s="16" t="str">
        <f t="shared" si="43"/>
        <v/>
      </c>
      <c r="N198" s="16" t="str">
        <f t="shared" si="44"/>
        <v/>
      </c>
      <c r="O198" s="16" t="str">
        <f t="shared" si="45"/>
        <v/>
      </c>
      <c r="P198" s="16" t="str">
        <f t="shared" si="46"/>
        <v/>
      </c>
      <c r="Q198" s="18" t="str">
        <f t="shared" si="47"/>
        <v/>
      </c>
      <c r="R198" s="19" t="str">
        <f>IF(C198="","",IF(ISNA(MATCH(B198,'Registru oferte'!$B$5:$B$504,0)),"Oferta nu există în registru",IF(N(F198)&lt;=0,"Lipsește cantitatea",IF(AND(ISNUMBER(Q198),Q198&lt;MarjaMin),"Marjă sub minim ("&amp;TEXT(Q198*100,"0")&amp;"%)",""))))</f>
        <v/>
      </c>
      <c r="S198" s="1" t="str">
        <f>IF(B198="","",B198&amp;"|"&amp;COUNTIF($B$5:B198,B198))</f>
        <v/>
      </c>
    </row>
    <row r="199" spans="2:19" x14ac:dyDescent="0.2">
      <c r="B199" s="11"/>
      <c r="C199" s="11"/>
      <c r="D199" s="10" t="str">
        <f t="shared" si="36"/>
        <v/>
      </c>
      <c r="E199" s="15" t="str">
        <f t="shared" si="37"/>
        <v/>
      </c>
      <c r="F199" s="11"/>
      <c r="G199" s="16" t="str">
        <f t="shared" si="38"/>
        <v/>
      </c>
      <c r="H199" s="17"/>
      <c r="I199" s="16" t="str">
        <f t="shared" si="39"/>
        <v/>
      </c>
      <c r="J199" s="16" t="str">
        <f t="shared" si="40"/>
        <v/>
      </c>
      <c r="K199" s="18" t="str">
        <f t="shared" si="41"/>
        <v/>
      </c>
      <c r="L199" s="16" t="str">
        <f t="shared" si="42"/>
        <v/>
      </c>
      <c r="M199" s="16" t="str">
        <f t="shared" si="43"/>
        <v/>
      </c>
      <c r="N199" s="16" t="str">
        <f t="shared" si="44"/>
        <v/>
      </c>
      <c r="O199" s="16" t="str">
        <f t="shared" si="45"/>
        <v/>
      </c>
      <c r="P199" s="16" t="str">
        <f t="shared" si="46"/>
        <v/>
      </c>
      <c r="Q199" s="18" t="str">
        <f t="shared" si="47"/>
        <v/>
      </c>
      <c r="R199" s="19" t="str">
        <f>IF(C199="","",IF(ISNA(MATCH(B199,'Registru oferte'!$B$5:$B$504,0)),"Oferta nu există în registru",IF(N(F199)&lt;=0,"Lipsește cantitatea",IF(AND(ISNUMBER(Q199),Q199&lt;MarjaMin),"Marjă sub minim ("&amp;TEXT(Q199*100,"0")&amp;"%)",""))))</f>
        <v/>
      </c>
      <c r="S199" s="1" t="str">
        <f>IF(B199="","",B199&amp;"|"&amp;COUNTIF($B$5:B199,B199))</f>
        <v/>
      </c>
    </row>
    <row r="200" spans="2:19" x14ac:dyDescent="0.2">
      <c r="B200" s="11"/>
      <c r="C200" s="11"/>
      <c r="D200" s="10" t="str">
        <f t="shared" si="36"/>
        <v/>
      </c>
      <c r="E200" s="15" t="str">
        <f t="shared" si="37"/>
        <v/>
      </c>
      <c r="F200" s="11"/>
      <c r="G200" s="16" t="str">
        <f t="shared" si="38"/>
        <v/>
      </c>
      <c r="H200" s="17"/>
      <c r="I200" s="16" t="str">
        <f t="shared" si="39"/>
        <v/>
      </c>
      <c r="J200" s="16" t="str">
        <f t="shared" si="40"/>
        <v/>
      </c>
      <c r="K200" s="18" t="str">
        <f t="shared" si="41"/>
        <v/>
      </c>
      <c r="L200" s="16" t="str">
        <f t="shared" si="42"/>
        <v/>
      </c>
      <c r="M200" s="16" t="str">
        <f t="shared" si="43"/>
        <v/>
      </c>
      <c r="N200" s="16" t="str">
        <f t="shared" si="44"/>
        <v/>
      </c>
      <c r="O200" s="16" t="str">
        <f t="shared" si="45"/>
        <v/>
      </c>
      <c r="P200" s="16" t="str">
        <f t="shared" si="46"/>
        <v/>
      </c>
      <c r="Q200" s="18" t="str">
        <f t="shared" si="47"/>
        <v/>
      </c>
      <c r="R200" s="19" t="str">
        <f>IF(C200="","",IF(ISNA(MATCH(B200,'Registru oferte'!$B$5:$B$504,0)),"Oferta nu există în registru",IF(N(F200)&lt;=0,"Lipsește cantitatea",IF(AND(ISNUMBER(Q200),Q200&lt;MarjaMin),"Marjă sub minim ("&amp;TEXT(Q200*100,"0")&amp;"%)",""))))</f>
        <v/>
      </c>
      <c r="S200" s="1" t="str">
        <f>IF(B200="","",B200&amp;"|"&amp;COUNTIF($B$5:B200,B200))</f>
        <v/>
      </c>
    </row>
    <row r="201" spans="2:19" x14ac:dyDescent="0.2">
      <c r="B201" s="11"/>
      <c r="C201" s="11"/>
      <c r="D201" s="10" t="str">
        <f t="shared" si="36"/>
        <v/>
      </c>
      <c r="E201" s="15" t="str">
        <f t="shared" si="37"/>
        <v/>
      </c>
      <c r="F201" s="11"/>
      <c r="G201" s="16" t="str">
        <f t="shared" si="38"/>
        <v/>
      </c>
      <c r="H201" s="17"/>
      <c r="I201" s="16" t="str">
        <f t="shared" si="39"/>
        <v/>
      </c>
      <c r="J201" s="16" t="str">
        <f t="shared" si="40"/>
        <v/>
      </c>
      <c r="K201" s="18" t="str">
        <f t="shared" si="41"/>
        <v/>
      </c>
      <c r="L201" s="16" t="str">
        <f t="shared" si="42"/>
        <v/>
      </c>
      <c r="M201" s="16" t="str">
        <f t="shared" si="43"/>
        <v/>
      </c>
      <c r="N201" s="16" t="str">
        <f t="shared" si="44"/>
        <v/>
      </c>
      <c r="O201" s="16" t="str">
        <f t="shared" si="45"/>
        <v/>
      </c>
      <c r="P201" s="16" t="str">
        <f t="shared" si="46"/>
        <v/>
      </c>
      <c r="Q201" s="18" t="str">
        <f t="shared" si="47"/>
        <v/>
      </c>
      <c r="R201" s="19" t="str">
        <f>IF(C201="","",IF(ISNA(MATCH(B201,'Registru oferte'!$B$5:$B$504,0)),"Oferta nu există în registru",IF(N(F201)&lt;=0,"Lipsește cantitatea",IF(AND(ISNUMBER(Q201),Q201&lt;MarjaMin),"Marjă sub minim ("&amp;TEXT(Q201*100,"0")&amp;"%)",""))))</f>
        <v/>
      </c>
      <c r="S201" s="1" t="str">
        <f>IF(B201="","",B201&amp;"|"&amp;COUNTIF($B$5:B201,B201))</f>
        <v/>
      </c>
    </row>
    <row r="202" spans="2:19" x14ac:dyDescent="0.2">
      <c r="B202" s="11"/>
      <c r="C202" s="11"/>
      <c r="D202" s="10" t="str">
        <f t="shared" si="36"/>
        <v/>
      </c>
      <c r="E202" s="15" t="str">
        <f t="shared" si="37"/>
        <v/>
      </c>
      <c r="F202" s="11"/>
      <c r="G202" s="16" t="str">
        <f t="shared" si="38"/>
        <v/>
      </c>
      <c r="H202" s="17"/>
      <c r="I202" s="16" t="str">
        <f t="shared" si="39"/>
        <v/>
      </c>
      <c r="J202" s="16" t="str">
        <f t="shared" si="40"/>
        <v/>
      </c>
      <c r="K202" s="18" t="str">
        <f t="shared" si="41"/>
        <v/>
      </c>
      <c r="L202" s="16" t="str">
        <f t="shared" si="42"/>
        <v/>
      </c>
      <c r="M202" s="16" t="str">
        <f t="shared" si="43"/>
        <v/>
      </c>
      <c r="N202" s="16" t="str">
        <f t="shared" si="44"/>
        <v/>
      </c>
      <c r="O202" s="16" t="str">
        <f t="shared" si="45"/>
        <v/>
      </c>
      <c r="P202" s="16" t="str">
        <f t="shared" si="46"/>
        <v/>
      </c>
      <c r="Q202" s="18" t="str">
        <f t="shared" si="47"/>
        <v/>
      </c>
      <c r="R202" s="19" t="str">
        <f>IF(C202="","",IF(ISNA(MATCH(B202,'Registru oferte'!$B$5:$B$504,0)),"Oferta nu există în registru",IF(N(F202)&lt;=0,"Lipsește cantitatea",IF(AND(ISNUMBER(Q202),Q202&lt;MarjaMin),"Marjă sub minim ("&amp;TEXT(Q202*100,"0")&amp;"%)",""))))</f>
        <v/>
      </c>
      <c r="S202" s="1" t="str">
        <f>IF(B202="","",B202&amp;"|"&amp;COUNTIF($B$5:B202,B202))</f>
        <v/>
      </c>
    </row>
    <row r="203" spans="2:19" x14ac:dyDescent="0.2">
      <c r="B203" s="11"/>
      <c r="C203" s="11"/>
      <c r="D203" s="10" t="str">
        <f t="shared" si="36"/>
        <v/>
      </c>
      <c r="E203" s="15" t="str">
        <f t="shared" si="37"/>
        <v/>
      </c>
      <c r="F203" s="11"/>
      <c r="G203" s="16" t="str">
        <f t="shared" si="38"/>
        <v/>
      </c>
      <c r="H203" s="17"/>
      <c r="I203" s="16" t="str">
        <f t="shared" si="39"/>
        <v/>
      </c>
      <c r="J203" s="16" t="str">
        <f t="shared" si="40"/>
        <v/>
      </c>
      <c r="K203" s="18" t="str">
        <f t="shared" si="41"/>
        <v/>
      </c>
      <c r="L203" s="16" t="str">
        <f t="shared" si="42"/>
        <v/>
      </c>
      <c r="M203" s="16" t="str">
        <f t="shared" si="43"/>
        <v/>
      </c>
      <c r="N203" s="16" t="str">
        <f t="shared" si="44"/>
        <v/>
      </c>
      <c r="O203" s="16" t="str">
        <f t="shared" si="45"/>
        <v/>
      </c>
      <c r="P203" s="16" t="str">
        <f t="shared" si="46"/>
        <v/>
      </c>
      <c r="Q203" s="18" t="str">
        <f t="shared" si="47"/>
        <v/>
      </c>
      <c r="R203" s="19" t="str">
        <f>IF(C203="","",IF(ISNA(MATCH(B203,'Registru oferte'!$B$5:$B$504,0)),"Oferta nu există în registru",IF(N(F203)&lt;=0,"Lipsește cantitatea",IF(AND(ISNUMBER(Q203),Q203&lt;MarjaMin),"Marjă sub minim ("&amp;TEXT(Q203*100,"0")&amp;"%)",""))))</f>
        <v/>
      </c>
      <c r="S203" s="1" t="str">
        <f>IF(B203="","",B203&amp;"|"&amp;COUNTIF($B$5:B203,B203))</f>
        <v/>
      </c>
    </row>
    <row r="204" spans="2:19" x14ac:dyDescent="0.2">
      <c r="B204" s="11"/>
      <c r="C204" s="11"/>
      <c r="D204" s="10" t="str">
        <f t="shared" si="36"/>
        <v/>
      </c>
      <c r="E204" s="15" t="str">
        <f t="shared" si="37"/>
        <v/>
      </c>
      <c r="F204" s="11"/>
      <c r="G204" s="16" t="str">
        <f t="shared" si="38"/>
        <v/>
      </c>
      <c r="H204" s="17"/>
      <c r="I204" s="16" t="str">
        <f t="shared" si="39"/>
        <v/>
      </c>
      <c r="J204" s="16" t="str">
        <f t="shared" si="40"/>
        <v/>
      </c>
      <c r="K204" s="18" t="str">
        <f t="shared" si="41"/>
        <v/>
      </c>
      <c r="L204" s="16" t="str">
        <f t="shared" si="42"/>
        <v/>
      </c>
      <c r="M204" s="16" t="str">
        <f t="shared" si="43"/>
        <v/>
      </c>
      <c r="N204" s="16" t="str">
        <f t="shared" si="44"/>
        <v/>
      </c>
      <c r="O204" s="16" t="str">
        <f t="shared" si="45"/>
        <v/>
      </c>
      <c r="P204" s="16" t="str">
        <f t="shared" si="46"/>
        <v/>
      </c>
      <c r="Q204" s="18" t="str">
        <f t="shared" si="47"/>
        <v/>
      </c>
      <c r="R204" s="19" t="str">
        <f>IF(C204="","",IF(ISNA(MATCH(B204,'Registru oferte'!$B$5:$B$504,0)),"Oferta nu există în registru",IF(N(F204)&lt;=0,"Lipsește cantitatea",IF(AND(ISNUMBER(Q204),Q204&lt;MarjaMin),"Marjă sub minim ("&amp;TEXT(Q204*100,"0")&amp;"%)",""))))</f>
        <v/>
      </c>
      <c r="S204" s="1" t="str">
        <f>IF(B204="","",B204&amp;"|"&amp;COUNTIF($B$5:B204,B204))</f>
        <v/>
      </c>
    </row>
    <row r="205" spans="2:19" x14ac:dyDescent="0.2">
      <c r="B205" s="11"/>
      <c r="C205" s="11"/>
      <c r="D205" s="10" t="str">
        <f t="shared" si="36"/>
        <v/>
      </c>
      <c r="E205" s="15" t="str">
        <f t="shared" si="37"/>
        <v/>
      </c>
      <c r="F205" s="11"/>
      <c r="G205" s="16" t="str">
        <f t="shared" si="38"/>
        <v/>
      </c>
      <c r="H205" s="17"/>
      <c r="I205" s="16" t="str">
        <f t="shared" si="39"/>
        <v/>
      </c>
      <c r="J205" s="16" t="str">
        <f t="shared" si="40"/>
        <v/>
      </c>
      <c r="K205" s="18" t="str">
        <f t="shared" si="41"/>
        <v/>
      </c>
      <c r="L205" s="16" t="str">
        <f t="shared" si="42"/>
        <v/>
      </c>
      <c r="M205" s="16" t="str">
        <f t="shared" si="43"/>
        <v/>
      </c>
      <c r="N205" s="16" t="str">
        <f t="shared" si="44"/>
        <v/>
      </c>
      <c r="O205" s="16" t="str">
        <f t="shared" si="45"/>
        <v/>
      </c>
      <c r="P205" s="16" t="str">
        <f t="shared" si="46"/>
        <v/>
      </c>
      <c r="Q205" s="18" t="str">
        <f t="shared" si="47"/>
        <v/>
      </c>
      <c r="R205" s="19" t="str">
        <f>IF(C205="","",IF(ISNA(MATCH(B205,'Registru oferte'!$B$5:$B$504,0)),"Oferta nu există în registru",IF(N(F205)&lt;=0,"Lipsește cantitatea",IF(AND(ISNUMBER(Q205),Q205&lt;MarjaMin),"Marjă sub minim ("&amp;TEXT(Q205*100,"0")&amp;"%)",""))))</f>
        <v/>
      </c>
      <c r="S205" s="1" t="str">
        <f>IF(B205="","",B205&amp;"|"&amp;COUNTIF($B$5:B205,B205))</f>
        <v/>
      </c>
    </row>
    <row r="206" spans="2:19" x14ac:dyDescent="0.2">
      <c r="B206" s="11"/>
      <c r="C206" s="11"/>
      <c r="D206" s="10" t="str">
        <f t="shared" si="36"/>
        <v/>
      </c>
      <c r="E206" s="15" t="str">
        <f t="shared" si="37"/>
        <v/>
      </c>
      <c r="F206" s="11"/>
      <c r="G206" s="16" t="str">
        <f t="shared" si="38"/>
        <v/>
      </c>
      <c r="H206" s="17"/>
      <c r="I206" s="16" t="str">
        <f t="shared" si="39"/>
        <v/>
      </c>
      <c r="J206" s="16" t="str">
        <f t="shared" si="40"/>
        <v/>
      </c>
      <c r="K206" s="18" t="str">
        <f t="shared" si="41"/>
        <v/>
      </c>
      <c r="L206" s="16" t="str">
        <f t="shared" si="42"/>
        <v/>
      </c>
      <c r="M206" s="16" t="str">
        <f t="shared" si="43"/>
        <v/>
      </c>
      <c r="N206" s="16" t="str">
        <f t="shared" si="44"/>
        <v/>
      </c>
      <c r="O206" s="16" t="str">
        <f t="shared" si="45"/>
        <v/>
      </c>
      <c r="P206" s="16" t="str">
        <f t="shared" si="46"/>
        <v/>
      </c>
      <c r="Q206" s="18" t="str">
        <f t="shared" si="47"/>
        <v/>
      </c>
      <c r="R206" s="19" t="str">
        <f>IF(C206="","",IF(ISNA(MATCH(B206,'Registru oferte'!$B$5:$B$504,0)),"Oferta nu există în registru",IF(N(F206)&lt;=0,"Lipsește cantitatea",IF(AND(ISNUMBER(Q206),Q206&lt;MarjaMin),"Marjă sub minim ("&amp;TEXT(Q206*100,"0")&amp;"%)",""))))</f>
        <v/>
      </c>
      <c r="S206" s="1" t="str">
        <f>IF(B206="","",B206&amp;"|"&amp;COUNTIF($B$5:B206,B206))</f>
        <v/>
      </c>
    </row>
    <row r="207" spans="2:19" x14ac:dyDescent="0.2">
      <c r="B207" s="11"/>
      <c r="C207" s="11"/>
      <c r="D207" s="10" t="str">
        <f t="shared" si="36"/>
        <v/>
      </c>
      <c r="E207" s="15" t="str">
        <f t="shared" si="37"/>
        <v/>
      </c>
      <c r="F207" s="11"/>
      <c r="G207" s="16" t="str">
        <f t="shared" si="38"/>
        <v/>
      </c>
      <c r="H207" s="17"/>
      <c r="I207" s="16" t="str">
        <f t="shared" si="39"/>
        <v/>
      </c>
      <c r="J207" s="16" t="str">
        <f t="shared" si="40"/>
        <v/>
      </c>
      <c r="K207" s="18" t="str">
        <f t="shared" si="41"/>
        <v/>
      </c>
      <c r="L207" s="16" t="str">
        <f t="shared" si="42"/>
        <v/>
      </c>
      <c r="M207" s="16" t="str">
        <f t="shared" si="43"/>
        <v/>
      </c>
      <c r="N207" s="16" t="str">
        <f t="shared" si="44"/>
        <v/>
      </c>
      <c r="O207" s="16" t="str">
        <f t="shared" si="45"/>
        <v/>
      </c>
      <c r="P207" s="16" t="str">
        <f t="shared" si="46"/>
        <v/>
      </c>
      <c r="Q207" s="18" t="str">
        <f t="shared" si="47"/>
        <v/>
      </c>
      <c r="R207" s="19" t="str">
        <f>IF(C207="","",IF(ISNA(MATCH(B207,'Registru oferte'!$B$5:$B$504,0)),"Oferta nu există în registru",IF(N(F207)&lt;=0,"Lipsește cantitatea",IF(AND(ISNUMBER(Q207),Q207&lt;MarjaMin),"Marjă sub minim ("&amp;TEXT(Q207*100,"0")&amp;"%)",""))))</f>
        <v/>
      </c>
      <c r="S207" s="1" t="str">
        <f>IF(B207="","",B207&amp;"|"&amp;COUNTIF($B$5:B207,B207))</f>
        <v/>
      </c>
    </row>
    <row r="208" spans="2:19" x14ac:dyDescent="0.2">
      <c r="B208" s="11"/>
      <c r="C208" s="11"/>
      <c r="D208" s="10" t="str">
        <f t="shared" si="36"/>
        <v/>
      </c>
      <c r="E208" s="15" t="str">
        <f t="shared" si="37"/>
        <v/>
      </c>
      <c r="F208" s="11"/>
      <c r="G208" s="16" t="str">
        <f t="shared" si="38"/>
        <v/>
      </c>
      <c r="H208" s="17"/>
      <c r="I208" s="16" t="str">
        <f t="shared" si="39"/>
        <v/>
      </c>
      <c r="J208" s="16" t="str">
        <f t="shared" si="40"/>
        <v/>
      </c>
      <c r="K208" s="18" t="str">
        <f t="shared" si="41"/>
        <v/>
      </c>
      <c r="L208" s="16" t="str">
        <f t="shared" si="42"/>
        <v/>
      </c>
      <c r="M208" s="16" t="str">
        <f t="shared" si="43"/>
        <v/>
      </c>
      <c r="N208" s="16" t="str">
        <f t="shared" si="44"/>
        <v/>
      </c>
      <c r="O208" s="16" t="str">
        <f t="shared" si="45"/>
        <v/>
      </c>
      <c r="P208" s="16" t="str">
        <f t="shared" si="46"/>
        <v/>
      </c>
      <c r="Q208" s="18" t="str">
        <f t="shared" si="47"/>
        <v/>
      </c>
      <c r="R208" s="19" t="str">
        <f>IF(C208="","",IF(ISNA(MATCH(B208,'Registru oferte'!$B$5:$B$504,0)),"Oferta nu există în registru",IF(N(F208)&lt;=0,"Lipsește cantitatea",IF(AND(ISNUMBER(Q208),Q208&lt;MarjaMin),"Marjă sub minim ("&amp;TEXT(Q208*100,"0")&amp;"%)",""))))</f>
        <v/>
      </c>
      <c r="S208" s="1" t="str">
        <f>IF(B208="","",B208&amp;"|"&amp;COUNTIF($B$5:B208,B208))</f>
        <v/>
      </c>
    </row>
    <row r="209" spans="2:19" x14ac:dyDescent="0.2">
      <c r="B209" s="11"/>
      <c r="C209" s="11"/>
      <c r="D209" s="10" t="str">
        <f t="shared" si="36"/>
        <v/>
      </c>
      <c r="E209" s="15" t="str">
        <f t="shared" si="37"/>
        <v/>
      </c>
      <c r="F209" s="11"/>
      <c r="G209" s="16" t="str">
        <f t="shared" si="38"/>
        <v/>
      </c>
      <c r="H209" s="17"/>
      <c r="I209" s="16" t="str">
        <f t="shared" si="39"/>
        <v/>
      </c>
      <c r="J209" s="16" t="str">
        <f t="shared" si="40"/>
        <v/>
      </c>
      <c r="K209" s="18" t="str">
        <f t="shared" si="41"/>
        <v/>
      </c>
      <c r="L209" s="16" t="str">
        <f t="shared" si="42"/>
        <v/>
      </c>
      <c r="M209" s="16" t="str">
        <f t="shared" si="43"/>
        <v/>
      </c>
      <c r="N209" s="16" t="str">
        <f t="shared" si="44"/>
        <v/>
      </c>
      <c r="O209" s="16" t="str">
        <f t="shared" si="45"/>
        <v/>
      </c>
      <c r="P209" s="16" t="str">
        <f t="shared" si="46"/>
        <v/>
      </c>
      <c r="Q209" s="18" t="str">
        <f t="shared" si="47"/>
        <v/>
      </c>
      <c r="R209" s="19" t="str">
        <f>IF(C209="","",IF(ISNA(MATCH(B209,'Registru oferte'!$B$5:$B$504,0)),"Oferta nu există în registru",IF(N(F209)&lt;=0,"Lipsește cantitatea",IF(AND(ISNUMBER(Q209),Q209&lt;MarjaMin),"Marjă sub minim ("&amp;TEXT(Q209*100,"0")&amp;"%)",""))))</f>
        <v/>
      </c>
      <c r="S209" s="1" t="str">
        <f>IF(B209="","",B209&amp;"|"&amp;COUNTIF($B$5:B209,B209))</f>
        <v/>
      </c>
    </row>
    <row r="210" spans="2:19" x14ac:dyDescent="0.2">
      <c r="B210" s="11"/>
      <c r="C210" s="11"/>
      <c r="D210" s="10" t="str">
        <f t="shared" si="36"/>
        <v/>
      </c>
      <c r="E210" s="15" t="str">
        <f t="shared" si="37"/>
        <v/>
      </c>
      <c r="F210" s="11"/>
      <c r="G210" s="16" t="str">
        <f t="shared" si="38"/>
        <v/>
      </c>
      <c r="H210" s="17"/>
      <c r="I210" s="16" t="str">
        <f t="shared" si="39"/>
        <v/>
      </c>
      <c r="J210" s="16" t="str">
        <f t="shared" si="40"/>
        <v/>
      </c>
      <c r="K210" s="18" t="str">
        <f t="shared" si="41"/>
        <v/>
      </c>
      <c r="L210" s="16" t="str">
        <f t="shared" si="42"/>
        <v/>
      </c>
      <c r="M210" s="16" t="str">
        <f t="shared" si="43"/>
        <v/>
      </c>
      <c r="N210" s="16" t="str">
        <f t="shared" si="44"/>
        <v/>
      </c>
      <c r="O210" s="16" t="str">
        <f t="shared" si="45"/>
        <v/>
      </c>
      <c r="P210" s="16" t="str">
        <f t="shared" si="46"/>
        <v/>
      </c>
      <c r="Q210" s="18" t="str">
        <f t="shared" si="47"/>
        <v/>
      </c>
      <c r="R210" s="19" t="str">
        <f>IF(C210="","",IF(ISNA(MATCH(B210,'Registru oferte'!$B$5:$B$504,0)),"Oferta nu există în registru",IF(N(F210)&lt;=0,"Lipsește cantitatea",IF(AND(ISNUMBER(Q210),Q210&lt;MarjaMin),"Marjă sub minim ("&amp;TEXT(Q210*100,"0")&amp;"%)",""))))</f>
        <v/>
      </c>
      <c r="S210" s="1" t="str">
        <f>IF(B210="","",B210&amp;"|"&amp;COUNTIF($B$5:B210,B210))</f>
        <v/>
      </c>
    </row>
    <row r="211" spans="2:19" x14ac:dyDescent="0.2">
      <c r="B211" s="11"/>
      <c r="C211" s="11"/>
      <c r="D211" s="10" t="str">
        <f t="shared" si="36"/>
        <v/>
      </c>
      <c r="E211" s="15" t="str">
        <f t="shared" si="37"/>
        <v/>
      </c>
      <c r="F211" s="11"/>
      <c r="G211" s="16" t="str">
        <f t="shared" si="38"/>
        <v/>
      </c>
      <c r="H211" s="17"/>
      <c r="I211" s="16" t="str">
        <f t="shared" si="39"/>
        <v/>
      </c>
      <c r="J211" s="16" t="str">
        <f t="shared" si="40"/>
        <v/>
      </c>
      <c r="K211" s="18" t="str">
        <f t="shared" si="41"/>
        <v/>
      </c>
      <c r="L211" s="16" t="str">
        <f t="shared" si="42"/>
        <v/>
      </c>
      <c r="M211" s="16" t="str">
        <f t="shared" si="43"/>
        <v/>
      </c>
      <c r="N211" s="16" t="str">
        <f t="shared" si="44"/>
        <v/>
      </c>
      <c r="O211" s="16" t="str">
        <f t="shared" si="45"/>
        <v/>
      </c>
      <c r="P211" s="16" t="str">
        <f t="shared" si="46"/>
        <v/>
      </c>
      <c r="Q211" s="18" t="str">
        <f t="shared" si="47"/>
        <v/>
      </c>
      <c r="R211" s="19" t="str">
        <f>IF(C211="","",IF(ISNA(MATCH(B211,'Registru oferte'!$B$5:$B$504,0)),"Oferta nu există în registru",IF(N(F211)&lt;=0,"Lipsește cantitatea",IF(AND(ISNUMBER(Q211),Q211&lt;MarjaMin),"Marjă sub minim ("&amp;TEXT(Q211*100,"0")&amp;"%)",""))))</f>
        <v/>
      </c>
      <c r="S211" s="1" t="str">
        <f>IF(B211="","",B211&amp;"|"&amp;COUNTIF($B$5:B211,B211))</f>
        <v/>
      </c>
    </row>
    <row r="212" spans="2:19" x14ac:dyDescent="0.2">
      <c r="B212" s="11"/>
      <c r="C212" s="11"/>
      <c r="D212" s="10" t="str">
        <f t="shared" si="36"/>
        <v/>
      </c>
      <c r="E212" s="15" t="str">
        <f t="shared" si="37"/>
        <v/>
      </c>
      <c r="F212" s="11"/>
      <c r="G212" s="16" t="str">
        <f t="shared" si="38"/>
        <v/>
      </c>
      <c r="H212" s="17"/>
      <c r="I212" s="16" t="str">
        <f t="shared" si="39"/>
        <v/>
      </c>
      <c r="J212" s="16" t="str">
        <f t="shared" si="40"/>
        <v/>
      </c>
      <c r="K212" s="18" t="str">
        <f t="shared" si="41"/>
        <v/>
      </c>
      <c r="L212" s="16" t="str">
        <f t="shared" si="42"/>
        <v/>
      </c>
      <c r="M212" s="16" t="str">
        <f t="shared" si="43"/>
        <v/>
      </c>
      <c r="N212" s="16" t="str">
        <f t="shared" si="44"/>
        <v/>
      </c>
      <c r="O212" s="16" t="str">
        <f t="shared" si="45"/>
        <v/>
      </c>
      <c r="P212" s="16" t="str">
        <f t="shared" si="46"/>
        <v/>
      </c>
      <c r="Q212" s="18" t="str">
        <f t="shared" si="47"/>
        <v/>
      </c>
      <c r="R212" s="19" t="str">
        <f>IF(C212="","",IF(ISNA(MATCH(B212,'Registru oferte'!$B$5:$B$504,0)),"Oferta nu există în registru",IF(N(F212)&lt;=0,"Lipsește cantitatea",IF(AND(ISNUMBER(Q212),Q212&lt;MarjaMin),"Marjă sub minim ("&amp;TEXT(Q212*100,"0")&amp;"%)",""))))</f>
        <v/>
      </c>
      <c r="S212" s="1" t="str">
        <f>IF(B212="","",B212&amp;"|"&amp;COUNTIF($B$5:B212,B212))</f>
        <v/>
      </c>
    </row>
    <row r="213" spans="2:19" x14ac:dyDescent="0.2">
      <c r="B213" s="11"/>
      <c r="C213" s="11"/>
      <c r="D213" s="10" t="str">
        <f t="shared" si="36"/>
        <v/>
      </c>
      <c r="E213" s="15" t="str">
        <f t="shared" si="37"/>
        <v/>
      </c>
      <c r="F213" s="11"/>
      <c r="G213" s="16" t="str">
        <f t="shared" si="38"/>
        <v/>
      </c>
      <c r="H213" s="17"/>
      <c r="I213" s="16" t="str">
        <f t="shared" si="39"/>
        <v/>
      </c>
      <c r="J213" s="16" t="str">
        <f t="shared" si="40"/>
        <v/>
      </c>
      <c r="K213" s="18" t="str">
        <f t="shared" si="41"/>
        <v/>
      </c>
      <c r="L213" s="16" t="str">
        <f t="shared" si="42"/>
        <v/>
      </c>
      <c r="M213" s="16" t="str">
        <f t="shared" si="43"/>
        <v/>
      </c>
      <c r="N213" s="16" t="str">
        <f t="shared" si="44"/>
        <v/>
      </c>
      <c r="O213" s="16" t="str">
        <f t="shared" si="45"/>
        <v/>
      </c>
      <c r="P213" s="16" t="str">
        <f t="shared" si="46"/>
        <v/>
      </c>
      <c r="Q213" s="18" t="str">
        <f t="shared" si="47"/>
        <v/>
      </c>
      <c r="R213" s="19" t="str">
        <f>IF(C213="","",IF(ISNA(MATCH(B213,'Registru oferte'!$B$5:$B$504,0)),"Oferta nu există în registru",IF(N(F213)&lt;=0,"Lipsește cantitatea",IF(AND(ISNUMBER(Q213),Q213&lt;MarjaMin),"Marjă sub minim ("&amp;TEXT(Q213*100,"0")&amp;"%)",""))))</f>
        <v/>
      </c>
      <c r="S213" s="1" t="str">
        <f>IF(B213="","",B213&amp;"|"&amp;COUNTIF($B$5:B213,B213))</f>
        <v/>
      </c>
    </row>
    <row r="214" spans="2:19" x14ac:dyDescent="0.2">
      <c r="B214" s="11"/>
      <c r="C214" s="11"/>
      <c r="D214" s="10" t="str">
        <f t="shared" si="36"/>
        <v/>
      </c>
      <c r="E214" s="15" t="str">
        <f t="shared" si="37"/>
        <v/>
      </c>
      <c r="F214" s="11"/>
      <c r="G214" s="16" t="str">
        <f t="shared" si="38"/>
        <v/>
      </c>
      <c r="H214" s="17"/>
      <c r="I214" s="16" t="str">
        <f t="shared" si="39"/>
        <v/>
      </c>
      <c r="J214" s="16" t="str">
        <f t="shared" si="40"/>
        <v/>
      </c>
      <c r="K214" s="18" t="str">
        <f t="shared" si="41"/>
        <v/>
      </c>
      <c r="L214" s="16" t="str">
        <f t="shared" si="42"/>
        <v/>
      </c>
      <c r="M214" s="16" t="str">
        <f t="shared" si="43"/>
        <v/>
      </c>
      <c r="N214" s="16" t="str">
        <f t="shared" si="44"/>
        <v/>
      </c>
      <c r="O214" s="16" t="str">
        <f t="shared" si="45"/>
        <v/>
      </c>
      <c r="P214" s="16" t="str">
        <f t="shared" si="46"/>
        <v/>
      </c>
      <c r="Q214" s="18" t="str">
        <f t="shared" si="47"/>
        <v/>
      </c>
      <c r="R214" s="19" t="str">
        <f>IF(C214="","",IF(ISNA(MATCH(B214,'Registru oferte'!$B$5:$B$504,0)),"Oferta nu există în registru",IF(N(F214)&lt;=0,"Lipsește cantitatea",IF(AND(ISNUMBER(Q214),Q214&lt;MarjaMin),"Marjă sub minim ("&amp;TEXT(Q214*100,"0")&amp;"%)",""))))</f>
        <v/>
      </c>
      <c r="S214" s="1" t="str">
        <f>IF(B214="","",B214&amp;"|"&amp;COUNTIF($B$5:B214,B214))</f>
        <v/>
      </c>
    </row>
    <row r="215" spans="2:19" x14ac:dyDescent="0.2">
      <c r="B215" s="11"/>
      <c r="C215" s="11"/>
      <c r="D215" s="10" t="str">
        <f t="shared" si="36"/>
        <v/>
      </c>
      <c r="E215" s="15" t="str">
        <f t="shared" si="37"/>
        <v/>
      </c>
      <c r="F215" s="11"/>
      <c r="G215" s="16" t="str">
        <f t="shared" si="38"/>
        <v/>
      </c>
      <c r="H215" s="17"/>
      <c r="I215" s="16" t="str">
        <f t="shared" si="39"/>
        <v/>
      </c>
      <c r="J215" s="16" t="str">
        <f t="shared" si="40"/>
        <v/>
      </c>
      <c r="K215" s="18" t="str">
        <f t="shared" si="41"/>
        <v/>
      </c>
      <c r="L215" s="16" t="str">
        <f t="shared" si="42"/>
        <v/>
      </c>
      <c r="M215" s="16" t="str">
        <f t="shared" si="43"/>
        <v/>
      </c>
      <c r="N215" s="16" t="str">
        <f t="shared" si="44"/>
        <v/>
      </c>
      <c r="O215" s="16" t="str">
        <f t="shared" si="45"/>
        <v/>
      </c>
      <c r="P215" s="16" t="str">
        <f t="shared" si="46"/>
        <v/>
      </c>
      <c r="Q215" s="18" t="str">
        <f t="shared" si="47"/>
        <v/>
      </c>
      <c r="R215" s="19" t="str">
        <f>IF(C215="","",IF(ISNA(MATCH(B215,'Registru oferte'!$B$5:$B$504,0)),"Oferta nu există în registru",IF(N(F215)&lt;=0,"Lipsește cantitatea",IF(AND(ISNUMBER(Q215),Q215&lt;MarjaMin),"Marjă sub minim ("&amp;TEXT(Q215*100,"0")&amp;"%)",""))))</f>
        <v/>
      </c>
      <c r="S215" s="1" t="str">
        <f>IF(B215="","",B215&amp;"|"&amp;COUNTIF($B$5:B215,B215))</f>
        <v/>
      </c>
    </row>
    <row r="216" spans="2:19" x14ac:dyDescent="0.2">
      <c r="B216" s="11"/>
      <c r="C216" s="11"/>
      <c r="D216" s="10" t="str">
        <f t="shared" si="36"/>
        <v/>
      </c>
      <c r="E216" s="15" t="str">
        <f t="shared" si="37"/>
        <v/>
      </c>
      <c r="F216" s="11"/>
      <c r="G216" s="16" t="str">
        <f t="shared" si="38"/>
        <v/>
      </c>
      <c r="H216" s="17"/>
      <c r="I216" s="16" t="str">
        <f t="shared" si="39"/>
        <v/>
      </c>
      <c r="J216" s="16" t="str">
        <f t="shared" si="40"/>
        <v/>
      </c>
      <c r="K216" s="18" t="str">
        <f t="shared" si="41"/>
        <v/>
      </c>
      <c r="L216" s="16" t="str">
        <f t="shared" si="42"/>
        <v/>
      </c>
      <c r="M216" s="16" t="str">
        <f t="shared" si="43"/>
        <v/>
      </c>
      <c r="N216" s="16" t="str">
        <f t="shared" si="44"/>
        <v/>
      </c>
      <c r="O216" s="16" t="str">
        <f t="shared" si="45"/>
        <v/>
      </c>
      <c r="P216" s="16" t="str">
        <f t="shared" si="46"/>
        <v/>
      </c>
      <c r="Q216" s="18" t="str">
        <f t="shared" si="47"/>
        <v/>
      </c>
      <c r="R216" s="19" t="str">
        <f>IF(C216="","",IF(ISNA(MATCH(B216,'Registru oferte'!$B$5:$B$504,0)),"Oferta nu există în registru",IF(N(F216)&lt;=0,"Lipsește cantitatea",IF(AND(ISNUMBER(Q216),Q216&lt;MarjaMin),"Marjă sub minim ("&amp;TEXT(Q216*100,"0")&amp;"%)",""))))</f>
        <v/>
      </c>
      <c r="S216" s="1" t="str">
        <f>IF(B216="","",B216&amp;"|"&amp;COUNTIF($B$5:B216,B216))</f>
        <v/>
      </c>
    </row>
    <row r="217" spans="2:19" x14ac:dyDescent="0.2">
      <c r="B217" s="11"/>
      <c r="C217" s="11"/>
      <c r="D217" s="10" t="str">
        <f t="shared" si="36"/>
        <v/>
      </c>
      <c r="E217" s="15" t="str">
        <f t="shared" si="37"/>
        <v/>
      </c>
      <c r="F217" s="11"/>
      <c r="G217" s="16" t="str">
        <f t="shared" si="38"/>
        <v/>
      </c>
      <c r="H217" s="17"/>
      <c r="I217" s="16" t="str">
        <f t="shared" si="39"/>
        <v/>
      </c>
      <c r="J217" s="16" t="str">
        <f t="shared" si="40"/>
        <v/>
      </c>
      <c r="K217" s="18" t="str">
        <f t="shared" si="41"/>
        <v/>
      </c>
      <c r="L217" s="16" t="str">
        <f t="shared" si="42"/>
        <v/>
      </c>
      <c r="M217" s="16" t="str">
        <f t="shared" si="43"/>
        <v/>
      </c>
      <c r="N217" s="16" t="str">
        <f t="shared" si="44"/>
        <v/>
      </c>
      <c r="O217" s="16" t="str">
        <f t="shared" si="45"/>
        <v/>
      </c>
      <c r="P217" s="16" t="str">
        <f t="shared" si="46"/>
        <v/>
      </c>
      <c r="Q217" s="18" t="str">
        <f t="shared" si="47"/>
        <v/>
      </c>
      <c r="R217" s="19" t="str">
        <f>IF(C217="","",IF(ISNA(MATCH(B217,'Registru oferte'!$B$5:$B$504,0)),"Oferta nu există în registru",IF(N(F217)&lt;=0,"Lipsește cantitatea",IF(AND(ISNUMBER(Q217),Q217&lt;MarjaMin),"Marjă sub minim ("&amp;TEXT(Q217*100,"0")&amp;"%)",""))))</f>
        <v/>
      </c>
      <c r="S217" s="1" t="str">
        <f>IF(B217="","",B217&amp;"|"&amp;COUNTIF($B$5:B217,B217))</f>
        <v/>
      </c>
    </row>
    <row r="218" spans="2:19" x14ac:dyDescent="0.2">
      <c r="B218" s="11"/>
      <c r="C218" s="11"/>
      <c r="D218" s="10" t="str">
        <f t="shared" si="36"/>
        <v/>
      </c>
      <c r="E218" s="15" t="str">
        <f t="shared" si="37"/>
        <v/>
      </c>
      <c r="F218" s="11"/>
      <c r="G218" s="16" t="str">
        <f t="shared" si="38"/>
        <v/>
      </c>
      <c r="H218" s="17"/>
      <c r="I218" s="16" t="str">
        <f t="shared" si="39"/>
        <v/>
      </c>
      <c r="J218" s="16" t="str">
        <f t="shared" si="40"/>
        <v/>
      </c>
      <c r="K218" s="18" t="str">
        <f t="shared" si="41"/>
        <v/>
      </c>
      <c r="L218" s="16" t="str">
        <f t="shared" si="42"/>
        <v/>
      </c>
      <c r="M218" s="16" t="str">
        <f t="shared" si="43"/>
        <v/>
      </c>
      <c r="N218" s="16" t="str">
        <f t="shared" si="44"/>
        <v/>
      </c>
      <c r="O218" s="16" t="str">
        <f t="shared" si="45"/>
        <v/>
      </c>
      <c r="P218" s="16" t="str">
        <f t="shared" si="46"/>
        <v/>
      </c>
      <c r="Q218" s="18" t="str">
        <f t="shared" si="47"/>
        <v/>
      </c>
      <c r="R218" s="19" t="str">
        <f>IF(C218="","",IF(ISNA(MATCH(B218,'Registru oferte'!$B$5:$B$504,0)),"Oferta nu există în registru",IF(N(F218)&lt;=0,"Lipsește cantitatea",IF(AND(ISNUMBER(Q218),Q218&lt;MarjaMin),"Marjă sub minim ("&amp;TEXT(Q218*100,"0")&amp;"%)",""))))</f>
        <v/>
      </c>
      <c r="S218" s="1" t="str">
        <f>IF(B218="","",B218&amp;"|"&amp;COUNTIF($B$5:B218,B218))</f>
        <v/>
      </c>
    </row>
    <row r="219" spans="2:19" x14ac:dyDescent="0.2">
      <c r="B219" s="11"/>
      <c r="C219" s="11"/>
      <c r="D219" s="10" t="str">
        <f t="shared" si="36"/>
        <v/>
      </c>
      <c r="E219" s="15" t="str">
        <f t="shared" si="37"/>
        <v/>
      </c>
      <c r="F219" s="11"/>
      <c r="G219" s="16" t="str">
        <f t="shared" si="38"/>
        <v/>
      </c>
      <c r="H219" s="17"/>
      <c r="I219" s="16" t="str">
        <f t="shared" si="39"/>
        <v/>
      </c>
      <c r="J219" s="16" t="str">
        <f t="shared" si="40"/>
        <v/>
      </c>
      <c r="K219" s="18" t="str">
        <f t="shared" si="41"/>
        <v/>
      </c>
      <c r="L219" s="16" t="str">
        <f t="shared" si="42"/>
        <v/>
      </c>
      <c r="M219" s="16" t="str">
        <f t="shared" si="43"/>
        <v/>
      </c>
      <c r="N219" s="16" t="str">
        <f t="shared" si="44"/>
        <v/>
      </c>
      <c r="O219" s="16" t="str">
        <f t="shared" si="45"/>
        <v/>
      </c>
      <c r="P219" s="16" t="str">
        <f t="shared" si="46"/>
        <v/>
      </c>
      <c r="Q219" s="18" t="str">
        <f t="shared" si="47"/>
        <v/>
      </c>
      <c r="R219" s="19" t="str">
        <f>IF(C219="","",IF(ISNA(MATCH(B219,'Registru oferte'!$B$5:$B$504,0)),"Oferta nu există în registru",IF(N(F219)&lt;=0,"Lipsește cantitatea",IF(AND(ISNUMBER(Q219),Q219&lt;MarjaMin),"Marjă sub minim ("&amp;TEXT(Q219*100,"0")&amp;"%)",""))))</f>
        <v/>
      </c>
      <c r="S219" s="1" t="str">
        <f>IF(B219="","",B219&amp;"|"&amp;COUNTIF($B$5:B219,B219))</f>
        <v/>
      </c>
    </row>
    <row r="220" spans="2:19" x14ac:dyDescent="0.2">
      <c r="B220" s="11"/>
      <c r="C220" s="11"/>
      <c r="D220" s="10" t="str">
        <f t="shared" si="36"/>
        <v/>
      </c>
      <c r="E220" s="15" t="str">
        <f t="shared" si="37"/>
        <v/>
      </c>
      <c r="F220" s="11"/>
      <c r="G220" s="16" t="str">
        <f t="shared" si="38"/>
        <v/>
      </c>
      <c r="H220" s="17"/>
      <c r="I220" s="16" t="str">
        <f t="shared" si="39"/>
        <v/>
      </c>
      <c r="J220" s="16" t="str">
        <f t="shared" si="40"/>
        <v/>
      </c>
      <c r="K220" s="18" t="str">
        <f t="shared" si="41"/>
        <v/>
      </c>
      <c r="L220" s="16" t="str">
        <f t="shared" si="42"/>
        <v/>
      </c>
      <c r="M220" s="16" t="str">
        <f t="shared" si="43"/>
        <v/>
      </c>
      <c r="N220" s="16" t="str">
        <f t="shared" si="44"/>
        <v/>
      </c>
      <c r="O220" s="16" t="str">
        <f t="shared" si="45"/>
        <v/>
      </c>
      <c r="P220" s="16" t="str">
        <f t="shared" si="46"/>
        <v/>
      </c>
      <c r="Q220" s="18" t="str">
        <f t="shared" si="47"/>
        <v/>
      </c>
      <c r="R220" s="19" t="str">
        <f>IF(C220="","",IF(ISNA(MATCH(B220,'Registru oferte'!$B$5:$B$504,0)),"Oferta nu există în registru",IF(N(F220)&lt;=0,"Lipsește cantitatea",IF(AND(ISNUMBER(Q220),Q220&lt;MarjaMin),"Marjă sub minim ("&amp;TEXT(Q220*100,"0")&amp;"%)",""))))</f>
        <v/>
      </c>
      <c r="S220" s="1" t="str">
        <f>IF(B220="","",B220&amp;"|"&amp;COUNTIF($B$5:B220,B220))</f>
        <v/>
      </c>
    </row>
    <row r="221" spans="2:19" x14ac:dyDescent="0.2">
      <c r="B221" s="11"/>
      <c r="C221" s="11"/>
      <c r="D221" s="10" t="str">
        <f t="shared" si="36"/>
        <v/>
      </c>
      <c r="E221" s="15" t="str">
        <f t="shared" si="37"/>
        <v/>
      </c>
      <c r="F221" s="11"/>
      <c r="G221" s="16" t="str">
        <f t="shared" si="38"/>
        <v/>
      </c>
      <c r="H221" s="17"/>
      <c r="I221" s="16" t="str">
        <f t="shared" si="39"/>
        <v/>
      </c>
      <c r="J221" s="16" t="str">
        <f t="shared" si="40"/>
        <v/>
      </c>
      <c r="K221" s="18" t="str">
        <f t="shared" si="41"/>
        <v/>
      </c>
      <c r="L221" s="16" t="str">
        <f t="shared" si="42"/>
        <v/>
      </c>
      <c r="M221" s="16" t="str">
        <f t="shared" si="43"/>
        <v/>
      </c>
      <c r="N221" s="16" t="str">
        <f t="shared" si="44"/>
        <v/>
      </c>
      <c r="O221" s="16" t="str">
        <f t="shared" si="45"/>
        <v/>
      </c>
      <c r="P221" s="16" t="str">
        <f t="shared" si="46"/>
        <v/>
      </c>
      <c r="Q221" s="18" t="str">
        <f t="shared" si="47"/>
        <v/>
      </c>
      <c r="R221" s="19" t="str">
        <f>IF(C221="","",IF(ISNA(MATCH(B221,'Registru oferte'!$B$5:$B$504,0)),"Oferta nu există în registru",IF(N(F221)&lt;=0,"Lipsește cantitatea",IF(AND(ISNUMBER(Q221),Q221&lt;MarjaMin),"Marjă sub minim ("&amp;TEXT(Q221*100,"0")&amp;"%)",""))))</f>
        <v/>
      </c>
      <c r="S221" s="1" t="str">
        <f>IF(B221="","",B221&amp;"|"&amp;COUNTIF($B$5:B221,B221))</f>
        <v/>
      </c>
    </row>
    <row r="222" spans="2:19" x14ac:dyDescent="0.2">
      <c r="B222" s="11"/>
      <c r="C222" s="11"/>
      <c r="D222" s="10" t="str">
        <f t="shared" si="36"/>
        <v/>
      </c>
      <c r="E222" s="15" t="str">
        <f t="shared" si="37"/>
        <v/>
      </c>
      <c r="F222" s="11"/>
      <c r="G222" s="16" t="str">
        <f t="shared" si="38"/>
        <v/>
      </c>
      <c r="H222" s="17"/>
      <c r="I222" s="16" t="str">
        <f t="shared" si="39"/>
        <v/>
      </c>
      <c r="J222" s="16" t="str">
        <f t="shared" si="40"/>
        <v/>
      </c>
      <c r="K222" s="18" t="str">
        <f t="shared" si="41"/>
        <v/>
      </c>
      <c r="L222" s="16" t="str">
        <f t="shared" si="42"/>
        <v/>
      </c>
      <c r="M222" s="16" t="str">
        <f t="shared" si="43"/>
        <v/>
      </c>
      <c r="N222" s="16" t="str">
        <f t="shared" si="44"/>
        <v/>
      </c>
      <c r="O222" s="16" t="str">
        <f t="shared" si="45"/>
        <v/>
      </c>
      <c r="P222" s="16" t="str">
        <f t="shared" si="46"/>
        <v/>
      </c>
      <c r="Q222" s="18" t="str">
        <f t="shared" si="47"/>
        <v/>
      </c>
      <c r="R222" s="19" t="str">
        <f>IF(C222="","",IF(ISNA(MATCH(B222,'Registru oferte'!$B$5:$B$504,0)),"Oferta nu există în registru",IF(N(F222)&lt;=0,"Lipsește cantitatea",IF(AND(ISNUMBER(Q222),Q222&lt;MarjaMin),"Marjă sub minim ("&amp;TEXT(Q222*100,"0")&amp;"%)",""))))</f>
        <v/>
      </c>
      <c r="S222" s="1" t="str">
        <f>IF(B222="","",B222&amp;"|"&amp;COUNTIF($B$5:B222,B222))</f>
        <v/>
      </c>
    </row>
    <row r="223" spans="2:19" x14ac:dyDescent="0.2">
      <c r="B223" s="11"/>
      <c r="C223" s="11"/>
      <c r="D223" s="10" t="str">
        <f t="shared" si="36"/>
        <v/>
      </c>
      <c r="E223" s="15" t="str">
        <f t="shared" si="37"/>
        <v/>
      </c>
      <c r="F223" s="11"/>
      <c r="G223" s="16" t="str">
        <f t="shared" si="38"/>
        <v/>
      </c>
      <c r="H223" s="17"/>
      <c r="I223" s="16" t="str">
        <f t="shared" si="39"/>
        <v/>
      </c>
      <c r="J223" s="16" t="str">
        <f t="shared" si="40"/>
        <v/>
      </c>
      <c r="K223" s="18" t="str">
        <f t="shared" si="41"/>
        <v/>
      </c>
      <c r="L223" s="16" t="str">
        <f t="shared" si="42"/>
        <v/>
      </c>
      <c r="M223" s="16" t="str">
        <f t="shared" si="43"/>
        <v/>
      </c>
      <c r="N223" s="16" t="str">
        <f t="shared" si="44"/>
        <v/>
      </c>
      <c r="O223" s="16" t="str">
        <f t="shared" si="45"/>
        <v/>
      </c>
      <c r="P223" s="16" t="str">
        <f t="shared" si="46"/>
        <v/>
      </c>
      <c r="Q223" s="18" t="str">
        <f t="shared" si="47"/>
        <v/>
      </c>
      <c r="R223" s="19" t="str">
        <f>IF(C223="","",IF(ISNA(MATCH(B223,'Registru oferte'!$B$5:$B$504,0)),"Oferta nu există în registru",IF(N(F223)&lt;=0,"Lipsește cantitatea",IF(AND(ISNUMBER(Q223),Q223&lt;MarjaMin),"Marjă sub minim ("&amp;TEXT(Q223*100,"0")&amp;"%)",""))))</f>
        <v/>
      </c>
      <c r="S223" s="1" t="str">
        <f>IF(B223="","",B223&amp;"|"&amp;COUNTIF($B$5:B223,B223))</f>
        <v/>
      </c>
    </row>
    <row r="224" spans="2:19" x14ac:dyDescent="0.2">
      <c r="B224" s="11"/>
      <c r="C224" s="11"/>
      <c r="D224" s="10" t="str">
        <f t="shared" si="36"/>
        <v/>
      </c>
      <c r="E224" s="15" t="str">
        <f t="shared" si="37"/>
        <v/>
      </c>
      <c r="F224" s="11"/>
      <c r="G224" s="16" t="str">
        <f t="shared" si="38"/>
        <v/>
      </c>
      <c r="H224" s="17"/>
      <c r="I224" s="16" t="str">
        <f t="shared" si="39"/>
        <v/>
      </c>
      <c r="J224" s="16" t="str">
        <f t="shared" si="40"/>
        <v/>
      </c>
      <c r="K224" s="18" t="str">
        <f t="shared" si="41"/>
        <v/>
      </c>
      <c r="L224" s="16" t="str">
        <f t="shared" si="42"/>
        <v/>
      </c>
      <c r="M224" s="16" t="str">
        <f t="shared" si="43"/>
        <v/>
      </c>
      <c r="N224" s="16" t="str">
        <f t="shared" si="44"/>
        <v/>
      </c>
      <c r="O224" s="16" t="str">
        <f t="shared" si="45"/>
        <v/>
      </c>
      <c r="P224" s="16" t="str">
        <f t="shared" si="46"/>
        <v/>
      </c>
      <c r="Q224" s="18" t="str">
        <f t="shared" si="47"/>
        <v/>
      </c>
      <c r="R224" s="19" t="str">
        <f>IF(C224="","",IF(ISNA(MATCH(B224,'Registru oferte'!$B$5:$B$504,0)),"Oferta nu există în registru",IF(N(F224)&lt;=0,"Lipsește cantitatea",IF(AND(ISNUMBER(Q224),Q224&lt;MarjaMin),"Marjă sub minim ("&amp;TEXT(Q224*100,"0")&amp;"%)",""))))</f>
        <v/>
      </c>
      <c r="S224" s="1" t="str">
        <f>IF(B224="","",B224&amp;"|"&amp;COUNTIF($B$5:B224,B224))</f>
        <v/>
      </c>
    </row>
    <row r="225" spans="2:19" x14ac:dyDescent="0.2">
      <c r="B225" s="11"/>
      <c r="C225" s="11"/>
      <c r="D225" s="10" t="str">
        <f t="shared" si="36"/>
        <v/>
      </c>
      <c r="E225" s="15" t="str">
        <f t="shared" si="37"/>
        <v/>
      </c>
      <c r="F225" s="11"/>
      <c r="G225" s="16" t="str">
        <f t="shared" si="38"/>
        <v/>
      </c>
      <c r="H225" s="17"/>
      <c r="I225" s="16" t="str">
        <f t="shared" si="39"/>
        <v/>
      </c>
      <c r="J225" s="16" t="str">
        <f t="shared" si="40"/>
        <v/>
      </c>
      <c r="K225" s="18" t="str">
        <f t="shared" si="41"/>
        <v/>
      </c>
      <c r="L225" s="16" t="str">
        <f t="shared" si="42"/>
        <v/>
      </c>
      <c r="M225" s="16" t="str">
        <f t="shared" si="43"/>
        <v/>
      </c>
      <c r="N225" s="16" t="str">
        <f t="shared" si="44"/>
        <v/>
      </c>
      <c r="O225" s="16" t="str">
        <f t="shared" si="45"/>
        <v/>
      </c>
      <c r="P225" s="16" t="str">
        <f t="shared" si="46"/>
        <v/>
      </c>
      <c r="Q225" s="18" t="str">
        <f t="shared" si="47"/>
        <v/>
      </c>
      <c r="R225" s="19" t="str">
        <f>IF(C225="","",IF(ISNA(MATCH(B225,'Registru oferte'!$B$5:$B$504,0)),"Oferta nu există în registru",IF(N(F225)&lt;=0,"Lipsește cantitatea",IF(AND(ISNUMBER(Q225),Q225&lt;MarjaMin),"Marjă sub minim ("&amp;TEXT(Q225*100,"0")&amp;"%)",""))))</f>
        <v/>
      </c>
      <c r="S225" s="1" t="str">
        <f>IF(B225="","",B225&amp;"|"&amp;COUNTIF($B$5:B225,B225))</f>
        <v/>
      </c>
    </row>
    <row r="226" spans="2:19" x14ac:dyDescent="0.2">
      <c r="B226" s="11"/>
      <c r="C226" s="11"/>
      <c r="D226" s="10" t="str">
        <f t="shared" si="36"/>
        <v/>
      </c>
      <c r="E226" s="15" t="str">
        <f t="shared" si="37"/>
        <v/>
      </c>
      <c r="F226" s="11"/>
      <c r="G226" s="16" t="str">
        <f t="shared" si="38"/>
        <v/>
      </c>
      <c r="H226" s="17"/>
      <c r="I226" s="16" t="str">
        <f t="shared" si="39"/>
        <v/>
      </c>
      <c r="J226" s="16" t="str">
        <f t="shared" si="40"/>
        <v/>
      </c>
      <c r="K226" s="18" t="str">
        <f t="shared" si="41"/>
        <v/>
      </c>
      <c r="L226" s="16" t="str">
        <f t="shared" si="42"/>
        <v/>
      </c>
      <c r="M226" s="16" t="str">
        <f t="shared" si="43"/>
        <v/>
      </c>
      <c r="N226" s="16" t="str">
        <f t="shared" si="44"/>
        <v/>
      </c>
      <c r="O226" s="16" t="str">
        <f t="shared" si="45"/>
        <v/>
      </c>
      <c r="P226" s="16" t="str">
        <f t="shared" si="46"/>
        <v/>
      </c>
      <c r="Q226" s="18" t="str">
        <f t="shared" si="47"/>
        <v/>
      </c>
      <c r="R226" s="19" t="str">
        <f>IF(C226="","",IF(ISNA(MATCH(B226,'Registru oferte'!$B$5:$B$504,0)),"Oferta nu există în registru",IF(N(F226)&lt;=0,"Lipsește cantitatea",IF(AND(ISNUMBER(Q226),Q226&lt;MarjaMin),"Marjă sub minim ("&amp;TEXT(Q226*100,"0")&amp;"%)",""))))</f>
        <v/>
      </c>
      <c r="S226" s="1" t="str">
        <f>IF(B226="","",B226&amp;"|"&amp;COUNTIF($B$5:B226,B226))</f>
        <v/>
      </c>
    </row>
    <row r="227" spans="2:19" x14ac:dyDescent="0.2">
      <c r="B227" s="11"/>
      <c r="C227" s="11"/>
      <c r="D227" s="10" t="str">
        <f t="shared" si="36"/>
        <v/>
      </c>
      <c r="E227" s="15" t="str">
        <f t="shared" si="37"/>
        <v/>
      </c>
      <c r="F227" s="11"/>
      <c r="G227" s="16" t="str">
        <f t="shared" si="38"/>
        <v/>
      </c>
      <c r="H227" s="17"/>
      <c r="I227" s="16" t="str">
        <f t="shared" si="39"/>
        <v/>
      </c>
      <c r="J227" s="16" t="str">
        <f t="shared" si="40"/>
        <v/>
      </c>
      <c r="K227" s="18" t="str">
        <f t="shared" si="41"/>
        <v/>
      </c>
      <c r="L227" s="16" t="str">
        <f t="shared" si="42"/>
        <v/>
      </c>
      <c r="M227" s="16" t="str">
        <f t="shared" si="43"/>
        <v/>
      </c>
      <c r="N227" s="16" t="str">
        <f t="shared" si="44"/>
        <v/>
      </c>
      <c r="O227" s="16" t="str">
        <f t="shared" si="45"/>
        <v/>
      </c>
      <c r="P227" s="16" t="str">
        <f t="shared" si="46"/>
        <v/>
      </c>
      <c r="Q227" s="18" t="str">
        <f t="shared" si="47"/>
        <v/>
      </c>
      <c r="R227" s="19" t="str">
        <f>IF(C227="","",IF(ISNA(MATCH(B227,'Registru oferte'!$B$5:$B$504,0)),"Oferta nu există în registru",IF(N(F227)&lt;=0,"Lipsește cantitatea",IF(AND(ISNUMBER(Q227),Q227&lt;MarjaMin),"Marjă sub minim ("&amp;TEXT(Q227*100,"0")&amp;"%)",""))))</f>
        <v/>
      </c>
      <c r="S227" s="1" t="str">
        <f>IF(B227="","",B227&amp;"|"&amp;COUNTIF($B$5:B227,B227))</f>
        <v/>
      </c>
    </row>
    <row r="228" spans="2:19" x14ac:dyDescent="0.2">
      <c r="B228" s="11"/>
      <c r="C228" s="11"/>
      <c r="D228" s="10" t="str">
        <f t="shared" si="36"/>
        <v/>
      </c>
      <c r="E228" s="15" t="str">
        <f t="shared" si="37"/>
        <v/>
      </c>
      <c r="F228" s="11"/>
      <c r="G228" s="16" t="str">
        <f t="shared" si="38"/>
        <v/>
      </c>
      <c r="H228" s="17"/>
      <c r="I228" s="16" t="str">
        <f t="shared" si="39"/>
        <v/>
      </c>
      <c r="J228" s="16" t="str">
        <f t="shared" si="40"/>
        <v/>
      </c>
      <c r="K228" s="18" t="str">
        <f t="shared" si="41"/>
        <v/>
      </c>
      <c r="L228" s="16" t="str">
        <f t="shared" si="42"/>
        <v/>
      </c>
      <c r="M228" s="16" t="str">
        <f t="shared" si="43"/>
        <v/>
      </c>
      <c r="N228" s="16" t="str">
        <f t="shared" si="44"/>
        <v/>
      </c>
      <c r="O228" s="16" t="str">
        <f t="shared" si="45"/>
        <v/>
      </c>
      <c r="P228" s="16" t="str">
        <f t="shared" si="46"/>
        <v/>
      </c>
      <c r="Q228" s="18" t="str">
        <f t="shared" si="47"/>
        <v/>
      </c>
      <c r="R228" s="19" t="str">
        <f>IF(C228="","",IF(ISNA(MATCH(B228,'Registru oferte'!$B$5:$B$504,0)),"Oferta nu există în registru",IF(N(F228)&lt;=0,"Lipsește cantitatea",IF(AND(ISNUMBER(Q228),Q228&lt;MarjaMin),"Marjă sub minim ("&amp;TEXT(Q228*100,"0")&amp;"%)",""))))</f>
        <v/>
      </c>
      <c r="S228" s="1" t="str">
        <f>IF(B228="","",B228&amp;"|"&amp;COUNTIF($B$5:B228,B228))</f>
        <v/>
      </c>
    </row>
    <row r="229" spans="2:19" x14ac:dyDescent="0.2">
      <c r="B229" s="11"/>
      <c r="C229" s="11"/>
      <c r="D229" s="10" t="str">
        <f t="shared" si="36"/>
        <v/>
      </c>
      <c r="E229" s="15" t="str">
        <f t="shared" si="37"/>
        <v/>
      </c>
      <c r="F229" s="11"/>
      <c r="G229" s="16" t="str">
        <f t="shared" si="38"/>
        <v/>
      </c>
      <c r="H229" s="17"/>
      <c r="I229" s="16" t="str">
        <f t="shared" si="39"/>
        <v/>
      </c>
      <c r="J229" s="16" t="str">
        <f t="shared" si="40"/>
        <v/>
      </c>
      <c r="K229" s="18" t="str">
        <f t="shared" si="41"/>
        <v/>
      </c>
      <c r="L229" s="16" t="str">
        <f t="shared" si="42"/>
        <v/>
      </c>
      <c r="M229" s="16" t="str">
        <f t="shared" si="43"/>
        <v/>
      </c>
      <c r="N229" s="16" t="str">
        <f t="shared" si="44"/>
        <v/>
      </c>
      <c r="O229" s="16" t="str">
        <f t="shared" si="45"/>
        <v/>
      </c>
      <c r="P229" s="16" t="str">
        <f t="shared" si="46"/>
        <v/>
      </c>
      <c r="Q229" s="18" t="str">
        <f t="shared" si="47"/>
        <v/>
      </c>
      <c r="R229" s="19" t="str">
        <f>IF(C229="","",IF(ISNA(MATCH(B229,'Registru oferte'!$B$5:$B$504,0)),"Oferta nu există în registru",IF(N(F229)&lt;=0,"Lipsește cantitatea",IF(AND(ISNUMBER(Q229),Q229&lt;MarjaMin),"Marjă sub minim ("&amp;TEXT(Q229*100,"0")&amp;"%)",""))))</f>
        <v/>
      </c>
      <c r="S229" s="1" t="str">
        <f>IF(B229="","",B229&amp;"|"&amp;COUNTIF($B$5:B229,B229))</f>
        <v/>
      </c>
    </row>
    <row r="230" spans="2:19" x14ac:dyDescent="0.2">
      <c r="B230" s="11"/>
      <c r="C230" s="11"/>
      <c r="D230" s="10" t="str">
        <f t="shared" si="36"/>
        <v/>
      </c>
      <c r="E230" s="15" t="str">
        <f t="shared" si="37"/>
        <v/>
      </c>
      <c r="F230" s="11"/>
      <c r="G230" s="16" t="str">
        <f t="shared" si="38"/>
        <v/>
      </c>
      <c r="H230" s="17"/>
      <c r="I230" s="16" t="str">
        <f t="shared" si="39"/>
        <v/>
      </c>
      <c r="J230" s="16" t="str">
        <f t="shared" si="40"/>
        <v/>
      </c>
      <c r="K230" s="18" t="str">
        <f t="shared" si="41"/>
        <v/>
      </c>
      <c r="L230" s="16" t="str">
        <f t="shared" si="42"/>
        <v/>
      </c>
      <c r="M230" s="16" t="str">
        <f t="shared" si="43"/>
        <v/>
      </c>
      <c r="N230" s="16" t="str">
        <f t="shared" si="44"/>
        <v/>
      </c>
      <c r="O230" s="16" t="str">
        <f t="shared" si="45"/>
        <v/>
      </c>
      <c r="P230" s="16" t="str">
        <f t="shared" si="46"/>
        <v/>
      </c>
      <c r="Q230" s="18" t="str">
        <f t="shared" si="47"/>
        <v/>
      </c>
      <c r="R230" s="19" t="str">
        <f>IF(C230="","",IF(ISNA(MATCH(B230,'Registru oferte'!$B$5:$B$504,0)),"Oferta nu există în registru",IF(N(F230)&lt;=0,"Lipsește cantitatea",IF(AND(ISNUMBER(Q230),Q230&lt;MarjaMin),"Marjă sub minim ("&amp;TEXT(Q230*100,"0")&amp;"%)",""))))</f>
        <v/>
      </c>
      <c r="S230" s="1" t="str">
        <f>IF(B230="","",B230&amp;"|"&amp;COUNTIF($B$5:B230,B230))</f>
        <v/>
      </c>
    </row>
    <row r="231" spans="2:19" x14ac:dyDescent="0.2">
      <c r="B231" s="11"/>
      <c r="C231" s="11"/>
      <c r="D231" s="10" t="str">
        <f t="shared" si="36"/>
        <v/>
      </c>
      <c r="E231" s="15" t="str">
        <f t="shared" si="37"/>
        <v/>
      </c>
      <c r="F231" s="11"/>
      <c r="G231" s="16" t="str">
        <f t="shared" si="38"/>
        <v/>
      </c>
      <c r="H231" s="17"/>
      <c r="I231" s="16" t="str">
        <f t="shared" si="39"/>
        <v/>
      </c>
      <c r="J231" s="16" t="str">
        <f t="shared" si="40"/>
        <v/>
      </c>
      <c r="K231" s="18" t="str">
        <f t="shared" si="41"/>
        <v/>
      </c>
      <c r="L231" s="16" t="str">
        <f t="shared" si="42"/>
        <v/>
      </c>
      <c r="M231" s="16" t="str">
        <f t="shared" si="43"/>
        <v/>
      </c>
      <c r="N231" s="16" t="str">
        <f t="shared" si="44"/>
        <v/>
      </c>
      <c r="O231" s="16" t="str">
        <f t="shared" si="45"/>
        <v/>
      </c>
      <c r="P231" s="16" t="str">
        <f t="shared" si="46"/>
        <v/>
      </c>
      <c r="Q231" s="18" t="str">
        <f t="shared" si="47"/>
        <v/>
      </c>
      <c r="R231" s="19" t="str">
        <f>IF(C231="","",IF(ISNA(MATCH(B231,'Registru oferte'!$B$5:$B$504,0)),"Oferta nu există în registru",IF(N(F231)&lt;=0,"Lipsește cantitatea",IF(AND(ISNUMBER(Q231),Q231&lt;MarjaMin),"Marjă sub minim ("&amp;TEXT(Q231*100,"0")&amp;"%)",""))))</f>
        <v/>
      </c>
      <c r="S231" s="1" t="str">
        <f>IF(B231="","",B231&amp;"|"&amp;COUNTIF($B$5:B231,B231))</f>
        <v/>
      </c>
    </row>
    <row r="232" spans="2:19" x14ac:dyDescent="0.2">
      <c r="B232" s="11"/>
      <c r="C232" s="11"/>
      <c r="D232" s="10" t="str">
        <f t="shared" si="36"/>
        <v/>
      </c>
      <c r="E232" s="15" t="str">
        <f t="shared" si="37"/>
        <v/>
      </c>
      <c r="F232" s="11"/>
      <c r="G232" s="16" t="str">
        <f t="shared" si="38"/>
        <v/>
      </c>
      <c r="H232" s="17"/>
      <c r="I232" s="16" t="str">
        <f t="shared" si="39"/>
        <v/>
      </c>
      <c r="J232" s="16" t="str">
        <f t="shared" si="40"/>
        <v/>
      </c>
      <c r="K232" s="18" t="str">
        <f t="shared" si="41"/>
        <v/>
      </c>
      <c r="L232" s="16" t="str">
        <f t="shared" si="42"/>
        <v/>
      </c>
      <c r="M232" s="16" t="str">
        <f t="shared" si="43"/>
        <v/>
      </c>
      <c r="N232" s="16" t="str">
        <f t="shared" si="44"/>
        <v/>
      </c>
      <c r="O232" s="16" t="str">
        <f t="shared" si="45"/>
        <v/>
      </c>
      <c r="P232" s="16" t="str">
        <f t="shared" si="46"/>
        <v/>
      </c>
      <c r="Q232" s="18" t="str">
        <f t="shared" si="47"/>
        <v/>
      </c>
      <c r="R232" s="19" t="str">
        <f>IF(C232="","",IF(ISNA(MATCH(B232,'Registru oferte'!$B$5:$B$504,0)),"Oferta nu există în registru",IF(N(F232)&lt;=0,"Lipsește cantitatea",IF(AND(ISNUMBER(Q232),Q232&lt;MarjaMin),"Marjă sub minim ("&amp;TEXT(Q232*100,"0")&amp;"%)",""))))</f>
        <v/>
      </c>
      <c r="S232" s="1" t="str">
        <f>IF(B232="","",B232&amp;"|"&amp;COUNTIF($B$5:B232,B232))</f>
        <v/>
      </c>
    </row>
    <row r="233" spans="2:19" x14ac:dyDescent="0.2">
      <c r="B233" s="11"/>
      <c r="C233" s="11"/>
      <c r="D233" s="10" t="str">
        <f t="shared" si="36"/>
        <v/>
      </c>
      <c r="E233" s="15" t="str">
        <f t="shared" si="37"/>
        <v/>
      </c>
      <c r="F233" s="11"/>
      <c r="G233" s="16" t="str">
        <f t="shared" si="38"/>
        <v/>
      </c>
      <c r="H233" s="17"/>
      <c r="I233" s="16" t="str">
        <f t="shared" si="39"/>
        <v/>
      </c>
      <c r="J233" s="16" t="str">
        <f t="shared" si="40"/>
        <v/>
      </c>
      <c r="K233" s="18" t="str">
        <f t="shared" si="41"/>
        <v/>
      </c>
      <c r="L233" s="16" t="str">
        <f t="shared" si="42"/>
        <v/>
      </c>
      <c r="M233" s="16" t="str">
        <f t="shared" si="43"/>
        <v/>
      </c>
      <c r="N233" s="16" t="str">
        <f t="shared" si="44"/>
        <v/>
      </c>
      <c r="O233" s="16" t="str">
        <f t="shared" si="45"/>
        <v/>
      </c>
      <c r="P233" s="16" t="str">
        <f t="shared" si="46"/>
        <v/>
      </c>
      <c r="Q233" s="18" t="str">
        <f t="shared" si="47"/>
        <v/>
      </c>
      <c r="R233" s="19" t="str">
        <f>IF(C233="","",IF(ISNA(MATCH(B233,'Registru oferte'!$B$5:$B$504,0)),"Oferta nu există în registru",IF(N(F233)&lt;=0,"Lipsește cantitatea",IF(AND(ISNUMBER(Q233),Q233&lt;MarjaMin),"Marjă sub minim ("&amp;TEXT(Q233*100,"0")&amp;"%)",""))))</f>
        <v/>
      </c>
      <c r="S233" s="1" t="str">
        <f>IF(B233="","",B233&amp;"|"&amp;COUNTIF($B$5:B233,B233))</f>
        <v/>
      </c>
    </row>
    <row r="234" spans="2:19" x14ac:dyDescent="0.2">
      <c r="B234" s="11"/>
      <c r="C234" s="11"/>
      <c r="D234" s="10" t="str">
        <f t="shared" si="36"/>
        <v/>
      </c>
      <c r="E234" s="15" t="str">
        <f t="shared" si="37"/>
        <v/>
      </c>
      <c r="F234" s="11"/>
      <c r="G234" s="16" t="str">
        <f t="shared" si="38"/>
        <v/>
      </c>
      <c r="H234" s="17"/>
      <c r="I234" s="16" t="str">
        <f t="shared" si="39"/>
        <v/>
      </c>
      <c r="J234" s="16" t="str">
        <f t="shared" si="40"/>
        <v/>
      </c>
      <c r="K234" s="18" t="str">
        <f t="shared" si="41"/>
        <v/>
      </c>
      <c r="L234" s="16" t="str">
        <f t="shared" si="42"/>
        <v/>
      </c>
      <c r="M234" s="16" t="str">
        <f t="shared" si="43"/>
        <v/>
      </c>
      <c r="N234" s="16" t="str">
        <f t="shared" si="44"/>
        <v/>
      </c>
      <c r="O234" s="16" t="str">
        <f t="shared" si="45"/>
        <v/>
      </c>
      <c r="P234" s="16" t="str">
        <f t="shared" si="46"/>
        <v/>
      </c>
      <c r="Q234" s="18" t="str">
        <f t="shared" si="47"/>
        <v/>
      </c>
      <c r="R234" s="19" t="str">
        <f>IF(C234="","",IF(ISNA(MATCH(B234,'Registru oferte'!$B$5:$B$504,0)),"Oferta nu există în registru",IF(N(F234)&lt;=0,"Lipsește cantitatea",IF(AND(ISNUMBER(Q234),Q234&lt;MarjaMin),"Marjă sub minim ("&amp;TEXT(Q234*100,"0")&amp;"%)",""))))</f>
        <v/>
      </c>
      <c r="S234" s="1" t="str">
        <f>IF(B234="","",B234&amp;"|"&amp;COUNTIF($B$5:B234,B234))</f>
        <v/>
      </c>
    </row>
    <row r="235" spans="2:19" x14ac:dyDescent="0.2">
      <c r="B235" s="11"/>
      <c r="C235" s="11"/>
      <c r="D235" s="10" t="str">
        <f t="shared" si="36"/>
        <v/>
      </c>
      <c r="E235" s="15" t="str">
        <f t="shared" si="37"/>
        <v/>
      </c>
      <c r="F235" s="11"/>
      <c r="G235" s="16" t="str">
        <f t="shared" si="38"/>
        <v/>
      </c>
      <c r="H235" s="17"/>
      <c r="I235" s="16" t="str">
        <f t="shared" si="39"/>
        <v/>
      </c>
      <c r="J235" s="16" t="str">
        <f t="shared" si="40"/>
        <v/>
      </c>
      <c r="K235" s="18" t="str">
        <f t="shared" si="41"/>
        <v/>
      </c>
      <c r="L235" s="16" t="str">
        <f t="shared" si="42"/>
        <v/>
      </c>
      <c r="M235" s="16" t="str">
        <f t="shared" si="43"/>
        <v/>
      </c>
      <c r="N235" s="16" t="str">
        <f t="shared" si="44"/>
        <v/>
      </c>
      <c r="O235" s="16" t="str">
        <f t="shared" si="45"/>
        <v/>
      </c>
      <c r="P235" s="16" t="str">
        <f t="shared" si="46"/>
        <v/>
      </c>
      <c r="Q235" s="18" t="str">
        <f t="shared" si="47"/>
        <v/>
      </c>
      <c r="R235" s="19" t="str">
        <f>IF(C235="","",IF(ISNA(MATCH(B235,'Registru oferte'!$B$5:$B$504,0)),"Oferta nu există în registru",IF(N(F235)&lt;=0,"Lipsește cantitatea",IF(AND(ISNUMBER(Q235),Q235&lt;MarjaMin),"Marjă sub minim ("&amp;TEXT(Q235*100,"0")&amp;"%)",""))))</f>
        <v/>
      </c>
      <c r="S235" s="1" t="str">
        <f>IF(B235="","",B235&amp;"|"&amp;COUNTIF($B$5:B235,B235))</f>
        <v/>
      </c>
    </row>
    <row r="236" spans="2:19" x14ac:dyDescent="0.2">
      <c r="B236" s="11"/>
      <c r="C236" s="11"/>
      <c r="D236" s="10" t="str">
        <f t="shared" si="36"/>
        <v/>
      </c>
      <c r="E236" s="15" t="str">
        <f t="shared" si="37"/>
        <v/>
      </c>
      <c r="F236" s="11"/>
      <c r="G236" s="16" t="str">
        <f t="shared" si="38"/>
        <v/>
      </c>
      <c r="H236" s="17"/>
      <c r="I236" s="16" t="str">
        <f t="shared" si="39"/>
        <v/>
      </c>
      <c r="J236" s="16" t="str">
        <f t="shared" si="40"/>
        <v/>
      </c>
      <c r="K236" s="18" t="str">
        <f t="shared" si="41"/>
        <v/>
      </c>
      <c r="L236" s="16" t="str">
        <f t="shared" si="42"/>
        <v/>
      </c>
      <c r="M236" s="16" t="str">
        <f t="shared" si="43"/>
        <v/>
      </c>
      <c r="N236" s="16" t="str">
        <f t="shared" si="44"/>
        <v/>
      </c>
      <c r="O236" s="16" t="str">
        <f t="shared" si="45"/>
        <v/>
      </c>
      <c r="P236" s="16" t="str">
        <f t="shared" si="46"/>
        <v/>
      </c>
      <c r="Q236" s="18" t="str">
        <f t="shared" si="47"/>
        <v/>
      </c>
      <c r="R236" s="19" t="str">
        <f>IF(C236="","",IF(ISNA(MATCH(B236,'Registru oferte'!$B$5:$B$504,0)),"Oferta nu există în registru",IF(N(F236)&lt;=0,"Lipsește cantitatea",IF(AND(ISNUMBER(Q236),Q236&lt;MarjaMin),"Marjă sub minim ("&amp;TEXT(Q236*100,"0")&amp;"%)",""))))</f>
        <v/>
      </c>
      <c r="S236" s="1" t="str">
        <f>IF(B236="","",B236&amp;"|"&amp;COUNTIF($B$5:B236,B236))</f>
        <v/>
      </c>
    </row>
    <row r="237" spans="2:19" x14ac:dyDescent="0.2">
      <c r="B237" s="11"/>
      <c r="C237" s="11"/>
      <c r="D237" s="10" t="str">
        <f t="shared" si="36"/>
        <v/>
      </c>
      <c r="E237" s="15" t="str">
        <f t="shared" si="37"/>
        <v/>
      </c>
      <c r="F237" s="11"/>
      <c r="G237" s="16" t="str">
        <f t="shared" si="38"/>
        <v/>
      </c>
      <c r="H237" s="17"/>
      <c r="I237" s="16" t="str">
        <f t="shared" si="39"/>
        <v/>
      </c>
      <c r="J237" s="16" t="str">
        <f t="shared" si="40"/>
        <v/>
      </c>
      <c r="K237" s="18" t="str">
        <f t="shared" si="41"/>
        <v/>
      </c>
      <c r="L237" s="16" t="str">
        <f t="shared" si="42"/>
        <v/>
      </c>
      <c r="M237" s="16" t="str">
        <f t="shared" si="43"/>
        <v/>
      </c>
      <c r="N237" s="16" t="str">
        <f t="shared" si="44"/>
        <v/>
      </c>
      <c r="O237" s="16" t="str">
        <f t="shared" si="45"/>
        <v/>
      </c>
      <c r="P237" s="16" t="str">
        <f t="shared" si="46"/>
        <v/>
      </c>
      <c r="Q237" s="18" t="str">
        <f t="shared" si="47"/>
        <v/>
      </c>
      <c r="R237" s="19" t="str">
        <f>IF(C237="","",IF(ISNA(MATCH(B237,'Registru oferte'!$B$5:$B$504,0)),"Oferta nu există în registru",IF(N(F237)&lt;=0,"Lipsește cantitatea",IF(AND(ISNUMBER(Q237),Q237&lt;MarjaMin),"Marjă sub minim ("&amp;TEXT(Q237*100,"0")&amp;"%)",""))))</f>
        <v/>
      </c>
      <c r="S237" s="1" t="str">
        <f>IF(B237="","",B237&amp;"|"&amp;COUNTIF($B$5:B237,B237))</f>
        <v/>
      </c>
    </row>
    <row r="238" spans="2:19" x14ac:dyDescent="0.2">
      <c r="B238" s="11"/>
      <c r="C238" s="11"/>
      <c r="D238" s="10" t="str">
        <f t="shared" si="36"/>
        <v/>
      </c>
      <c r="E238" s="15" t="str">
        <f t="shared" si="37"/>
        <v/>
      </c>
      <c r="F238" s="11"/>
      <c r="G238" s="16" t="str">
        <f t="shared" si="38"/>
        <v/>
      </c>
      <c r="H238" s="17"/>
      <c r="I238" s="16" t="str">
        <f t="shared" si="39"/>
        <v/>
      </c>
      <c r="J238" s="16" t="str">
        <f t="shared" si="40"/>
        <v/>
      </c>
      <c r="K238" s="18" t="str">
        <f t="shared" si="41"/>
        <v/>
      </c>
      <c r="L238" s="16" t="str">
        <f t="shared" si="42"/>
        <v/>
      </c>
      <c r="M238" s="16" t="str">
        <f t="shared" si="43"/>
        <v/>
      </c>
      <c r="N238" s="16" t="str">
        <f t="shared" si="44"/>
        <v/>
      </c>
      <c r="O238" s="16" t="str">
        <f t="shared" si="45"/>
        <v/>
      </c>
      <c r="P238" s="16" t="str">
        <f t="shared" si="46"/>
        <v/>
      </c>
      <c r="Q238" s="18" t="str">
        <f t="shared" si="47"/>
        <v/>
      </c>
      <c r="R238" s="19" t="str">
        <f>IF(C238="","",IF(ISNA(MATCH(B238,'Registru oferte'!$B$5:$B$504,0)),"Oferta nu există în registru",IF(N(F238)&lt;=0,"Lipsește cantitatea",IF(AND(ISNUMBER(Q238),Q238&lt;MarjaMin),"Marjă sub minim ("&amp;TEXT(Q238*100,"0")&amp;"%)",""))))</f>
        <v/>
      </c>
      <c r="S238" s="1" t="str">
        <f>IF(B238="","",B238&amp;"|"&amp;COUNTIF($B$5:B238,B238))</f>
        <v/>
      </c>
    </row>
    <row r="239" spans="2:19" x14ac:dyDescent="0.2">
      <c r="B239" s="11"/>
      <c r="C239" s="11"/>
      <c r="D239" s="10" t="str">
        <f t="shared" si="36"/>
        <v/>
      </c>
      <c r="E239" s="15" t="str">
        <f t="shared" si="37"/>
        <v/>
      </c>
      <c r="F239" s="11"/>
      <c r="G239" s="16" t="str">
        <f t="shared" si="38"/>
        <v/>
      </c>
      <c r="H239" s="17"/>
      <c r="I239" s="16" t="str">
        <f t="shared" si="39"/>
        <v/>
      </c>
      <c r="J239" s="16" t="str">
        <f t="shared" si="40"/>
        <v/>
      </c>
      <c r="K239" s="18" t="str">
        <f t="shared" si="41"/>
        <v/>
      </c>
      <c r="L239" s="16" t="str">
        <f t="shared" si="42"/>
        <v/>
      </c>
      <c r="M239" s="16" t="str">
        <f t="shared" si="43"/>
        <v/>
      </c>
      <c r="N239" s="16" t="str">
        <f t="shared" si="44"/>
        <v/>
      </c>
      <c r="O239" s="16" t="str">
        <f t="shared" si="45"/>
        <v/>
      </c>
      <c r="P239" s="16" t="str">
        <f t="shared" si="46"/>
        <v/>
      </c>
      <c r="Q239" s="18" t="str">
        <f t="shared" si="47"/>
        <v/>
      </c>
      <c r="R239" s="19" t="str">
        <f>IF(C239="","",IF(ISNA(MATCH(B239,'Registru oferte'!$B$5:$B$504,0)),"Oferta nu există în registru",IF(N(F239)&lt;=0,"Lipsește cantitatea",IF(AND(ISNUMBER(Q239),Q239&lt;MarjaMin),"Marjă sub minim ("&amp;TEXT(Q239*100,"0")&amp;"%)",""))))</f>
        <v/>
      </c>
      <c r="S239" s="1" t="str">
        <f>IF(B239="","",B239&amp;"|"&amp;COUNTIF($B$5:B239,B239))</f>
        <v/>
      </c>
    </row>
    <row r="240" spans="2:19" x14ac:dyDescent="0.2">
      <c r="B240" s="11"/>
      <c r="C240" s="11"/>
      <c r="D240" s="10" t="str">
        <f t="shared" si="36"/>
        <v/>
      </c>
      <c r="E240" s="15" t="str">
        <f t="shared" si="37"/>
        <v/>
      </c>
      <c r="F240" s="11"/>
      <c r="G240" s="16" t="str">
        <f t="shared" si="38"/>
        <v/>
      </c>
      <c r="H240" s="17"/>
      <c r="I240" s="16" t="str">
        <f t="shared" si="39"/>
        <v/>
      </c>
      <c r="J240" s="16" t="str">
        <f t="shared" si="40"/>
        <v/>
      </c>
      <c r="K240" s="18" t="str">
        <f t="shared" si="41"/>
        <v/>
      </c>
      <c r="L240" s="16" t="str">
        <f t="shared" si="42"/>
        <v/>
      </c>
      <c r="M240" s="16" t="str">
        <f t="shared" si="43"/>
        <v/>
      </c>
      <c r="N240" s="16" t="str">
        <f t="shared" si="44"/>
        <v/>
      </c>
      <c r="O240" s="16" t="str">
        <f t="shared" si="45"/>
        <v/>
      </c>
      <c r="P240" s="16" t="str">
        <f t="shared" si="46"/>
        <v/>
      </c>
      <c r="Q240" s="18" t="str">
        <f t="shared" si="47"/>
        <v/>
      </c>
      <c r="R240" s="19" t="str">
        <f>IF(C240="","",IF(ISNA(MATCH(B240,'Registru oferte'!$B$5:$B$504,0)),"Oferta nu există în registru",IF(N(F240)&lt;=0,"Lipsește cantitatea",IF(AND(ISNUMBER(Q240),Q240&lt;MarjaMin),"Marjă sub minim ("&amp;TEXT(Q240*100,"0")&amp;"%)",""))))</f>
        <v/>
      </c>
      <c r="S240" s="1" t="str">
        <f>IF(B240="","",B240&amp;"|"&amp;COUNTIF($B$5:B240,B240))</f>
        <v/>
      </c>
    </row>
    <row r="241" spans="2:19" x14ac:dyDescent="0.2">
      <c r="B241" s="11"/>
      <c r="C241" s="11"/>
      <c r="D241" s="10" t="str">
        <f t="shared" si="36"/>
        <v/>
      </c>
      <c r="E241" s="15" t="str">
        <f t="shared" si="37"/>
        <v/>
      </c>
      <c r="F241" s="11"/>
      <c r="G241" s="16" t="str">
        <f t="shared" si="38"/>
        <v/>
      </c>
      <c r="H241" s="17"/>
      <c r="I241" s="16" t="str">
        <f t="shared" si="39"/>
        <v/>
      </c>
      <c r="J241" s="16" t="str">
        <f t="shared" si="40"/>
        <v/>
      </c>
      <c r="K241" s="18" t="str">
        <f t="shared" si="41"/>
        <v/>
      </c>
      <c r="L241" s="16" t="str">
        <f t="shared" si="42"/>
        <v/>
      </c>
      <c r="M241" s="16" t="str">
        <f t="shared" si="43"/>
        <v/>
      </c>
      <c r="N241" s="16" t="str">
        <f t="shared" si="44"/>
        <v/>
      </c>
      <c r="O241" s="16" t="str">
        <f t="shared" si="45"/>
        <v/>
      </c>
      <c r="P241" s="16" t="str">
        <f t="shared" si="46"/>
        <v/>
      </c>
      <c r="Q241" s="18" t="str">
        <f t="shared" si="47"/>
        <v/>
      </c>
      <c r="R241" s="19" t="str">
        <f>IF(C241="","",IF(ISNA(MATCH(B241,'Registru oferte'!$B$5:$B$504,0)),"Oferta nu există în registru",IF(N(F241)&lt;=0,"Lipsește cantitatea",IF(AND(ISNUMBER(Q241),Q241&lt;MarjaMin),"Marjă sub minim ("&amp;TEXT(Q241*100,"0")&amp;"%)",""))))</f>
        <v/>
      </c>
      <c r="S241" s="1" t="str">
        <f>IF(B241="","",B241&amp;"|"&amp;COUNTIF($B$5:B241,B241))</f>
        <v/>
      </c>
    </row>
    <row r="242" spans="2:19" x14ac:dyDescent="0.2">
      <c r="B242" s="11"/>
      <c r="C242" s="11"/>
      <c r="D242" s="10" t="str">
        <f t="shared" si="36"/>
        <v/>
      </c>
      <c r="E242" s="15" t="str">
        <f t="shared" si="37"/>
        <v/>
      </c>
      <c r="F242" s="11"/>
      <c r="G242" s="16" t="str">
        <f t="shared" si="38"/>
        <v/>
      </c>
      <c r="H242" s="17"/>
      <c r="I242" s="16" t="str">
        <f t="shared" si="39"/>
        <v/>
      </c>
      <c r="J242" s="16" t="str">
        <f t="shared" si="40"/>
        <v/>
      </c>
      <c r="K242" s="18" t="str">
        <f t="shared" si="41"/>
        <v/>
      </c>
      <c r="L242" s="16" t="str">
        <f t="shared" si="42"/>
        <v/>
      </c>
      <c r="M242" s="16" t="str">
        <f t="shared" si="43"/>
        <v/>
      </c>
      <c r="N242" s="16" t="str">
        <f t="shared" si="44"/>
        <v/>
      </c>
      <c r="O242" s="16" t="str">
        <f t="shared" si="45"/>
        <v/>
      </c>
      <c r="P242" s="16" t="str">
        <f t="shared" si="46"/>
        <v/>
      </c>
      <c r="Q242" s="18" t="str">
        <f t="shared" si="47"/>
        <v/>
      </c>
      <c r="R242" s="19" t="str">
        <f>IF(C242="","",IF(ISNA(MATCH(B242,'Registru oferte'!$B$5:$B$504,0)),"Oferta nu există în registru",IF(N(F242)&lt;=0,"Lipsește cantitatea",IF(AND(ISNUMBER(Q242),Q242&lt;MarjaMin),"Marjă sub minim ("&amp;TEXT(Q242*100,"0")&amp;"%)",""))))</f>
        <v/>
      </c>
      <c r="S242" s="1" t="str">
        <f>IF(B242="","",B242&amp;"|"&amp;COUNTIF($B$5:B242,B242))</f>
        <v/>
      </c>
    </row>
    <row r="243" spans="2:19" x14ac:dyDescent="0.2">
      <c r="B243" s="11"/>
      <c r="C243" s="11"/>
      <c r="D243" s="10" t="str">
        <f t="shared" si="36"/>
        <v/>
      </c>
      <c r="E243" s="15" t="str">
        <f t="shared" si="37"/>
        <v/>
      </c>
      <c r="F243" s="11"/>
      <c r="G243" s="16" t="str">
        <f t="shared" si="38"/>
        <v/>
      </c>
      <c r="H243" s="17"/>
      <c r="I243" s="16" t="str">
        <f t="shared" si="39"/>
        <v/>
      </c>
      <c r="J243" s="16" t="str">
        <f t="shared" si="40"/>
        <v/>
      </c>
      <c r="K243" s="18" t="str">
        <f t="shared" si="41"/>
        <v/>
      </c>
      <c r="L243" s="16" t="str">
        <f t="shared" si="42"/>
        <v/>
      </c>
      <c r="M243" s="16" t="str">
        <f t="shared" si="43"/>
        <v/>
      </c>
      <c r="N243" s="16" t="str">
        <f t="shared" si="44"/>
        <v/>
      </c>
      <c r="O243" s="16" t="str">
        <f t="shared" si="45"/>
        <v/>
      </c>
      <c r="P243" s="16" t="str">
        <f t="shared" si="46"/>
        <v/>
      </c>
      <c r="Q243" s="18" t="str">
        <f t="shared" si="47"/>
        <v/>
      </c>
      <c r="R243" s="19" t="str">
        <f>IF(C243="","",IF(ISNA(MATCH(B243,'Registru oferte'!$B$5:$B$504,0)),"Oferta nu există în registru",IF(N(F243)&lt;=0,"Lipsește cantitatea",IF(AND(ISNUMBER(Q243),Q243&lt;MarjaMin),"Marjă sub minim ("&amp;TEXT(Q243*100,"0")&amp;"%)",""))))</f>
        <v/>
      </c>
      <c r="S243" s="1" t="str">
        <f>IF(B243="","",B243&amp;"|"&amp;COUNTIF($B$5:B243,B243))</f>
        <v/>
      </c>
    </row>
    <row r="244" spans="2:19" x14ac:dyDescent="0.2">
      <c r="B244" s="11"/>
      <c r="C244" s="11"/>
      <c r="D244" s="10" t="str">
        <f t="shared" si="36"/>
        <v/>
      </c>
      <c r="E244" s="15" t="str">
        <f t="shared" si="37"/>
        <v/>
      </c>
      <c r="F244" s="11"/>
      <c r="G244" s="16" t="str">
        <f t="shared" si="38"/>
        <v/>
      </c>
      <c r="H244" s="17"/>
      <c r="I244" s="16" t="str">
        <f t="shared" si="39"/>
        <v/>
      </c>
      <c r="J244" s="16" t="str">
        <f t="shared" si="40"/>
        <v/>
      </c>
      <c r="K244" s="18" t="str">
        <f t="shared" si="41"/>
        <v/>
      </c>
      <c r="L244" s="16" t="str">
        <f t="shared" si="42"/>
        <v/>
      </c>
      <c r="M244" s="16" t="str">
        <f t="shared" si="43"/>
        <v/>
      </c>
      <c r="N244" s="16" t="str">
        <f t="shared" si="44"/>
        <v/>
      </c>
      <c r="O244" s="16" t="str">
        <f t="shared" si="45"/>
        <v/>
      </c>
      <c r="P244" s="16" t="str">
        <f t="shared" si="46"/>
        <v/>
      </c>
      <c r="Q244" s="18" t="str">
        <f t="shared" si="47"/>
        <v/>
      </c>
      <c r="R244" s="19" t="str">
        <f>IF(C244="","",IF(ISNA(MATCH(B244,'Registru oferte'!$B$5:$B$504,0)),"Oferta nu există în registru",IF(N(F244)&lt;=0,"Lipsește cantitatea",IF(AND(ISNUMBER(Q244),Q244&lt;MarjaMin),"Marjă sub minim ("&amp;TEXT(Q244*100,"0")&amp;"%)",""))))</f>
        <v/>
      </c>
      <c r="S244" s="1" t="str">
        <f>IF(B244="","",B244&amp;"|"&amp;COUNTIF($B$5:B244,B244))</f>
        <v/>
      </c>
    </row>
    <row r="245" spans="2:19" x14ac:dyDescent="0.2">
      <c r="B245" s="11"/>
      <c r="C245" s="11"/>
      <c r="D245" s="10" t="str">
        <f t="shared" si="36"/>
        <v/>
      </c>
      <c r="E245" s="15" t="str">
        <f t="shared" si="37"/>
        <v/>
      </c>
      <c r="F245" s="11"/>
      <c r="G245" s="16" t="str">
        <f t="shared" si="38"/>
        <v/>
      </c>
      <c r="H245" s="17"/>
      <c r="I245" s="16" t="str">
        <f t="shared" si="39"/>
        <v/>
      </c>
      <c r="J245" s="16" t="str">
        <f t="shared" si="40"/>
        <v/>
      </c>
      <c r="K245" s="18" t="str">
        <f t="shared" si="41"/>
        <v/>
      </c>
      <c r="L245" s="16" t="str">
        <f t="shared" si="42"/>
        <v/>
      </c>
      <c r="M245" s="16" t="str">
        <f t="shared" si="43"/>
        <v/>
      </c>
      <c r="N245" s="16" t="str">
        <f t="shared" si="44"/>
        <v/>
      </c>
      <c r="O245" s="16" t="str">
        <f t="shared" si="45"/>
        <v/>
      </c>
      <c r="P245" s="16" t="str">
        <f t="shared" si="46"/>
        <v/>
      </c>
      <c r="Q245" s="18" t="str">
        <f t="shared" si="47"/>
        <v/>
      </c>
      <c r="R245" s="19" t="str">
        <f>IF(C245="","",IF(ISNA(MATCH(B245,'Registru oferte'!$B$5:$B$504,0)),"Oferta nu există în registru",IF(N(F245)&lt;=0,"Lipsește cantitatea",IF(AND(ISNUMBER(Q245),Q245&lt;MarjaMin),"Marjă sub minim ("&amp;TEXT(Q245*100,"0")&amp;"%)",""))))</f>
        <v/>
      </c>
      <c r="S245" s="1" t="str">
        <f>IF(B245="","",B245&amp;"|"&amp;COUNTIF($B$5:B245,B245))</f>
        <v/>
      </c>
    </row>
    <row r="246" spans="2:19" x14ac:dyDescent="0.2">
      <c r="B246" s="11"/>
      <c r="C246" s="11"/>
      <c r="D246" s="10" t="str">
        <f t="shared" si="36"/>
        <v/>
      </c>
      <c r="E246" s="15" t="str">
        <f t="shared" si="37"/>
        <v/>
      </c>
      <c r="F246" s="11"/>
      <c r="G246" s="16" t="str">
        <f t="shared" si="38"/>
        <v/>
      </c>
      <c r="H246" s="17"/>
      <c r="I246" s="16" t="str">
        <f t="shared" si="39"/>
        <v/>
      </c>
      <c r="J246" s="16" t="str">
        <f t="shared" si="40"/>
        <v/>
      </c>
      <c r="K246" s="18" t="str">
        <f t="shared" si="41"/>
        <v/>
      </c>
      <c r="L246" s="16" t="str">
        <f t="shared" si="42"/>
        <v/>
      </c>
      <c r="M246" s="16" t="str">
        <f t="shared" si="43"/>
        <v/>
      </c>
      <c r="N246" s="16" t="str">
        <f t="shared" si="44"/>
        <v/>
      </c>
      <c r="O246" s="16" t="str">
        <f t="shared" si="45"/>
        <v/>
      </c>
      <c r="P246" s="16" t="str">
        <f t="shared" si="46"/>
        <v/>
      </c>
      <c r="Q246" s="18" t="str">
        <f t="shared" si="47"/>
        <v/>
      </c>
      <c r="R246" s="19" t="str">
        <f>IF(C246="","",IF(ISNA(MATCH(B246,'Registru oferte'!$B$5:$B$504,0)),"Oferta nu există în registru",IF(N(F246)&lt;=0,"Lipsește cantitatea",IF(AND(ISNUMBER(Q246),Q246&lt;MarjaMin),"Marjă sub minim ("&amp;TEXT(Q246*100,"0")&amp;"%)",""))))</f>
        <v/>
      </c>
      <c r="S246" s="1" t="str">
        <f>IF(B246="","",B246&amp;"|"&amp;COUNTIF($B$5:B246,B246))</f>
        <v/>
      </c>
    </row>
    <row r="247" spans="2:19" x14ac:dyDescent="0.2">
      <c r="B247" s="11"/>
      <c r="C247" s="11"/>
      <c r="D247" s="10" t="str">
        <f t="shared" si="36"/>
        <v/>
      </c>
      <c r="E247" s="15" t="str">
        <f t="shared" si="37"/>
        <v/>
      </c>
      <c r="F247" s="11"/>
      <c r="G247" s="16" t="str">
        <f t="shared" si="38"/>
        <v/>
      </c>
      <c r="H247" s="17"/>
      <c r="I247" s="16" t="str">
        <f t="shared" si="39"/>
        <v/>
      </c>
      <c r="J247" s="16" t="str">
        <f t="shared" si="40"/>
        <v/>
      </c>
      <c r="K247" s="18" t="str">
        <f t="shared" si="41"/>
        <v/>
      </c>
      <c r="L247" s="16" t="str">
        <f t="shared" si="42"/>
        <v/>
      </c>
      <c r="M247" s="16" t="str">
        <f t="shared" si="43"/>
        <v/>
      </c>
      <c r="N247" s="16" t="str">
        <f t="shared" si="44"/>
        <v/>
      </c>
      <c r="O247" s="16" t="str">
        <f t="shared" si="45"/>
        <v/>
      </c>
      <c r="P247" s="16" t="str">
        <f t="shared" si="46"/>
        <v/>
      </c>
      <c r="Q247" s="18" t="str">
        <f t="shared" si="47"/>
        <v/>
      </c>
      <c r="R247" s="19" t="str">
        <f>IF(C247="","",IF(ISNA(MATCH(B247,'Registru oferte'!$B$5:$B$504,0)),"Oferta nu există în registru",IF(N(F247)&lt;=0,"Lipsește cantitatea",IF(AND(ISNUMBER(Q247),Q247&lt;MarjaMin),"Marjă sub minim ("&amp;TEXT(Q247*100,"0")&amp;"%)",""))))</f>
        <v/>
      </c>
      <c r="S247" s="1" t="str">
        <f>IF(B247="","",B247&amp;"|"&amp;COUNTIF($B$5:B247,B247))</f>
        <v/>
      </c>
    </row>
    <row r="248" spans="2:19" x14ac:dyDescent="0.2">
      <c r="B248" s="11"/>
      <c r="C248" s="11"/>
      <c r="D248" s="10" t="str">
        <f t="shared" si="36"/>
        <v/>
      </c>
      <c r="E248" s="15" t="str">
        <f t="shared" si="37"/>
        <v/>
      </c>
      <c r="F248" s="11"/>
      <c r="G248" s="16" t="str">
        <f t="shared" si="38"/>
        <v/>
      </c>
      <c r="H248" s="17"/>
      <c r="I248" s="16" t="str">
        <f t="shared" si="39"/>
        <v/>
      </c>
      <c r="J248" s="16" t="str">
        <f t="shared" si="40"/>
        <v/>
      </c>
      <c r="K248" s="18" t="str">
        <f t="shared" si="41"/>
        <v/>
      </c>
      <c r="L248" s="16" t="str">
        <f t="shared" si="42"/>
        <v/>
      </c>
      <c r="M248" s="16" t="str">
        <f t="shared" si="43"/>
        <v/>
      </c>
      <c r="N248" s="16" t="str">
        <f t="shared" si="44"/>
        <v/>
      </c>
      <c r="O248" s="16" t="str">
        <f t="shared" si="45"/>
        <v/>
      </c>
      <c r="P248" s="16" t="str">
        <f t="shared" si="46"/>
        <v/>
      </c>
      <c r="Q248" s="18" t="str">
        <f t="shared" si="47"/>
        <v/>
      </c>
      <c r="R248" s="19" t="str">
        <f>IF(C248="","",IF(ISNA(MATCH(B248,'Registru oferte'!$B$5:$B$504,0)),"Oferta nu există în registru",IF(N(F248)&lt;=0,"Lipsește cantitatea",IF(AND(ISNUMBER(Q248),Q248&lt;MarjaMin),"Marjă sub minim ("&amp;TEXT(Q248*100,"0")&amp;"%)",""))))</f>
        <v/>
      </c>
      <c r="S248" s="1" t="str">
        <f>IF(B248="","",B248&amp;"|"&amp;COUNTIF($B$5:B248,B248))</f>
        <v/>
      </c>
    </row>
    <row r="249" spans="2:19" x14ac:dyDescent="0.2">
      <c r="B249" s="11"/>
      <c r="C249" s="11"/>
      <c r="D249" s="10" t="str">
        <f t="shared" si="36"/>
        <v/>
      </c>
      <c r="E249" s="15" t="str">
        <f t="shared" si="37"/>
        <v/>
      </c>
      <c r="F249" s="11"/>
      <c r="G249" s="16" t="str">
        <f t="shared" si="38"/>
        <v/>
      </c>
      <c r="H249" s="17"/>
      <c r="I249" s="16" t="str">
        <f t="shared" si="39"/>
        <v/>
      </c>
      <c r="J249" s="16" t="str">
        <f t="shared" si="40"/>
        <v/>
      </c>
      <c r="K249" s="18" t="str">
        <f t="shared" si="41"/>
        <v/>
      </c>
      <c r="L249" s="16" t="str">
        <f t="shared" si="42"/>
        <v/>
      </c>
      <c r="M249" s="16" t="str">
        <f t="shared" si="43"/>
        <v/>
      </c>
      <c r="N249" s="16" t="str">
        <f t="shared" si="44"/>
        <v/>
      </c>
      <c r="O249" s="16" t="str">
        <f t="shared" si="45"/>
        <v/>
      </c>
      <c r="P249" s="16" t="str">
        <f t="shared" si="46"/>
        <v/>
      </c>
      <c r="Q249" s="18" t="str">
        <f t="shared" si="47"/>
        <v/>
      </c>
      <c r="R249" s="19" t="str">
        <f>IF(C249="","",IF(ISNA(MATCH(B249,'Registru oferte'!$B$5:$B$504,0)),"Oferta nu există în registru",IF(N(F249)&lt;=0,"Lipsește cantitatea",IF(AND(ISNUMBER(Q249),Q249&lt;MarjaMin),"Marjă sub minim ("&amp;TEXT(Q249*100,"0")&amp;"%)",""))))</f>
        <v/>
      </c>
      <c r="S249" s="1" t="str">
        <f>IF(B249="","",B249&amp;"|"&amp;COUNTIF($B$5:B249,B249))</f>
        <v/>
      </c>
    </row>
    <row r="250" spans="2:19" x14ac:dyDescent="0.2">
      <c r="B250" s="11"/>
      <c r="C250" s="11"/>
      <c r="D250" s="10" t="str">
        <f t="shared" si="36"/>
        <v/>
      </c>
      <c r="E250" s="15" t="str">
        <f t="shared" si="37"/>
        <v/>
      </c>
      <c r="F250" s="11"/>
      <c r="G250" s="16" t="str">
        <f t="shared" si="38"/>
        <v/>
      </c>
      <c r="H250" s="17"/>
      <c r="I250" s="16" t="str">
        <f t="shared" si="39"/>
        <v/>
      </c>
      <c r="J250" s="16" t="str">
        <f t="shared" si="40"/>
        <v/>
      </c>
      <c r="K250" s="18" t="str">
        <f t="shared" si="41"/>
        <v/>
      </c>
      <c r="L250" s="16" t="str">
        <f t="shared" si="42"/>
        <v/>
      </c>
      <c r="M250" s="16" t="str">
        <f t="shared" si="43"/>
        <v/>
      </c>
      <c r="N250" s="16" t="str">
        <f t="shared" si="44"/>
        <v/>
      </c>
      <c r="O250" s="16" t="str">
        <f t="shared" si="45"/>
        <v/>
      </c>
      <c r="P250" s="16" t="str">
        <f t="shared" si="46"/>
        <v/>
      </c>
      <c r="Q250" s="18" t="str">
        <f t="shared" si="47"/>
        <v/>
      </c>
      <c r="R250" s="19" t="str">
        <f>IF(C250="","",IF(ISNA(MATCH(B250,'Registru oferte'!$B$5:$B$504,0)),"Oferta nu există în registru",IF(N(F250)&lt;=0,"Lipsește cantitatea",IF(AND(ISNUMBER(Q250),Q250&lt;MarjaMin),"Marjă sub minim ("&amp;TEXT(Q250*100,"0")&amp;"%)",""))))</f>
        <v/>
      </c>
      <c r="S250" s="1" t="str">
        <f>IF(B250="","",B250&amp;"|"&amp;COUNTIF($B$5:B250,B250))</f>
        <v/>
      </c>
    </row>
    <row r="251" spans="2:19" x14ac:dyDescent="0.2">
      <c r="B251" s="11"/>
      <c r="C251" s="11"/>
      <c r="D251" s="10" t="str">
        <f t="shared" si="36"/>
        <v/>
      </c>
      <c r="E251" s="15" t="str">
        <f t="shared" si="37"/>
        <v/>
      </c>
      <c r="F251" s="11"/>
      <c r="G251" s="16" t="str">
        <f t="shared" si="38"/>
        <v/>
      </c>
      <c r="H251" s="17"/>
      <c r="I251" s="16" t="str">
        <f t="shared" si="39"/>
        <v/>
      </c>
      <c r="J251" s="16" t="str">
        <f t="shared" si="40"/>
        <v/>
      </c>
      <c r="K251" s="18" t="str">
        <f t="shared" si="41"/>
        <v/>
      </c>
      <c r="L251" s="16" t="str">
        <f t="shared" si="42"/>
        <v/>
      </c>
      <c r="M251" s="16" t="str">
        <f t="shared" si="43"/>
        <v/>
      </c>
      <c r="N251" s="16" t="str">
        <f t="shared" si="44"/>
        <v/>
      </c>
      <c r="O251" s="16" t="str">
        <f t="shared" si="45"/>
        <v/>
      </c>
      <c r="P251" s="16" t="str">
        <f t="shared" si="46"/>
        <v/>
      </c>
      <c r="Q251" s="18" t="str">
        <f t="shared" si="47"/>
        <v/>
      </c>
      <c r="R251" s="19" t="str">
        <f>IF(C251="","",IF(ISNA(MATCH(B251,'Registru oferte'!$B$5:$B$504,0)),"Oferta nu există în registru",IF(N(F251)&lt;=0,"Lipsește cantitatea",IF(AND(ISNUMBER(Q251),Q251&lt;MarjaMin),"Marjă sub minim ("&amp;TEXT(Q251*100,"0")&amp;"%)",""))))</f>
        <v/>
      </c>
      <c r="S251" s="1" t="str">
        <f>IF(B251="","",B251&amp;"|"&amp;COUNTIF($B$5:B251,B251))</f>
        <v/>
      </c>
    </row>
    <row r="252" spans="2:19" x14ac:dyDescent="0.2">
      <c r="B252" s="11"/>
      <c r="C252" s="11"/>
      <c r="D252" s="10" t="str">
        <f t="shared" si="36"/>
        <v/>
      </c>
      <c r="E252" s="15" t="str">
        <f t="shared" si="37"/>
        <v/>
      </c>
      <c r="F252" s="11"/>
      <c r="G252" s="16" t="str">
        <f t="shared" si="38"/>
        <v/>
      </c>
      <c r="H252" s="17"/>
      <c r="I252" s="16" t="str">
        <f t="shared" si="39"/>
        <v/>
      </c>
      <c r="J252" s="16" t="str">
        <f t="shared" si="40"/>
        <v/>
      </c>
      <c r="K252" s="18" t="str">
        <f t="shared" si="41"/>
        <v/>
      </c>
      <c r="L252" s="16" t="str">
        <f t="shared" si="42"/>
        <v/>
      </c>
      <c r="M252" s="16" t="str">
        <f t="shared" si="43"/>
        <v/>
      </c>
      <c r="N252" s="16" t="str">
        <f t="shared" si="44"/>
        <v/>
      </c>
      <c r="O252" s="16" t="str">
        <f t="shared" si="45"/>
        <v/>
      </c>
      <c r="P252" s="16" t="str">
        <f t="shared" si="46"/>
        <v/>
      </c>
      <c r="Q252" s="18" t="str">
        <f t="shared" si="47"/>
        <v/>
      </c>
      <c r="R252" s="19" t="str">
        <f>IF(C252="","",IF(ISNA(MATCH(B252,'Registru oferte'!$B$5:$B$504,0)),"Oferta nu există în registru",IF(N(F252)&lt;=0,"Lipsește cantitatea",IF(AND(ISNUMBER(Q252),Q252&lt;MarjaMin),"Marjă sub minim ("&amp;TEXT(Q252*100,"0")&amp;"%)",""))))</f>
        <v/>
      </c>
      <c r="S252" s="1" t="str">
        <f>IF(B252="","",B252&amp;"|"&amp;COUNTIF($B$5:B252,B252))</f>
        <v/>
      </c>
    </row>
    <row r="253" spans="2:19" x14ac:dyDescent="0.2">
      <c r="B253" s="11"/>
      <c r="C253" s="11"/>
      <c r="D253" s="10" t="str">
        <f t="shared" si="36"/>
        <v/>
      </c>
      <c r="E253" s="15" t="str">
        <f t="shared" si="37"/>
        <v/>
      </c>
      <c r="F253" s="11"/>
      <c r="G253" s="16" t="str">
        <f t="shared" si="38"/>
        <v/>
      </c>
      <c r="H253" s="17"/>
      <c r="I253" s="16" t="str">
        <f t="shared" si="39"/>
        <v/>
      </c>
      <c r="J253" s="16" t="str">
        <f t="shared" si="40"/>
        <v/>
      </c>
      <c r="K253" s="18" t="str">
        <f t="shared" si="41"/>
        <v/>
      </c>
      <c r="L253" s="16" t="str">
        <f t="shared" si="42"/>
        <v/>
      </c>
      <c r="M253" s="16" t="str">
        <f t="shared" si="43"/>
        <v/>
      </c>
      <c r="N253" s="16" t="str">
        <f t="shared" si="44"/>
        <v/>
      </c>
      <c r="O253" s="16" t="str">
        <f t="shared" si="45"/>
        <v/>
      </c>
      <c r="P253" s="16" t="str">
        <f t="shared" si="46"/>
        <v/>
      </c>
      <c r="Q253" s="18" t="str">
        <f t="shared" si="47"/>
        <v/>
      </c>
      <c r="R253" s="19" t="str">
        <f>IF(C253="","",IF(ISNA(MATCH(B253,'Registru oferte'!$B$5:$B$504,0)),"Oferta nu există în registru",IF(N(F253)&lt;=0,"Lipsește cantitatea",IF(AND(ISNUMBER(Q253),Q253&lt;MarjaMin),"Marjă sub minim ("&amp;TEXT(Q253*100,"0")&amp;"%)",""))))</f>
        <v/>
      </c>
      <c r="S253" s="1" t="str">
        <f>IF(B253="","",B253&amp;"|"&amp;COUNTIF($B$5:B253,B253))</f>
        <v/>
      </c>
    </row>
    <row r="254" spans="2:19" x14ac:dyDescent="0.2">
      <c r="B254" s="11"/>
      <c r="C254" s="11"/>
      <c r="D254" s="10" t="str">
        <f t="shared" si="36"/>
        <v/>
      </c>
      <c r="E254" s="15" t="str">
        <f t="shared" si="37"/>
        <v/>
      </c>
      <c r="F254" s="11"/>
      <c r="G254" s="16" t="str">
        <f t="shared" si="38"/>
        <v/>
      </c>
      <c r="H254" s="17"/>
      <c r="I254" s="16" t="str">
        <f t="shared" si="39"/>
        <v/>
      </c>
      <c r="J254" s="16" t="str">
        <f t="shared" si="40"/>
        <v/>
      </c>
      <c r="K254" s="18" t="str">
        <f t="shared" si="41"/>
        <v/>
      </c>
      <c r="L254" s="16" t="str">
        <f t="shared" si="42"/>
        <v/>
      </c>
      <c r="M254" s="16" t="str">
        <f t="shared" si="43"/>
        <v/>
      </c>
      <c r="N254" s="16" t="str">
        <f t="shared" si="44"/>
        <v/>
      </c>
      <c r="O254" s="16" t="str">
        <f t="shared" si="45"/>
        <v/>
      </c>
      <c r="P254" s="16" t="str">
        <f t="shared" si="46"/>
        <v/>
      </c>
      <c r="Q254" s="18" t="str">
        <f t="shared" si="47"/>
        <v/>
      </c>
      <c r="R254" s="19" t="str">
        <f>IF(C254="","",IF(ISNA(MATCH(B254,'Registru oferte'!$B$5:$B$504,0)),"Oferta nu există în registru",IF(N(F254)&lt;=0,"Lipsește cantitatea",IF(AND(ISNUMBER(Q254),Q254&lt;MarjaMin),"Marjă sub minim ("&amp;TEXT(Q254*100,"0")&amp;"%)",""))))</f>
        <v/>
      </c>
      <c r="S254" s="1" t="str">
        <f>IF(B254="","",B254&amp;"|"&amp;COUNTIF($B$5:B254,B254))</f>
        <v/>
      </c>
    </row>
    <row r="255" spans="2:19" x14ac:dyDescent="0.2">
      <c r="B255" s="11"/>
      <c r="C255" s="11"/>
      <c r="D255" s="10" t="str">
        <f t="shared" si="36"/>
        <v/>
      </c>
      <c r="E255" s="15" t="str">
        <f t="shared" si="37"/>
        <v/>
      </c>
      <c r="F255" s="11"/>
      <c r="G255" s="16" t="str">
        <f t="shared" si="38"/>
        <v/>
      </c>
      <c r="H255" s="17"/>
      <c r="I255" s="16" t="str">
        <f t="shared" si="39"/>
        <v/>
      </c>
      <c r="J255" s="16" t="str">
        <f t="shared" si="40"/>
        <v/>
      </c>
      <c r="K255" s="18" t="str">
        <f t="shared" si="41"/>
        <v/>
      </c>
      <c r="L255" s="16" t="str">
        <f t="shared" si="42"/>
        <v/>
      </c>
      <c r="M255" s="16" t="str">
        <f t="shared" si="43"/>
        <v/>
      </c>
      <c r="N255" s="16" t="str">
        <f t="shared" si="44"/>
        <v/>
      </c>
      <c r="O255" s="16" t="str">
        <f t="shared" si="45"/>
        <v/>
      </c>
      <c r="P255" s="16" t="str">
        <f t="shared" si="46"/>
        <v/>
      </c>
      <c r="Q255" s="18" t="str">
        <f t="shared" si="47"/>
        <v/>
      </c>
      <c r="R255" s="19" t="str">
        <f>IF(C255="","",IF(ISNA(MATCH(B255,'Registru oferte'!$B$5:$B$504,0)),"Oferta nu există în registru",IF(N(F255)&lt;=0,"Lipsește cantitatea",IF(AND(ISNUMBER(Q255),Q255&lt;MarjaMin),"Marjă sub minim ("&amp;TEXT(Q255*100,"0")&amp;"%)",""))))</f>
        <v/>
      </c>
      <c r="S255" s="1" t="str">
        <f>IF(B255="","",B255&amp;"|"&amp;COUNTIF($B$5:B255,B255))</f>
        <v/>
      </c>
    </row>
    <row r="256" spans="2:19" x14ac:dyDescent="0.2">
      <c r="B256" s="11"/>
      <c r="C256" s="11"/>
      <c r="D256" s="10" t="str">
        <f t="shared" si="36"/>
        <v/>
      </c>
      <c r="E256" s="15" t="str">
        <f t="shared" si="37"/>
        <v/>
      </c>
      <c r="F256" s="11"/>
      <c r="G256" s="16" t="str">
        <f t="shared" si="38"/>
        <v/>
      </c>
      <c r="H256" s="17"/>
      <c r="I256" s="16" t="str">
        <f t="shared" si="39"/>
        <v/>
      </c>
      <c r="J256" s="16" t="str">
        <f t="shared" si="40"/>
        <v/>
      </c>
      <c r="K256" s="18" t="str">
        <f t="shared" si="41"/>
        <v/>
      </c>
      <c r="L256" s="16" t="str">
        <f t="shared" si="42"/>
        <v/>
      </c>
      <c r="M256" s="16" t="str">
        <f t="shared" si="43"/>
        <v/>
      </c>
      <c r="N256" s="16" t="str">
        <f t="shared" si="44"/>
        <v/>
      </c>
      <c r="O256" s="16" t="str">
        <f t="shared" si="45"/>
        <v/>
      </c>
      <c r="P256" s="16" t="str">
        <f t="shared" si="46"/>
        <v/>
      </c>
      <c r="Q256" s="18" t="str">
        <f t="shared" si="47"/>
        <v/>
      </c>
      <c r="R256" s="19" t="str">
        <f>IF(C256="","",IF(ISNA(MATCH(B256,'Registru oferte'!$B$5:$B$504,0)),"Oferta nu există în registru",IF(N(F256)&lt;=0,"Lipsește cantitatea",IF(AND(ISNUMBER(Q256),Q256&lt;MarjaMin),"Marjă sub minim ("&amp;TEXT(Q256*100,"0")&amp;"%)",""))))</f>
        <v/>
      </c>
      <c r="S256" s="1" t="str">
        <f>IF(B256="","",B256&amp;"|"&amp;COUNTIF($B$5:B256,B256))</f>
        <v/>
      </c>
    </row>
    <row r="257" spans="2:19" x14ac:dyDescent="0.2">
      <c r="B257" s="11"/>
      <c r="C257" s="11"/>
      <c r="D257" s="10" t="str">
        <f t="shared" si="36"/>
        <v/>
      </c>
      <c r="E257" s="15" t="str">
        <f t="shared" si="37"/>
        <v/>
      </c>
      <c r="F257" s="11"/>
      <c r="G257" s="16" t="str">
        <f t="shared" si="38"/>
        <v/>
      </c>
      <c r="H257" s="17"/>
      <c r="I257" s="16" t="str">
        <f t="shared" si="39"/>
        <v/>
      </c>
      <c r="J257" s="16" t="str">
        <f t="shared" si="40"/>
        <v/>
      </c>
      <c r="K257" s="18" t="str">
        <f t="shared" si="41"/>
        <v/>
      </c>
      <c r="L257" s="16" t="str">
        <f t="shared" si="42"/>
        <v/>
      </c>
      <c r="M257" s="16" t="str">
        <f t="shared" si="43"/>
        <v/>
      </c>
      <c r="N257" s="16" t="str">
        <f t="shared" si="44"/>
        <v/>
      </c>
      <c r="O257" s="16" t="str">
        <f t="shared" si="45"/>
        <v/>
      </c>
      <c r="P257" s="16" t="str">
        <f t="shared" si="46"/>
        <v/>
      </c>
      <c r="Q257" s="18" t="str">
        <f t="shared" si="47"/>
        <v/>
      </c>
      <c r="R257" s="19" t="str">
        <f>IF(C257="","",IF(ISNA(MATCH(B257,'Registru oferte'!$B$5:$B$504,0)),"Oferta nu există în registru",IF(N(F257)&lt;=0,"Lipsește cantitatea",IF(AND(ISNUMBER(Q257),Q257&lt;MarjaMin),"Marjă sub minim ("&amp;TEXT(Q257*100,"0")&amp;"%)",""))))</f>
        <v/>
      </c>
      <c r="S257" s="1" t="str">
        <f>IF(B257="","",B257&amp;"|"&amp;COUNTIF($B$5:B257,B257))</f>
        <v/>
      </c>
    </row>
    <row r="258" spans="2:19" x14ac:dyDescent="0.2">
      <c r="B258" s="11"/>
      <c r="C258" s="11"/>
      <c r="D258" s="10" t="str">
        <f t="shared" si="36"/>
        <v/>
      </c>
      <c r="E258" s="15" t="str">
        <f t="shared" si="37"/>
        <v/>
      </c>
      <c r="F258" s="11"/>
      <c r="G258" s="16" t="str">
        <f t="shared" si="38"/>
        <v/>
      </c>
      <c r="H258" s="17"/>
      <c r="I258" s="16" t="str">
        <f t="shared" si="39"/>
        <v/>
      </c>
      <c r="J258" s="16" t="str">
        <f t="shared" si="40"/>
        <v/>
      </c>
      <c r="K258" s="18" t="str">
        <f t="shared" si="41"/>
        <v/>
      </c>
      <c r="L258" s="16" t="str">
        <f t="shared" si="42"/>
        <v/>
      </c>
      <c r="M258" s="16" t="str">
        <f t="shared" si="43"/>
        <v/>
      </c>
      <c r="N258" s="16" t="str">
        <f t="shared" si="44"/>
        <v/>
      </c>
      <c r="O258" s="16" t="str">
        <f t="shared" si="45"/>
        <v/>
      </c>
      <c r="P258" s="16" t="str">
        <f t="shared" si="46"/>
        <v/>
      </c>
      <c r="Q258" s="18" t="str">
        <f t="shared" si="47"/>
        <v/>
      </c>
      <c r="R258" s="19" t="str">
        <f>IF(C258="","",IF(ISNA(MATCH(B258,'Registru oferte'!$B$5:$B$504,0)),"Oferta nu există în registru",IF(N(F258)&lt;=0,"Lipsește cantitatea",IF(AND(ISNUMBER(Q258),Q258&lt;MarjaMin),"Marjă sub minim ("&amp;TEXT(Q258*100,"0")&amp;"%)",""))))</f>
        <v/>
      </c>
      <c r="S258" s="1" t="str">
        <f>IF(B258="","",B258&amp;"|"&amp;COUNTIF($B$5:B258,B258))</f>
        <v/>
      </c>
    </row>
    <row r="259" spans="2:19" x14ac:dyDescent="0.2">
      <c r="B259" s="11"/>
      <c r="C259" s="11"/>
      <c r="D259" s="10" t="str">
        <f t="shared" si="36"/>
        <v/>
      </c>
      <c r="E259" s="15" t="str">
        <f t="shared" si="37"/>
        <v/>
      </c>
      <c r="F259" s="11"/>
      <c r="G259" s="16" t="str">
        <f t="shared" si="38"/>
        <v/>
      </c>
      <c r="H259" s="17"/>
      <c r="I259" s="16" t="str">
        <f t="shared" si="39"/>
        <v/>
      </c>
      <c r="J259" s="16" t="str">
        <f t="shared" si="40"/>
        <v/>
      </c>
      <c r="K259" s="18" t="str">
        <f t="shared" si="41"/>
        <v/>
      </c>
      <c r="L259" s="16" t="str">
        <f t="shared" si="42"/>
        <v/>
      </c>
      <c r="M259" s="16" t="str">
        <f t="shared" si="43"/>
        <v/>
      </c>
      <c r="N259" s="16" t="str">
        <f t="shared" si="44"/>
        <v/>
      </c>
      <c r="O259" s="16" t="str">
        <f t="shared" si="45"/>
        <v/>
      </c>
      <c r="P259" s="16" t="str">
        <f t="shared" si="46"/>
        <v/>
      </c>
      <c r="Q259" s="18" t="str">
        <f t="shared" si="47"/>
        <v/>
      </c>
      <c r="R259" s="19" t="str">
        <f>IF(C259="","",IF(ISNA(MATCH(B259,'Registru oferte'!$B$5:$B$504,0)),"Oferta nu există în registru",IF(N(F259)&lt;=0,"Lipsește cantitatea",IF(AND(ISNUMBER(Q259),Q259&lt;MarjaMin),"Marjă sub minim ("&amp;TEXT(Q259*100,"0")&amp;"%)",""))))</f>
        <v/>
      </c>
      <c r="S259" s="1" t="str">
        <f>IF(B259="","",B259&amp;"|"&amp;COUNTIF($B$5:B259,B259))</f>
        <v/>
      </c>
    </row>
    <row r="260" spans="2:19" x14ac:dyDescent="0.2">
      <c r="B260" s="11"/>
      <c r="C260" s="11"/>
      <c r="D260" s="10" t="str">
        <f t="shared" si="36"/>
        <v/>
      </c>
      <c r="E260" s="15" t="str">
        <f t="shared" si="37"/>
        <v/>
      </c>
      <c r="F260" s="11"/>
      <c r="G260" s="16" t="str">
        <f t="shared" si="38"/>
        <v/>
      </c>
      <c r="H260" s="17"/>
      <c r="I260" s="16" t="str">
        <f t="shared" si="39"/>
        <v/>
      </c>
      <c r="J260" s="16" t="str">
        <f t="shared" si="40"/>
        <v/>
      </c>
      <c r="K260" s="18" t="str">
        <f t="shared" si="41"/>
        <v/>
      </c>
      <c r="L260" s="16" t="str">
        <f t="shared" si="42"/>
        <v/>
      </c>
      <c r="M260" s="16" t="str">
        <f t="shared" si="43"/>
        <v/>
      </c>
      <c r="N260" s="16" t="str">
        <f t="shared" si="44"/>
        <v/>
      </c>
      <c r="O260" s="16" t="str">
        <f t="shared" si="45"/>
        <v/>
      </c>
      <c r="P260" s="16" t="str">
        <f t="shared" si="46"/>
        <v/>
      </c>
      <c r="Q260" s="18" t="str">
        <f t="shared" si="47"/>
        <v/>
      </c>
      <c r="R260" s="19" t="str">
        <f>IF(C260="","",IF(ISNA(MATCH(B260,'Registru oferte'!$B$5:$B$504,0)),"Oferta nu există în registru",IF(N(F260)&lt;=0,"Lipsește cantitatea",IF(AND(ISNUMBER(Q260),Q260&lt;MarjaMin),"Marjă sub minim ("&amp;TEXT(Q260*100,"0")&amp;"%)",""))))</f>
        <v/>
      </c>
      <c r="S260" s="1" t="str">
        <f>IF(B260="","",B260&amp;"|"&amp;COUNTIF($B$5:B260,B260))</f>
        <v/>
      </c>
    </row>
    <row r="261" spans="2:19" x14ac:dyDescent="0.2">
      <c r="B261" s="11"/>
      <c r="C261" s="11"/>
      <c r="D261" s="10" t="str">
        <f t="shared" ref="D261:D324" si="48">IF(C261="","",IFERROR(VLOOKUP(C261,TabCat,2,FALSE),"Cod inexistent"))</f>
        <v/>
      </c>
      <c r="E261" s="15" t="str">
        <f t="shared" ref="E261:E324" si="49">IF(C261="","",IFERROR(VLOOKUP(C261,TabCat,3,FALSE),""))</f>
        <v/>
      </c>
      <c r="F261" s="11"/>
      <c r="G261" s="16" t="str">
        <f t="shared" ref="G261:G324" si="50">IF(C261="","",IFERROR(VLOOKUP(C261,TabCat,4,FALSE),0))</f>
        <v/>
      </c>
      <c r="H261" s="17"/>
      <c r="I261" s="16" t="str">
        <f t="shared" ref="I261:I324" si="51">IF(C261="","",ROUND(G261*(1-N(H261)),2))</f>
        <v/>
      </c>
      <c r="J261" s="16" t="str">
        <f t="shared" ref="J261:J324" si="52">IF(C261="","",ROUND(I261*N(F261),2))</f>
        <v/>
      </c>
      <c r="K261" s="18" t="str">
        <f t="shared" ref="K261:K324" si="53">IF(C261="","",IFERROR(VLOOKUP(C261,TabCat,6,FALSE),0))</f>
        <v/>
      </c>
      <c r="L261" s="16" t="str">
        <f t="shared" ref="L261:L324" si="54">IF(C261="","",ROUND(J261*K261,2))</f>
        <v/>
      </c>
      <c r="M261" s="16" t="str">
        <f t="shared" ref="M261:M324" si="55">IF(C261="","",J261+L261)</f>
        <v/>
      </c>
      <c r="N261" s="16" t="str">
        <f t="shared" ref="N261:N324" si="56">IF(C261="","",IFERROR(VLOOKUP(C261,TabCat,5,FALSE),0))</f>
        <v/>
      </c>
      <c r="O261" s="16" t="str">
        <f t="shared" ref="O261:O324" si="57">IF(C261="","",ROUND(N261*N(F261),2))</f>
        <v/>
      </c>
      <c r="P261" s="16" t="str">
        <f t="shared" ref="P261:P324" si="58">IF(C261="","",J261-O261)</f>
        <v/>
      </c>
      <c r="Q261" s="18" t="str">
        <f t="shared" ref="Q261:Q324" si="59">IF(OR(C261="",N(J261)=0),"",P261/J261)</f>
        <v/>
      </c>
      <c r="R261" s="19" t="str">
        <f>IF(C261="","",IF(ISNA(MATCH(B261,'Registru oferte'!$B$5:$B$504,0)),"Oferta nu există în registru",IF(N(F261)&lt;=0,"Lipsește cantitatea",IF(AND(ISNUMBER(Q261),Q261&lt;MarjaMin),"Marjă sub minim ("&amp;TEXT(Q261*100,"0")&amp;"%)",""))))</f>
        <v/>
      </c>
      <c r="S261" s="1" t="str">
        <f>IF(B261="","",B261&amp;"|"&amp;COUNTIF($B$5:B261,B261))</f>
        <v/>
      </c>
    </row>
    <row r="262" spans="2:19" x14ac:dyDescent="0.2">
      <c r="B262" s="11"/>
      <c r="C262" s="11"/>
      <c r="D262" s="10" t="str">
        <f t="shared" si="48"/>
        <v/>
      </c>
      <c r="E262" s="15" t="str">
        <f t="shared" si="49"/>
        <v/>
      </c>
      <c r="F262" s="11"/>
      <c r="G262" s="16" t="str">
        <f t="shared" si="50"/>
        <v/>
      </c>
      <c r="H262" s="17"/>
      <c r="I262" s="16" t="str">
        <f t="shared" si="51"/>
        <v/>
      </c>
      <c r="J262" s="16" t="str">
        <f t="shared" si="52"/>
        <v/>
      </c>
      <c r="K262" s="18" t="str">
        <f t="shared" si="53"/>
        <v/>
      </c>
      <c r="L262" s="16" t="str">
        <f t="shared" si="54"/>
        <v/>
      </c>
      <c r="M262" s="16" t="str">
        <f t="shared" si="55"/>
        <v/>
      </c>
      <c r="N262" s="16" t="str">
        <f t="shared" si="56"/>
        <v/>
      </c>
      <c r="O262" s="16" t="str">
        <f t="shared" si="57"/>
        <v/>
      </c>
      <c r="P262" s="16" t="str">
        <f t="shared" si="58"/>
        <v/>
      </c>
      <c r="Q262" s="18" t="str">
        <f t="shared" si="59"/>
        <v/>
      </c>
      <c r="R262" s="19" t="str">
        <f>IF(C262="","",IF(ISNA(MATCH(B262,'Registru oferte'!$B$5:$B$504,0)),"Oferta nu există în registru",IF(N(F262)&lt;=0,"Lipsește cantitatea",IF(AND(ISNUMBER(Q262),Q262&lt;MarjaMin),"Marjă sub minim ("&amp;TEXT(Q262*100,"0")&amp;"%)",""))))</f>
        <v/>
      </c>
      <c r="S262" s="1" t="str">
        <f>IF(B262="","",B262&amp;"|"&amp;COUNTIF($B$5:B262,B262))</f>
        <v/>
      </c>
    </row>
    <row r="263" spans="2:19" x14ac:dyDescent="0.2">
      <c r="B263" s="11"/>
      <c r="C263" s="11"/>
      <c r="D263" s="10" t="str">
        <f t="shared" si="48"/>
        <v/>
      </c>
      <c r="E263" s="15" t="str">
        <f t="shared" si="49"/>
        <v/>
      </c>
      <c r="F263" s="11"/>
      <c r="G263" s="16" t="str">
        <f t="shared" si="50"/>
        <v/>
      </c>
      <c r="H263" s="17"/>
      <c r="I263" s="16" t="str">
        <f t="shared" si="51"/>
        <v/>
      </c>
      <c r="J263" s="16" t="str">
        <f t="shared" si="52"/>
        <v/>
      </c>
      <c r="K263" s="18" t="str">
        <f t="shared" si="53"/>
        <v/>
      </c>
      <c r="L263" s="16" t="str">
        <f t="shared" si="54"/>
        <v/>
      </c>
      <c r="M263" s="16" t="str">
        <f t="shared" si="55"/>
        <v/>
      </c>
      <c r="N263" s="16" t="str">
        <f t="shared" si="56"/>
        <v/>
      </c>
      <c r="O263" s="16" t="str">
        <f t="shared" si="57"/>
        <v/>
      </c>
      <c r="P263" s="16" t="str">
        <f t="shared" si="58"/>
        <v/>
      </c>
      <c r="Q263" s="18" t="str">
        <f t="shared" si="59"/>
        <v/>
      </c>
      <c r="R263" s="19" t="str">
        <f>IF(C263="","",IF(ISNA(MATCH(B263,'Registru oferte'!$B$5:$B$504,0)),"Oferta nu există în registru",IF(N(F263)&lt;=0,"Lipsește cantitatea",IF(AND(ISNUMBER(Q263),Q263&lt;MarjaMin),"Marjă sub minim ("&amp;TEXT(Q263*100,"0")&amp;"%)",""))))</f>
        <v/>
      </c>
      <c r="S263" s="1" t="str">
        <f>IF(B263="","",B263&amp;"|"&amp;COUNTIF($B$5:B263,B263))</f>
        <v/>
      </c>
    </row>
    <row r="264" spans="2:19" x14ac:dyDescent="0.2">
      <c r="B264" s="11"/>
      <c r="C264" s="11"/>
      <c r="D264" s="10" t="str">
        <f t="shared" si="48"/>
        <v/>
      </c>
      <c r="E264" s="15" t="str">
        <f t="shared" si="49"/>
        <v/>
      </c>
      <c r="F264" s="11"/>
      <c r="G264" s="16" t="str">
        <f t="shared" si="50"/>
        <v/>
      </c>
      <c r="H264" s="17"/>
      <c r="I264" s="16" t="str">
        <f t="shared" si="51"/>
        <v/>
      </c>
      <c r="J264" s="16" t="str">
        <f t="shared" si="52"/>
        <v/>
      </c>
      <c r="K264" s="18" t="str">
        <f t="shared" si="53"/>
        <v/>
      </c>
      <c r="L264" s="16" t="str">
        <f t="shared" si="54"/>
        <v/>
      </c>
      <c r="M264" s="16" t="str">
        <f t="shared" si="55"/>
        <v/>
      </c>
      <c r="N264" s="16" t="str">
        <f t="shared" si="56"/>
        <v/>
      </c>
      <c r="O264" s="16" t="str">
        <f t="shared" si="57"/>
        <v/>
      </c>
      <c r="P264" s="16" t="str">
        <f t="shared" si="58"/>
        <v/>
      </c>
      <c r="Q264" s="18" t="str">
        <f t="shared" si="59"/>
        <v/>
      </c>
      <c r="R264" s="19" t="str">
        <f>IF(C264="","",IF(ISNA(MATCH(B264,'Registru oferte'!$B$5:$B$504,0)),"Oferta nu există în registru",IF(N(F264)&lt;=0,"Lipsește cantitatea",IF(AND(ISNUMBER(Q264),Q264&lt;MarjaMin),"Marjă sub minim ("&amp;TEXT(Q264*100,"0")&amp;"%)",""))))</f>
        <v/>
      </c>
      <c r="S264" s="1" t="str">
        <f>IF(B264="","",B264&amp;"|"&amp;COUNTIF($B$5:B264,B264))</f>
        <v/>
      </c>
    </row>
    <row r="265" spans="2:19" x14ac:dyDescent="0.2">
      <c r="B265" s="11"/>
      <c r="C265" s="11"/>
      <c r="D265" s="10" t="str">
        <f t="shared" si="48"/>
        <v/>
      </c>
      <c r="E265" s="15" t="str">
        <f t="shared" si="49"/>
        <v/>
      </c>
      <c r="F265" s="11"/>
      <c r="G265" s="16" t="str">
        <f t="shared" si="50"/>
        <v/>
      </c>
      <c r="H265" s="17"/>
      <c r="I265" s="16" t="str">
        <f t="shared" si="51"/>
        <v/>
      </c>
      <c r="J265" s="16" t="str">
        <f t="shared" si="52"/>
        <v/>
      </c>
      <c r="K265" s="18" t="str">
        <f t="shared" si="53"/>
        <v/>
      </c>
      <c r="L265" s="16" t="str">
        <f t="shared" si="54"/>
        <v/>
      </c>
      <c r="M265" s="16" t="str">
        <f t="shared" si="55"/>
        <v/>
      </c>
      <c r="N265" s="16" t="str">
        <f t="shared" si="56"/>
        <v/>
      </c>
      <c r="O265" s="16" t="str">
        <f t="shared" si="57"/>
        <v/>
      </c>
      <c r="P265" s="16" t="str">
        <f t="shared" si="58"/>
        <v/>
      </c>
      <c r="Q265" s="18" t="str">
        <f t="shared" si="59"/>
        <v/>
      </c>
      <c r="R265" s="19" t="str">
        <f>IF(C265="","",IF(ISNA(MATCH(B265,'Registru oferte'!$B$5:$B$504,0)),"Oferta nu există în registru",IF(N(F265)&lt;=0,"Lipsește cantitatea",IF(AND(ISNUMBER(Q265),Q265&lt;MarjaMin),"Marjă sub minim ("&amp;TEXT(Q265*100,"0")&amp;"%)",""))))</f>
        <v/>
      </c>
      <c r="S265" s="1" t="str">
        <f>IF(B265="","",B265&amp;"|"&amp;COUNTIF($B$5:B265,B265))</f>
        <v/>
      </c>
    </row>
    <row r="266" spans="2:19" x14ac:dyDescent="0.2">
      <c r="B266" s="11"/>
      <c r="C266" s="11"/>
      <c r="D266" s="10" t="str">
        <f t="shared" si="48"/>
        <v/>
      </c>
      <c r="E266" s="15" t="str">
        <f t="shared" si="49"/>
        <v/>
      </c>
      <c r="F266" s="11"/>
      <c r="G266" s="16" t="str">
        <f t="shared" si="50"/>
        <v/>
      </c>
      <c r="H266" s="17"/>
      <c r="I266" s="16" t="str">
        <f t="shared" si="51"/>
        <v/>
      </c>
      <c r="J266" s="16" t="str">
        <f t="shared" si="52"/>
        <v/>
      </c>
      <c r="K266" s="18" t="str">
        <f t="shared" si="53"/>
        <v/>
      </c>
      <c r="L266" s="16" t="str">
        <f t="shared" si="54"/>
        <v/>
      </c>
      <c r="M266" s="16" t="str">
        <f t="shared" si="55"/>
        <v/>
      </c>
      <c r="N266" s="16" t="str">
        <f t="shared" si="56"/>
        <v/>
      </c>
      <c r="O266" s="16" t="str">
        <f t="shared" si="57"/>
        <v/>
      </c>
      <c r="P266" s="16" t="str">
        <f t="shared" si="58"/>
        <v/>
      </c>
      <c r="Q266" s="18" t="str">
        <f t="shared" si="59"/>
        <v/>
      </c>
      <c r="R266" s="19" t="str">
        <f>IF(C266="","",IF(ISNA(MATCH(B266,'Registru oferte'!$B$5:$B$504,0)),"Oferta nu există în registru",IF(N(F266)&lt;=0,"Lipsește cantitatea",IF(AND(ISNUMBER(Q266),Q266&lt;MarjaMin),"Marjă sub minim ("&amp;TEXT(Q266*100,"0")&amp;"%)",""))))</f>
        <v/>
      </c>
      <c r="S266" s="1" t="str">
        <f>IF(B266="","",B266&amp;"|"&amp;COUNTIF($B$5:B266,B266))</f>
        <v/>
      </c>
    </row>
    <row r="267" spans="2:19" x14ac:dyDescent="0.2">
      <c r="B267" s="11"/>
      <c r="C267" s="11"/>
      <c r="D267" s="10" t="str">
        <f t="shared" si="48"/>
        <v/>
      </c>
      <c r="E267" s="15" t="str">
        <f t="shared" si="49"/>
        <v/>
      </c>
      <c r="F267" s="11"/>
      <c r="G267" s="16" t="str">
        <f t="shared" si="50"/>
        <v/>
      </c>
      <c r="H267" s="17"/>
      <c r="I267" s="16" t="str">
        <f t="shared" si="51"/>
        <v/>
      </c>
      <c r="J267" s="16" t="str">
        <f t="shared" si="52"/>
        <v/>
      </c>
      <c r="K267" s="18" t="str">
        <f t="shared" si="53"/>
        <v/>
      </c>
      <c r="L267" s="16" t="str">
        <f t="shared" si="54"/>
        <v/>
      </c>
      <c r="M267" s="16" t="str">
        <f t="shared" si="55"/>
        <v/>
      </c>
      <c r="N267" s="16" t="str">
        <f t="shared" si="56"/>
        <v/>
      </c>
      <c r="O267" s="16" t="str">
        <f t="shared" si="57"/>
        <v/>
      </c>
      <c r="P267" s="16" t="str">
        <f t="shared" si="58"/>
        <v/>
      </c>
      <c r="Q267" s="18" t="str">
        <f t="shared" si="59"/>
        <v/>
      </c>
      <c r="R267" s="19" t="str">
        <f>IF(C267="","",IF(ISNA(MATCH(B267,'Registru oferte'!$B$5:$B$504,0)),"Oferta nu există în registru",IF(N(F267)&lt;=0,"Lipsește cantitatea",IF(AND(ISNUMBER(Q267),Q267&lt;MarjaMin),"Marjă sub minim ("&amp;TEXT(Q267*100,"0")&amp;"%)",""))))</f>
        <v/>
      </c>
      <c r="S267" s="1" t="str">
        <f>IF(B267="","",B267&amp;"|"&amp;COUNTIF($B$5:B267,B267))</f>
        <v/>
      </c>
    </row>
    <row r="268" spans="2:19" x14ac:dyDescent="0.2">
      <c r="B268" s="11"/>
      <c r="C268" s="11"/>
      <c r="D268" s="10" t="str">
        <f t="shared" si="48"/>
        <v/>
      </c>
      <c r="E268" s="15" t="str">
        <f t="shared" si="49"/>
        <v/>
      </c>
      <c r="F268" s="11"/>
      <c r="G268" s="16" t="str">
        <f t="shared" si="50"/>
        <v/>
      </c>
      <c r="H268" s="17"/>
      <c r="I268" s="16" t="str">
        <f t="shared" si="51"/>
        <v/>
      </c>
      <c r="J268" s="16" t="str">
        <f t="shared" si="52"/>
        <v/>
      </c>
      <c r="K268" s="18" t="str">
        <f t="shared" si="53"/>
        <v/>
      </c>
      <c r="L268" s="16" t="str">
        <f t="shared" si="54"/>
        <v/>
      </c>
      <c r="M268" s="16" t="str">
        <f t="shared" si="55"/>
        <v/>
      </c>
      <c r="N268" s="16" t="str">
        <f t="shared" si="56"/>
        <v/>
      </c>
      <c r="O268" s="16" t="str">
        <f t="shared" si="57"/>
        <v/>
      </c>
      <c r="P268" s="16" t="str">
        <f t="shared" si="58"/>
        <v/>
      </c>
      <c r="Q268" s="18" t="str">
        <f t="shared" si="59"/>
        <v/>
      </c>
      <c r="R268" s="19" t="str">
        <f>IF(C268="","",IF(ISNA(MATCH(B268,'Registru oferte'!$B$5:$B$504,0)),"Oferta nu există în registru",IF(N(F268)&lt;=0,"Lipsește cantitatea",IF(AND(ISNUMBER(Q268),Q268&lt;MarjaMin),"Marjă sub minim ("&amp;TEXT(Q268*100,"0")&amp;"%)",""))))</f>
        <v/>
      </c>
      <c r="S268" s="1" t="str">
        <f>IF(B268="","",B268&amp;"|"&amp;COUNTIF($B$5:B268,B268))</f>
        <v/>
      </c>
    </row>
    <row r="269" spans="2:19" x14ac:dyDescent="0.2">
      <c r="B269" s="11"/>
      <c r="C269" s="11"/>
      <c r="D269" s="10" t="str">
        <f t="shared" si="48"/>
        <v/>
      </c>
      <c r="E269" s="15" t="str">
        <f t="shared" si="49"/>
        <v/>
      </c>
      <c r="F269" s="11"/>
      <c r="G269" s="16" t="str">
        <f t="shared" si="50"/>
        <v/>
      </c>
      <c r="H269" s="17"/>
      <c r="I269" s="16" t="str">
        <f t="shared" si="51"/>
        <v/>
      </c>
      <c r="J269" s="16" t="str">
        <f t="shared" si="52"/>
        <v/>
      </c>
      <c r="K269" s="18" t="str">
        <f t="shared" si="53"/>
        <v/>
      </c>
      <c r="L269" s="16" t="str">
        <f t="shared" si="54"/>
        <v/>
      </c>
      <c r="M269" s="16" t="str">
        <f t="shared" si="55"/>
        <v/>
      </c>
      <c r="N269" s="16" t="str">
        <f t="shared" si="56"/>
        <v/>
      </c>
      <c r="O269" s="16" t="str">
        <f t="shared" si="57"/>
        <v/>
      </c>
      <c r="P269" s="16" t="str">
        <f t="shared" si="58"/>
        <v/>
      </c>
      <c r="Q269" s="18" t="str">
        <f t="shared" si="59"/>
        <v/>
      </c>
      <c r="R269" s="19" t="str">
        <f>IF(C269="","",IF(ISNA(MATCH(B269,'Registru oferte'!$B$5:$B$504,0)),"Oferta nu există în registru",IF(N(F269)&lt;=0,"Lipsește cantitatea",IF(AND(ISNUMBER(Q269),Q269&lt;MarjaMin),"Marjă sub minim ("&amp;TEXT(Q269*100,"0")&amp;"%)",""))))</f>
        <v/>
      </c>
      <c r="S269" s="1" t="str">
        <f>IF(B269="","",B269&amp;"|"&amp;COUNTIF($B$5:B269,B269))</f>
        <v/>
      </c>
    </row>
    <row r="270" spans="2:19" x14ac:dyDescent="0.2">
      <c r="B270" s="11"/>
      <c r="C270" s="11"/>
      <c r="D270" s="10" t="str">
        <f t="shared" si="48"/>
        <v/>
      </c>
      <c r="E270" s="15" t="str">
        <f t="shared" si="49"/>
        <v/>
      </c>
      <c r="F270" s="11"/>
      <c r="G270" s="16" t="str">
        <f t="shared" si="50"/>
        <v/>
      </c>
      <c r="H270" s="17"/>
      <c r="I270" s="16" t="str">
        <f t="shared" si="51"/>
        <v/>
      </c>
      <c r="J270" s="16" t="str">
        <f t="shared" si="52"/>
        <v/>
      </c>
      <c r="K270" s="18" t="str">
        <f t="shared" si="53"/>
        <v/>
      </c>
      <c r="L270" s="16" t="str">
        <f t="shared" si="54"/>
        <v/>
      </c>
      <c r="M270" s="16" t="str">
        <f t="shared" si="55"/>
        <v/>
      </c>
      <c r="N270" s="16" t="str">
        <f t="shared" si="56"/>
        <v/>
      </c>
      <c r="O270" s="16" t="str">
        <f t="shared" si="57"/>
        <v/>
      </c>
      <c r="P270" s="16" t="str">
        <f t="shared" si="58"/>
        <v/>
      </c>
      <c r="Q270" s="18" t="str">
        <f t="shared" si="59"/>
        <v/>
      </c>
      <c r="R270" s="19" t="str">
        <f>IF(C270="","",IF(ISNA(MATCH(B270,'Registru oferte'!$B$5:$B$504,0)),"Oferta nu există în registru",IF(N(F270)&lt;=0,"Lipsește cantitatea",IF(AND(ISNUMBER(Q270),Q270&lt;MarjaMin),"Marjă sub minim ("&amp;TEXT(Q270*100,"0")&amp;"%)",""))))</f>
        <v/>
      </c>
      <c r="S270" s="1" t="str">
        <f>IF(B270="","",B270&amp;"|"&amp;COUNTIF($B$5:B270,B270))</f>
        <v/>
      </c>
    </row>
    <row r="271" spans="2:19" x14ac:dyDescent="0.2">
      <c r="B271" s="11"/>
      <c r="C271" s="11"/>
      <c r="D271" s="10" t="str">
        <f t="shared" si="48"/>
        <v/>
      </c>
      <c r="E271" s="15" t="str">
        <f t="shared" si="49"/>
        <v/>
      </c>
      <c r="F271" s="11"/>
      <c r="G271" s="16" t="str">
        <f t="shared" si="50"/>
        <v/>
      </c>
      <c r="H271" s="17"/>
      <c r="I271" s="16" t="str">
        <f t="shared" si="51"/>
        <v/>
      </c>
      <c r="J271" s="16" t="str">
        <f t="shared" si="52"/>
        <v/>
      </c>
      <c r="K271" s="18" t="str">
        <f t="shared" si="53"/>
        <v/>
      </c>
      <c r="L271" s="16" t="str">
        <f t="shared" si="54"/>
        <v/>
      </c>
      <c r="M271" s="16" t="str">
        <f t="shared" si="55"/>
        <v/>
      </c>
      <c r="N271" s="16" t="str">
        <f t="shared" si="56"/>
        <v/>
      </c>
      <c r="O271" s="16" t="str">
        <f t="shared" si="57"/>
        <v/>
      </c>
      <c r="P271" s="16" t="str">
        <f t="shared" si="58"/>
        <v/>
      </c>
      <c r="Q271" s="18" t="str">
        <f t="shared" si="59"/>
        <v/>
      </c>
      <c r="R271" s="19" t="str">
        <f>IF(C271="","",IF(ISNA(MATCH(B271,'Registru oferte'!$B$5:$B$504,0)),"Oferta nu există în registru",IF(N(F271)&lt;=0,"Lipsește cantitatea",IF(AND(ISNUMBER(Q271),Q271&lt;MarjaMin),"Marjă sub minim ("&amp;TEXT(Q271*100,"0")&amp;"%)",""))))</f>
        <v/>
      </c>
      <c r="S271" s="1" t="str">
        <f>IF(B271="","",B271&amp;"|"&amp;COUNTIF($B$5:B271,B271))</f>
        <v/>
      </c>
    </row>
    <row r="272" spans="2:19" x14ac:dyDescent="0.2">
      <c r="B272" s="11"/>
      <c r="C272" s="11"/>
      <c r="D272" s="10" t="str">
        <f t="shared" si="48"/>
        <v/>
      </c>
      <c r="E272" s="15" t="str">
        <f t="shared" si="49"/>
        <v/>
      </c>
      <c r="F272" s="11"/>
      <c r="G272" s="16" t="str">
        <f t="shared" si="50"/>
        <v/>
      </c>
      <c r="H272" s="17"/>
      <c r="I272" s="16" t="str">
        <f t="shared" si="51"/>
        <v/>
      </c>
      <c r="J272" s="16" t="str">
        <f t="shared" si="52"/>
        <v/>
      </c>
      <c r="K272" s="18" t="str">
        <f t="shared" si="53"/>
        <v/>
      </c>
      <c r="L272" s="16" t="str">
        <f t="shared" si="54"/>
        <v/>
      </c>
      <c r="M272" s="16" t="str">
        <f t="shared" si="55"/>
        <v/>
      </c>
      <c r="N272" s="16" t="str">
        <f t="shared" si="56"/>
        <v/>
      </c>
      <c r="O272" s="16" t="str">
        <f t="shared" si="57"/>
        <v/>
      </c>
      <c r="P272" s="16" t="str">
        <f t="shared" si="58"/>
        <v/>
      </c>
      <c r="Q272" s="18" t="str">
        <f t="shared" si="59"/>
        <v/>
      </c>
      <c r="R272" s="19" t="str">
        <f>IF(C272="","",IF(ISNA(MATCH(B272,'Registru oferte'!$B$5:$B$504,0)),"Oferta nu există în registru",IF(N(F272)&lt;=0,"Lipsește cantitatea",IF(AND(ISNUMBER(Q272),Q272&lt;MarjaMin),"Marjă sub minim ("&amp;TEXT(Q272*100,"0")&amp;"%)",""))))</f>
        <v/>
      </c>
      <c r="S272" s="1" t="str">
        <f>IF(B272="","",B272&amp;"|"&amp;COUNTIF($B$5:B272,B272))</f>
        <v/>
      </c>
    </row>
    <row r="273" spans="2:19" x14ac:dyDescent="0.2">
      <c r="B273" s="11"/>
      <c r="C273" s="11"/>
      <c r="D273" s="10" t="str">
        <f t="shared" si="48"/>
        <v/>
      </c>
      <c r="E273" s="15" t="str">
        <f t="shared" si="49"/>
        <v/>
      </c>
      <c r="F273" s="11"/>
      <c r="G273" s="16" t="str">
        <f t="shared" si="50"/>
        <v/>
      </c>
      <c r="H273" s="17"/>
      <c r="I273" s="16" t="str">
        <f t="shared" si="51"/>
        <v/>
      </c>
      <c r="J273" s="16" t="str">
        <f t="shared" si="52"/>
        <v/>
      </c>
      <c r="K273" s="18" t="str">
        <f t="shared" si="53"/>
        <v/>
      </c>
      <c r="L273" s="16" t="str">
        <f t="shared" si="54"/>
        <v/>
      </c>
      <c r="M273" s="16" t="str">
        <f t="shared" si="55"/>
        <v/>
      </c>
      <c r="N273" s="16" t="str">
        <f t="shared" si="56"/>
        <v/>
      </c>
      <c r="O273" s="16" t="str">
        <f t="shared" si="57"/>
        <v/>
      </c>
      <c r="P273" s="16" t="str">
        <f t="shared" si="58"/>
        <v/>
      </c>
      <c r="Q273" s="18" t="str">
        <f t="shared" si="59"/>
        <v/>
      </c>
      <c r="R273" s="19" t="str">
        <f>IF(C273="","",IF(ISNA(MATCH(B273,'Registru oferte'!$B$5:$B$504,0)),"Oferta nu există în registru",IF(N(F273)&lt;=0,"Lipsește cantitatea",IF(AND(ISNUMBER(Q273),Q273&lt;MarjaMin),"Marjă sub minim ("&amp;TEXT(Q273*100,"0")&amp;"%)",""))))</f>
        <v/>
      </c>
      <c r="S273" s="1" t="str">
        <f>IF(B273="","",B273&amp;"|"&amp;COUNTIF($B$5:B273,B273))</f>
        <v/>
      </c>
    </row>
    <row r="274" spans="2:19" x14ac:dyDescent="0.2">
      <c r="B274" s="11"/>
      <c r="C274" s="11"/>
      <c r="D274" s="10" t="str">
        <f t="shared" si="48"/>
        <v/>
      </c>
      <c r="E274" s="15" t="str">
        <f t="shared" si="49"/>
        <v/>
      </c>
      <c r="F274" s="11"/>
      <c r="G274" s="16" t="str">
        <f t="shared" si="50"/>
        <v/>
      </c>
      <c r="H274" s="17"/>
      <c r="I274" s="16" t="str">
        <f t="shared" si="51"/>
        <v/>
      </c>
      <c r="J274" s="16" t="str">
        <f t="shared" si="52"/>
        <v/>
      </c>
      <c r="K274" s="18" t="str">
        <f t="shared" si="53"/>
        <v/>
      </c>
      <c r="L274" s="16" t="str">
        <f t="shared" si="54"/>
        <v/>
      </c>
      <c r="M274" s="16" t="str">
        <f t="shared" si="55"/>
        <v/>
      </c>
      <c r="N274" s="16" t="str">
        <f t="shared" si="56"/>
        <v/>
      </c>
      <c r="O274" s="16" t="str">
        <f t="shared" si="57"/>
        <v/>
      </c>
      <c r="P274" s="16" t="str">
        <f t="shared" si="58"/>
        <v/>
      </c>
      <c r="Q274" s="18" t="str">
        <f t="shared" si="59"/>
        <v/>
      </c>
      <c r="R274" s="19" t="str">
        <f>IF(C274="","",IF(ISNA(MATCH(B274,'Registru oferte'!$B$5:$B$504,0)),"Oferta nu există în registru",IF(N(F274)&lt;=0,"Lipsește cantitatea",IF(AND(ISNUMBER(Q274),Q274&lt;MarjaMin),"Marjă sub minim ("&amp;TEXT(Q274*100,"0")&amp;"%)",""))))</f>
        <v/>
      </c>
      <c r="S274" s="1" t="str">
        <f>IF(B274="","",B274&amp;"|"&amp;COUNTIF($B$5:B274,B274))</f>
        <v/>
      </c>
    </row>
    <row r="275" spans="2:19" x14ac:dyDescent="0.2">
      <c r="B275" s="11"/>
      <c r="C275" s="11"/>
      <c r="D275" s="10" t="str">
        <f t="shared" si="48"/>
        <v/>
      </c>
      <c r="E275" s="15" t="str">
        <f t="shared" si="49"/>
        <v/>
      </c>
      <c r="F275" s="11"/>
      <c r="G275" s="16" t="str">
        <f t="shared" si="50"/>
        <v/>
      </c>
      <c r="H275" s="17"/>
      <c r="I275" s="16" t="str">
        <f t="shared" si="51"/>
        <v/>
      </c>
      <c r="J275" s="16" t="str">
        <f t="shared" si="52"/>
        <v/>
      </c>
      <c r="K275" s="18" t="str">
        <f t="shared" si="53"/>
        <v/>
      </c>
      <c r="L275" s="16" t="str">
        <f t="shared" si="54"/>
        <v/>
      </c>
      <c r="M275" s="16" t="str">
        <f t="shared" si="55"/>
        <v/>
      </c>
      <c r="N275" s="16" t="str">
        <f t="shared" si="56"/>
        <v/>
      </c>
      <c r="O275" s="16" t="str">
        <f t="shared" si="57"/>
        <v/>
      </c>
      <c r="P275" s="16" t="str">
        <f t="shared" si="58"/>
        <v/>
      </c>
      <c r="Q275" s="18" t="str">
        <f t="shared" si="59"/>
        <v/>
      </c>
      <c r="R275" s="19" t="str">
        <f>IF(C275="","",IF(ISNA(MATCH(B275,'Registru oferte'!$B$5:$B$504,0)),"Oferta nu există în registru",IF(N(F275)&lt;=0,"Lipsește cantitatea",IF(AND(ISNUMBER(Q275),Q275&lt;MarjaMin),"Marjă sub minim ("&amp;TEXT(Q275*100,"0")&amp;"%)",""))))</f>
        <v/>
      </c>
      <c r="S275" s="1" t="str">
        <f>IF(B275="","",B275&amp;"|"&amp;COUNTIF($B$5:B275,B275))</f>
        <v/>
      </c>
    </row>
    <row r="276" spans="2:19" x14ac:dyDescent="0.2">
      <c r="B276" s="11"/>
      <c r="C276" s="11"/>
      <c r="D276" s="10" t="str">
        <f t="shared" si="48"/>
        <v/>
      </c>
      <c r="E276" s="15" t="str">
        <f t="shared" si="49"/>
        <v/>
      </c>
      <c r="F276" s="11"/>
      <c r="G276" s="16" t="str">
        <f t="shared" si="50"/>
        <v/>
      </c>
      <c r="H276" s="17"/>
      <c r="I276" s="16" t="str">
        <f t="shared" si="51"/>
        <v/>
      </c>
      <c r="J276" s="16" t="str">
        <f t="shared" si="52"/>
        <v/>
      </c>
      <c r="K276" s="18" t="str">
        <f t="shared" si="53"/>
        <v/>
      </c>
      <c r="L276" s="16" t="str">
        <f t="shared" si="54"/>
        <v/>
      </c>
      <c r="M276" s="16" t="str">
        <f t="shared" si="55"/>
        <v/>
      </c>
      <c r="N276" s="16" t="str">
        <f t="shared" si="56"/>
        <v/>
      </c>
      <c r="O276" s="16" t="str">
        <f t="shared" si="57"/>
        <v/>
      </c>
      <c r="P276" s="16" t="str">
        <f t="shared" si="58"/>
        <v/>
      </c>
      <c r="Q276" s="18" t="str">
        <f t="shared" si="59"/>
        <v/>
      </c>
      <c r="R276" s="19" t="str">
        <f>IF(C276="","",IF(ISNA(MATCH(B276,'Registru oferte'!$B$5:$B$504,0)),"Oferta nu există în registru",IF(N(F276)&lt;=0,"Lipsește cantitatea",IF(AND(ISNUMBER(Q276),Q276&lt;MarjaMin),"Marjă sub minim ("&amp;TEXT(Q276*100,"0")&amp;"%)",""))))</f>
        <v/>
      </c>
      <c r="S276" s="1" t="str">
        <f>IF(B276="","",B276&amp;"|"&amp;COUNTIF($B$5:B276,B276))</f>
        <v/>
      </c>
    </row>
    <row r="277" spans="2:19" x14ac:dyDescent="0.2">
      <c r="B277" s="11"/>
      <c r="C277" s="11"/>
      <c r="D277" s="10" t="str">
        <f t="shared" si="48"/>
        <v/>
      </c>
      <c r="E277" s="15" t="str">
        <f t="shared" si="49"/>
        <v/>
      </c>
      <c r="F277" s="11"/>
      <c r="G277" s="16" t="str">
        <f t="shared" si="50"/>
        <v/>
      </c>
      <c r="H277" s="17"/>
      <c r="I277" s="16" t="str">
        <f t="shared" si="51"/>
        <v/>
      </c>
      <c r="J277" s="16" t="str">
        <f t="shared" si="52"/>
        <v/>
      </c>
      <c r="K277" s="18" t="str">
        <f t="shared" si="53"/>
        <v/>
      </c>
      <c r="L277" s="16" t="str">
        <f t="shared" si="54"/>
        <v/>
      </c>
      <c r="M277" s="16" t="str">
        <f t="shared" si="55"/>
        <v/>
      </c>
      <c r="N277" s="16" t="str">
        <f t="shared" si="56"/>
        <v/>
      </c>
      <c r="O277" s="16" t="str">
        <f t="shared" si="57"/>
        <v/>
      </c>
      <c r="P277" s="16" t="str">
        <f t="shared" si="58"/>
        <v/>
      </c>
      <c r="Q277" s="18" t="str">
        <f t="shared" si="59"/>
        <v/>
      </c>
      <c r="R277" s="19" t="str">
        <f>IF(C277="","",IF(ISNA(MATCH(B277,'Registru oferte'!$B$5:$B$504,0)),"Oferta nu există în registru",IF(N(F277)&lt;=0,"Lipsește cantitatea",IF(AND(ISNUMBER(Q277),Q277&lt;MarjaMin),"Marjă sub minim ("&amp;TEXT(Q277*100,"0")&amp;"%)",""))))</f>
        <v/>
      </c>
      <c r="S277" s="1" t="str">
        <f>IF(B277="","",B277&amp;"|"&amp;COUNTIF($B$5:B277,B277))</f>
        <v/>
      </c>
    </row>
    <row r="278" spans="2:19" x14ac:dyDescent="0.2">
      <c r="B278" s="11"/>
      <c r="C278" s="11"/>
      <c r="D278" s="10" t="str">
        <f t="shared" si="48"/>
        <v/>
      </c>
      <c r="E278" s="15" t="str">
        <f t="shared" si="49"/>
        <v/>
      </c>
      <c r="F278" s="11"/>
      <c r="G278" s="16" t="str">
        <f t="shared" si="50"/>
        <v/>
      </c>
      <c r="H278" s="17"/>
      <c r="I278" s="16" t="str">
        <f t="shared" si="51"/>
        <v/>
      </c>
      <c r="J278" s="16" t="str">
        <f t="shared" si="52"/>
        <v/>
      </c>
      <c r="K278" s="18" t="str">
        <f t="shared" si="53"/>
        <v/>
      </c>
      <c r="L278" s="16" t="str">
        <f t="shared" si="54"/>
        <v/>
      </c>
      <c r="M278" s="16" t="str">
        <f t="shared" si="55"/>
        <v/>
      </c>
      <c r="N278" s="16" t="str">
        <f t="shared" si="56"/>
        <v/>
      </c>
      <c r="O278" s="16" t="str">
        <f t="shared" si="57"/>
        <v/>
      </c>
      <c r="P278" s="16" t="str">
        <f t="shared" si="58"/>
        <v/>
      </c>
      <c r="Q278" s="18" t="str">
        <f t="shared" si="59"/>
        <v/>
      </c>
      <c r="R278" s="19" t="str">
        <f>IF(C278="","",IF(ISNA(MATCH(B278,'Registru oferte'!$B$5:$B$504,0)),"Oferta nu există în registru",IF(N(F278)&lt;=0,"Lipsește cantitatea",IF(AND(ISNUMBER(Q278),Q278&lt;MarjaMin),"Marjă sub minim ("&amp;TEXT(Q278*100,"0")&amp;"%)",""))))</f>
        <v/>
      </c>
      <c r="S278" s="1" t="str">
        <f>IF(B278="","",B278&amp;"|"&amp;COUNTIF($B$5:B278,B278))</f>
        <v/>
      </c>
    </row>
    <row r="279" spans="2:19" x14ac:dyDescent="0.2">
      <c r="B279" s="11"/>
      <c r="C279" s="11"/>
      <c r="D279" s="10" t="str">
        <f t="shared" si="48"/>
        <v/>
      </c>
      <c r="E279" s="15" t="str">
        <f t="shared" si="49"/>
        <v/>
      </c>
      <c r="F279" s="11"/>
      <c r="G279" s="16" t="str">
        <f t="shared" si="50"/>
        <v/>
      </c>
      <c r="H279" s="17"/>
      <c r="I279" s="16" t="str">
        <f t="shared" si="51"/>
        <v/>
      </c>
      <c r="J279" s="16" t="str">
        <f t="shared" si="52"/>
        <v/>
      </c>
      <c r="K279" s="18" t="str">
        <f t="shared" si="53"/>
        <v/>
      </c>
      <c r="L279" s="16" t="str">
        <f t="shared" si="54"/>
        <v/>
      </c>
      <c r="M279" s="16" t="str">
        <f t="shared" si="55"/>
        <v/>
      </c>
      <c r="N279" s="16" t="str">
        <f t="shared" si="56"/>
        <v/>
      </c>
      <c r="O279" s="16" t="str">
        <f t="shared" si="57"/>
        <v/>
      </c>
      <c r="P279" s="16" t="str">
        <f t="shared" si="58"/>
        <v/>
      </c>
      <c r="Q279" s="18" t="str">
        <f t="shared" si="59"/>
        <v/>
      </c>
      <c r="R279" s="19" t="str">
        <f>IF(C279="","",IF(ISNA(MATCH(B279,'Registru oferte'!$B$5:$B$504,0)),"Oferta nu există în registru",IF(N(F279)&lt;=0,"Lipsește cantitatea",IF(AND(ISNUMBER(Q279),Q279&lt;MarjaMin),"Marjă sub minim ("&amp;TEXT(Q279*100,"0")&amp;"%)",""))))</f>
        <v/>
      </c>
      <c r="S279" s="1" t="str">
        <f>IF(B279="","",B279&amp;"|"&amp;COUNTIF($B$5:B279,B279))</f>
        <v/>
      </c>
    </row>
    <row r="280" spans="2:19" x14ac:dyDescent="0.2">
      <c r="B280" s="11"/>
      <c r="C280" s="11"/>
      <c r="D280" s="10" t="str">
        <f t="shared" si="48"/>
        <v/>
      </c>
      <c r="E280" s="15" t="str">
        <f t="shared" si="49"/>
        <v/>
      </c>
      <c r="F280" s="11"/>
      <c r="G280" s="16" t="str">
        <f t="shared" si="50"/>
        <v/>
      </c>
      <c r="H280" s="17"/>
      <c r="I280" s="16" t="str">
        <f t="shared" si="51"/>
        <v/>
      </c>
      <c r="J280" s="16" t="str">
        <f t="shared" si="52"/>
        <v/>
      </c>
      <c r="K280" s="18" t="str">
        <f t="shared" si="53"/>
        <v/>
      </c>
      <c r="L280" s="16" t="str">
        <f t="shared" si="54"/>
        <v/>
      </c>
      <c r="M280" s="16" t="str">
        <f t="shared" si="55"/>
        <v/>
      </c>
      <c r="N280" s="16" t="str">
        <f t="shared" si="56"/>
        <v/>
      </c>
      <c r="O280" s="16" t="str">
        <f t="shared" si="57"/>
        <v/>
      </c>
      <c r="P280" s="16" t="str">
        <f t="shared" si="58"/>
        <v/>
      </c>
      <c r="Q280" s="18" t="str">
        <f t="shared" si="59"/>
        <v/>
      </c>
      <c r="R280" s="19" t="str">
        <f>IF(C280="","",IF(ISNA(MATCH(B280,'Registru oferte'!$B$5:$B$504,0)),"Oferta nu există în registru",IF(N(F280)&lt;=0,"Lipsește cantitatea",IF(AND(ISNUMBER(Q280),Q280&lt;MarjaMin),"Marjă sub minim ("&amp;TEXT(Q280*100,"0")&amp;"%)",""))))</f>
        <v/>
      </c>
      <c r="S280" s="1" t="str">
        <f>IF(B280="","",B280&amp;"|"&amp;COUNTIF($B$5:B280,B280))</f>
        <v/>
      </c>
    </row>
    <row r="281" spans="2:19" x14ac:dyDescent="0.2">
      <c r="B281" s="11"/>
      <c r="C281" s="11"/>
      <c r="D281" s="10" t="str">
        <f t="shared" si="48"/>
        <v/>
      </c>
      <c r="E281" s="15" t="str">
        <f t="shared" si="49"/>
        <v/>
      </c>
      <c r="F281" s="11"/>
      <c r="G281" s="16" t="str">
        <f t="shared" si="50"/>
        <v/>
      </c>
      <c r="H281" s="17"/>
      <c r="I281" s="16" t="str">
        <f t="shared" si="51"/>
        <v/>
      </c>
      <c r="J281" s="16" t="str">
        <f t="shared" si="52"/>
        <v/>
      </c>
      <c r="K281" s="18" t="str">
        <f t="shared" si="53"/>
        <v/>
      </c>
      <c r="L281" s="16" t="str">
        <f t="shared" si="54"/>
        <v/>
      </c>
      <c r="M281" s="16" t="str">
        <f t="shared" si="55"/>
        <v/>
      </c>
      <c r="N281" s="16" t="str">
        <f t="shared" si="56"/>
        <v/>
      </c>
      <c r="O281" s="16" t="str">
        <f t="shared" si="57"/>
        <v/>
      </c>
      <c r="P281" s="16" t="str">
        <f t="shared" si="58"/>
        <v/>
      </c>
      <c r="Q281" s="18" t="str">
        <f t="shared" si="59"/>
        <v/>
      </c>
      <c r="R281" s="19" t="str">
        <f>IF(C281="","",IF(ISNA(MATCH(B281,'Registru oferte'!$B$5:$B$504,0)),"Oferta nu există în registru",IF(N(F281)&lt;=0,"Lipsește cantitatea",IF(AND(ISNUMBER(Q281),Q281&lt;MarjaMin),"Marjă sub minim ("&amp;TEXT(Q281*100,"0")&amp;"%)",""))))</f>
        <v/>
      </c>
      <c r="S281" s="1" t="str">
        <f>IF(B281="","",B281&amp;"|"&amp;COUNTIF($B$5:B281,B281))</f>
        <v/>
      </c>
    </row>
    <row r="282" spans="2:19" x14ac:dyDescent="0.2">
      <c r="B282" s="11"/>
      <c r="C282" s="11"/>
      <c r="D282" s="10" t="str">
        <f t="shared" si="48"/>
        <v/>
      </c>
      <c r="E282" s="15" t="str">
        <f t="shared" si="49"/>
        <v/>
      </c>
      <c r="F282" s="11"/>
      <c r="G282" s="16" t="str">
        <f t="shared" si="50"/>
        <v/>
      </c>
      <c r="H282" s="17"/>
      <c r="I282" s="16" t="str">
        <f t="shared" si="51"/>
        <v/>
      </c>
      <c r="J282" s="16" t="str">
        <f t="shared" si="52"/>
        <v/>
      </c>
      <c r="K282" s="18" t="str">
        <f t="shared" si="53"/>
        <v/>
      </c>
      <c r="L282" s="16" t="str">
        <f t="shared" si="54"/>
        <v/>
      </c>
      <c r="M282" s="16" t="str">
        <f t="shared" si="55"/>
        <v/>
      </c>
      <c r="N282" s="16" t="str">
        <f t="shared" si="56"/>
        <v/>
      </c>
      <c r="O282" s="16" t="str">
        <f t="shared" si="57"/>
        <v/>
      </c>
      <c r="P282" s="16" t="str">
        <f t="shared" si="58"/>
        <v/>
      </c>
      <c r="Q282" s="18" t="str">
        <f t="shared" si="59"/>
        <v/>
      </c>
      <c r="R282" s="19" t="str">
        <f>IF(C282="","",IF(ISNA(MATCH(B282,'Registru oferte'!$B$5:$B$504,0)),"Oferta nu există în registru",IF(N(F282)&lt;=0,"Lipsește cantitatea",IF(AND(ISNUMBER(Q282),Q282&lt;MarjaMin),"Marjă sub minim ("&amp;TEXT(Q282*100,"0")&amp;"%)",""))))</f>
        <v/>
      </c>
      <c r="S282" s="1" t="str">
        <f>IF(B282="","",B282&amp;"|"&amp;COUNTIF($B$5:B282,B282))</f>
        <v/>
      </c>
    </row>
    <row r="283" spans="2:19" x14ac:dyDescent="0.2">
      <c r="B283" s="11"/>
      <c r="C283" s="11"/>
      <c r="D283" s="10" t="str">
        <f t="shared" si="48"/>
        <v/>
      </c>
      <c r="E283" s="15" t="str">
        <f t="shared" si="49"/>
        <v/>
      </c>
      <c r="F283" s="11"/>
      <c r="G283" s="16" t="str">
        <f t="shared" si="50"/>
        <v/>
      </c>
      <c r="H283" s="17"/>
      <c r="I283" s="16" t="str">
        <f t="shared" si="51"/>
        <v/>
      </c>
      <c r="J283" s="16" t="str">
        <f t="shared" si="52"/>
        <v/>
      </c>
      <c r="K283" s="18" t="str">
        <f t="shared" si="53"/>
        <v/>
      </c>
      <c r="L283" s="16" t="str">
        <f t="shared" si="54"/>
        <v/>
      </c>
      <c r="M283" s="16" t="str">
        <f t="shared" si="55"/>
        <v/>
      </c>
      <c r="N283" s="16" t="str">
        <f t="shared" si="56"/>
        <v/>
      </c>
      <c r="O283" s="16" t="str">
        <f t="shared" si="57"/>
        <v/>
      </c>
      <c r="P283" s="16" t="str">
        <f t="shared" si="58"/>
        <v/>
      </c>
      <c r="Q283" s="18" t="str">
        <f t="shared" si="59"/>
        <v/>
      </c>
      <c r="R283" s="19" t="str">
        <f>IF(C283="","",IF(ISNA(MATCH(B283,'Registru oferte'!$B$5:$B$504,0)),"Oferta nu există în registru",IF(N(F283)&lt;=0,"Lipsește cantitatea",IF(AND(ISNUMBER(Q283),Q283&lt;MarjaMin),"Marjă sub minim ("&amp;TEXT(Q283*100,"0")&amp;"%)",""))))</f>
        <v/>
      </c>
      <c r="S283" s="1" t="str">
        <f>IF(B283="","",B283&amp;"|"&amp;COUNTIF($B$5:B283,B283))</f>
        <v/>
      </c>
    </row>
    <row r="284" spans="2:19" x14ac:dyDescent="0.2">
      <c r="B284" s="11"/>
      <c r="C284" s="11"/>
      <c r="D284" s="10" t="str">
        <f t="shared" si="48"/>
        <v/>
      </c>
      <c r="E284" s="15" t="str">
        <f t="shared" si="49"/>
        <v/>
      </c>
      <c r="F284" s="11"/>
      <c r="G284" s="16" t="str">
        <f t="shared" si="50"/>
        <v/>
      </c>
      <c r="H284" s="17"/>
      <c r="I284" s="16" t="str">
        <f t="shared" si="51"/>
        <v/>
      </c>
      <c r="J284" s="16" t="str">
        <f t="shared" si="52"/>
        <v/>
      </c>
      <c r="K284" s="18" t="str">
        <f t="shared" si="53"/>
        <v/>
      </c>
      <c r="L284" s="16" t="str">
        <f t="shared" si="54"/>
        <v/>
      </c>
      <c r="M284" s="16" t="str">
        <f t="shared" si="55"/>
        <v/>
      </c>
      <c r="N284" s="16" t="str">
        <f t="shared" si="56"/>
        <v/>
      </c>
      <c r="O284" s="16" t="str">
        <f t="shared" si="57"/>
        <v/>
      </c>
      <c r="P284" s="16" t="str">
        <f t="shared" si="58"/>
        <v/>
      </c>
      <c r="Q284" s="18" t="str">
        <f t="shared" si="59"/>
        <v/>
      </c>
      <c r="R284" s="19" t="str">
        <f>IF(C284="","",IF(ISNA(MATCH(B284,'Registru oferte'!$B$5:$B$504,0)),"Oferta nu există în registru",IF(N(F284)&lt;=0,"Lipsește cantitatea",IF(AND(ISNUMBER(Q284),Q284&lt;MarjaMin),"Marjă sub minim ("&amp;TEXT(Q284*100,"0")&amp;"%)",""))))</f>
        <v/>
      </c>
      <c r="S284" s="1" t="str">
        <f>IF(B284="","",B284&amp;"|"&amp;COUNTIF($B$5:B284,B284))</f>
        <v/>
      </c>
    </row>
    <row r="285" spans="2:19" x14ac:dyDescent="0.2">
      <c r="B285" s="11"/>
      <c r="C285" s="11"/>
      <c r="D285" s="10" t="str">
        <f t="shared" si="48"/>
        <v/>
      </c>
      <c r="E285" s="15" t="str">
        <f t="shared" si="49"/>
        <v/>
      </c>
      <c r="F285" s="11"/>
      <c r="G285" s="16" t="str">
        <f t="shared" si="50"/>
        <v/>
      </c>
      <c r="H285" s="17"/>
      <c r="I285" s="16" t="str">
        <f t="shared" si="51"/>
        <v/>
      </c>
      <c r="J285" s="16" t="str">
        <f t="shared" si="52"/>
        <v/>
      </c>
      <c r="K285" s="18" t="str">
        <f t="shared" si="53"/>
        <v/>
      </c>
      <c r="L285" s="16" t="str">
        <f t="shared" si="54"/>
        <v/>
      </c>
      <c r="M285" s="16" t="str">
        <f t="shared" si="55"/>
        <v/>
      </c>
      <c r="N285" s="16" t="str">
        <f t="shared" si="56"/>
        <v/>
      </c>
      <c r="O285" s="16" t="str">
        <f t="shared" si="57"/>
        <v/>
      </c>
      <c r="P285" s="16" t="str">
        <f t="shared" si="58"/>
        <v/>
      </c>
      <c r="Q285" s="18" t="str">
        <f t="shared" si="59"/>
        <v/>
      </c>
      <c r="R285" s="19" t="str">
        <f>IF(C285="","",IF(ISNA(MATCH(B285,'Registru oferte'!$B$5:$B$504,0)),"Oferta nu există în registru",IF(N(F285)&lt;=0,"Lipsește cantitatea",IF(AND(ISNUMBER(Q285),Q285&lt;MarjaMin),"Marjă sub minim ("&amp;TEXT(Q285*100,"0")&amp;"%)",""))))</f>
        <v/>
      </c>
      <c r="S285" s="1" t="str">
        <f>IF(B285="","",B285&amp;"|"&amp;COUNTIF($B$5:B285,B285))</f>
        <v/>
      </c>
    </row>
    <row r="286" spans="2:19" x14ac:dyDescent="0.2">
      <c r="B286" s="11"/>
      <c r="C286" s="11"/>
      <c r="D286" s="10" t="str">
        <f t="shared" si="48"/>
        <v/>
      </c>
      <c r="E286" s="15" t="str">
        <f t="shared" si="49"/>
        <v/>
      </c>
      <c r="F286" s="11"/>
      <c r="G286" s="16" t="str">
        <f t="shared" si="50"/>
        <v/>
      </c>
      <c r="H286" s="17"/>
      <c r="I286" s="16" t="str">
        <f t="shared" si="51"/>
        <v/>
      </c>
      <c r="J286" s="16" t="str">
        <f t="shared" si="52"/>
        <v/>
      </c>
      <c r="K286" s="18" t="str">
        <f t="shared" si="53"/>
        <v/>
      </c>
      <c r="L286" s="16" t="str">
        <f t="shared" si="54"/>
        <v/>
      </c>
      <c r="M286" s="16" t="str">
        <f t="shared" si="55"/>
        <v/>
      </c>
      <c r="N286" s="16" t="str">
        <f t="shared" si="56"/>
        <v/>
      </c>
      <c r="O286" s="16" t="str">
        <f t="shared" si="57"/>
        <v/>
      </c>
      <c r="P286" s="16" t="str">
        <f t="shared" si="58"/>
        <v/>
      </c>
      <c r="Q286" s="18" t="str">
        <f t="shared" si="59"/>
        <v/>
      </c>
      <c r="R286" s="19" t="str">
        <f>IF(C286="","",IF(ISNA(MATCH(B286,'Registru oferte'!$B$5:$B$504,0)),"Oferta nu există în registru",IF(N(F286)&lt;=0,"Lipsește cantitatea",IF(AND(ISNUMBER(Q286),Q286&lt;MarjaMin),"Marjă sub minim ("&amp;TEXT(Q286*100,"0")&amp;"%)",""))))</f>
        <v/>
      </c>
      <c r="S286" s="1" t="str">
        <f>IF(B286="","",B286&amp;"|"&amp;COUNTIF($B$5:B286,B286))</f>
        <v/>
      </c>
    </row>
    <row r="287" spans="2:19" x14ac:dyDescent="0.2">
      <c r="B287" s="11"/>
      <c r="C287" s="11"/>
      <c r="D287" s="10" t="str">
        <f t="shared" si="48"/>
        <v/>
      </c>
      <c r="E287" s="15" t="str">
        <f t="shared" si="49"/>
        <v/>
      </c>
      <c r="F287" s="11"/>
      <c r="G287" s="16" t="str">
        <f t="shared" si="50"/>
        <v/>
      </c>
      <c r="H287" s="17"/>
      <c r="I287" s="16" t="str">
        <f t="shared" si="51"/>
        <v/>
      </c>
      <c r="J287" s="16" t="str">
        <f t="shared" si="52"/>
        <v/>
      </c>
      <c r="K287" s="18" t="str">
        <f t="shared" si="53"/>
        <v/>
      </c>
      <c r="L287" s="16" t="str">
        <f t="shared" si="54"/>
        <v/>
      </c>
      <c r="M287" s="16" t="str">
        <f t="shared" si="55"/>
        <v/>
      </c>
      <c r="N287" s="16" t="str">
        <f t="shared" si="56"/>
        <v/>
      </c>
      <c r="O287" s="16" t="str">
        <f t="shared" si="57"/>
        <v/>
      </c>
      <c r="P287" s="16" t="str">
        <f t="shared" si="58"/>
        <v/>
      </c>
      <c r="Q287" s="18" t="str">
        <f t="shared" si="59"/>
        <v/>
      </c>
      <c r="R287" s="19" t="str">
        <f>IF(C287="","",IF(ISNA(MATCH(B287,'Registru oferte'!$B$5:$B$504,0)),"Oferta nu există în registru",IF(N(F287)&lt;=0,"Lipsește cantitatea",IF(AND(ISNUMBER(Q287),Q287&lt;MarjaMin),"Marjă sub minim ("&amp;TEXT(Q287*100,"0")&amp;"%)",""))))</f>
        <v/>
      </c>
      <c r="S287" s="1" t="str">
        <f>IF(B287="","",B287&amp;"|"&amp;COUNTIF($B$5:B287,B287))</f>
        <v/>
      </c>
    </row>
    <row r="288" spans="2:19" x14ac:dyDescent="0.2">
      <c r="B288" s="11"/>
      <c r="C288" s="11"/>
      <c r="D288" s="10" t="str">
        <f t="shared" si="48"/>
        <v/>
      </c>
      <c r="E288" s="15" t="str">
        <f t="shared" si="49"/>
        <v/>
      </c>
      <c r="F288" s="11"/>
      <c r="G288" s="16" t="str">
        <f t="shared" si="50"/>
        <v/>
      </c>
      <c r="H288" s="17"/>
      <c r="I288" s="16" t="str">
        <f t="shared" si="51"/>
        <v/>
      </c>
      <c r="J288" s="16" t="str">
        <f t="shared" si="52"/>
        <v/>
      </c>
      <c r="K288" s="18" t="str">
        <f t="shared" si="53"/>
        <v/>
      </c>
      <c r="L288" s="16" t="str">
        <f t="shared" si="54"/>
        <v/>
      </c>
      <c r="M288" s="16" t="str">
        <f t="shared" si="55"/>
        <v/>
      </c>
      <c r="N288" s="16" t="str">
        <f t="shared" si="56"/>
        <v/>
      </c>
      <c r="O288" s="16" t="str">
        <f t="shared" si="57"/>
        <v/>
      </c>
      <c r="P288" s="16" t="str">
        <f t="shared" si="58"/>
        <v/>
      </c>
      <c r="Q288" s="18" t="str">
        <f t="shared" si="59"/>
        <v/>
      </c>
      <c r="R288" s="19" t="str">
        <f>IF(C288="","",IF(ISNA(MATCH(B288,'Registru oferte'!$B$5:$B$504,0)),"Oferta nu există în registru",IF(N(F288)&lt;=0,"Lipsește cantitatea",IF(AND(ISNUMBER(Q288),Q288&lt;MarjaMin),"Marjă sub minim ("&amp;TEXT(Q288*100,"0")&amp;"%)",""))))</f>
        <v/>
      </c>
      <c r="S288" s="1" t="str">
        <f>IF(B288="","",B288&amp;"|"&amp;COUNTIF($B$5:B288,B288))</f>
        <v/>
      </c>
    </row>
    <row r="289" spans="2:19" x14ac:dyDescent="0.2">
      <c r="B289" s="11"/>
      <c r="C289" s="11"/>
      <c r="D289" s="10" t="str">
        <f t="shared" si="48"/>
        <v/>
      </c>
      <c r="E289" s="15" t="str">
        <f t="shared" si="49"/>
        <v/>
      </c>
      <c r="F289" s="11"/>
      <c r="G289" s="16" t="str">
        <f t="shared" si="50"/>
        <v/>
      </c>
      <c r="H289" s="17"/>
      <c r="I289" s="16" t="str">
        <f t="shared" si="51"/>
        <v/>
      </c>
      <c r="J289" s="16" t="str">
        <f t="shared" si="52"/>
        <v/>
      </c>
      <c r="K289" s="18" t="str">
        <f t="shared" si="53"/>
        <v/>
      </c>
      <c r="L289" s="16" t="str">
        <f t="shared" si="54"/>
        <v/>
      </c>
      <c r="M289" s="16" t="str">
        <f t="shared" si="55"/>
        <v/>
      </c>
      <c r="N289" s="16" t="str">
        <f t="shared" si="56"/>
        <v/>
      </c>
      <c r="O289" s="16" t="str">
        <f t="shared" si="57"/>
        <v/>
      </c>
      <c r="P289" s="16" t="str">
        <f t="shared" si="58"/>
        <v/>
      </c>
      <c r="Q289" s="18" t="str">
        <f t="shared" si="59"/>
        <v/>
      </c>
      <c r="R289" s="19" t="str">
        <f>IF(C289="","",IF(ISNA(MATCH(B289,'Registru oferte'!$B$5:$B$504,0)),"Oferta nu există în registru",IF(N(F289)&lt;=0,"Lipsește cantitatea",IF(AND(ISNUMBER(Q289),Q289&lt;MarjaMin),"Marjă sub minim ("&amp;TEXT(Q289*100,"0")&amp;"%)",""))))</f>
        <v/>
      </c>
      <c r="S289" s="1" t="str">
        <f>IF(B289="","",B289&amp;"|"&amp;COUNTIF($B$5:B289,B289))</f>
        <v/>
      </c>
    </row>
    <row r="290" spans="2:19" x14ac:dyDescent="0.2">
      <c r="B290" s="11"/>
      <c r="C290" s="11"/>
      <c r="D290" s="10" t="str">
        <f t="shared" si="48"/>
        <v/>
      </c>
      <c r="E290" s="15" t="str">
        <f t="shared" si="49"/>
        <v/>
      </c>
      <c r="F290" s="11"/>
      <c r="G290" s="16" t="str">
        <f t="shared" si="50"/>
        <v/>
      </c>
      <c r="H290" s="17"/>
      <c r="I290" s="16" t="str">
        <f t="shared" si="51"/>
        <v/>
      </c>
      <c r="J290" s="16" t="str">
        <f t="shared" si="52"/>
        <v/>
      </c>
      <c r="K290" s="18" t="str">
        <f t="shared" si="53"/>
        <v/>
      </c>
      <c r="L290" s="16" t="str">
        <f t="shared" si="54"/>
        <v/>
      </c>
      <c r="M290" s="16" t="str">
        <f t="shared" si="55"/>
        <v/>
      </c>
      <c r="N290" s="16" t="str">
        <f t="shared" si="56"/>
        <v/>
      </c>
      <c r="O290" s="16" t="str">
        <f t="shared" si="57"/>
        <v/>
      </c>
      <c r="P290" s="16" t="str">
        <f t="shared" si="58"/>
        <v/>
      </c>
      <c r="Q290" s="18" t="str">
        <f t="shared" si="59"/>
        <v/>
      </c>
      <c r="R290" s="19" t="str">
        <f>IF(C290="","",IF(ISNA(MATCH(B290,'Registru oferte'!$B$5:$B$504,0)),"Oferta nu există în registru",IF(N(F290)&lt;=0,"Lipsește cantitatea",IF(AND(ISNUMBER(Q290),Q290&lt;MarjaMin),"Marjă sub minim ("&amp;TEXT(Q290*100,"0")&amp;"%)",""))))</f>
        <v/>
      </c>
      <c r="S290" s="1" t="str">
        <f>IF(B290="","",B290&amp;"|"&amp;COUNTIF($B$5:B290,B290))</f>
        <v/>
      </c>
    </row>
    <row r="291" spans="2:19" x14ac:dyDescent="0.2">
      <c r="B291" s="11"/>
      <c r="C291" s="11"/>
      <c r="D291" s="10" t="str">
        <f t="shared" si="48"/>
        <v/>
      </c>
      <c r="E291" s="15" t="str">
        <f t="shared" si="49"/>
        <v/>
      </c>
      <c r="F291" s="11"/>
      <c r="G291" s="16" t="str">
        <f t="shared" si="50"/>
        <v/>
      </c>
      <c r="H291" s="17"/>
      <c r="I291" s="16" t="str">
        <f t="shared" si="51"/>
        <v/>
      </c>
      <c r="J291" s="16" t="str">
        <f t="shared" si="52"/>
        <v/>
      </c>
      <c r="K291" s="18" t="str">
        <f t="shared" si="53"/>
        <v/>
      </c>
      <c r="L291" s="16" t="str">
        <f t="shared" si="54"/>
        <v/>
      </c>
      <c r="M291" s="16" t="str">
        <f t="shared" si="55"/>
        <v/>
      </c>
      <c r="N291" s="16" t="str">
        <f t="shared" si="56"/>
        <v/>
      </c>
      <c r="O291" s="16" t="str">
        <f t="shared" si="57"/>
        <v/>
      </c>
      <c r="P291" s="16" t="str">
        <f t="shared" si="58"/>
        <v/>
      </c>
      <c r="Q291" s="18" t="str">
        <f t="shared" si="59"/>
        <v/>
      </c>
      <c r="R291" s="19" t="str">
        <f>IF(C291="","",IF(ISNA(MATCH(B291,'Registru oferte'!$B$5:$B$504,0)),"Oferta nu există în registru",IF(N(F291)&lt;=0,"Lipsește cantitatea",IF(AND(ISNUMBER(Q291),Q291&lt;MarjaMin),"Marjă sub minim ("&amp;TEXT(Q291*100,"0")&amp;"%)",""))))</f>
        <v/>
      </c>
      <c r="S291" s="1" t="str">
        <f>IF(B291="","",B291&amp;"|"&amp;COUNTIF($B$5:B291,B291))</f>
        <v/>
      </c>
    </row>
    <row r="292" spans="2:19" x14ac:dyDescent="0.2">
      <c r="B292" s="11"/>
      <c r="C292" s="11"/>
      <c r="D292" s="10" t="str">
        <f t="shared" si="48"/>
        <v/>
      </c>
      <c r="E292" s="15" t="str">
        <f t="shared" si="49"/>
        <v/>
      </c>
      <c r="F292" s="11"/>
      <c r="G292" s="16" t="str">
        <f t="shared" si="50"/>
        <v/>
      </c>
      <c r="H292" s="17"/>
      <c r="I292" s="16" t="str">
        <f t="shared" si="51"/>
        <v/>
      </c>
      <c r="J292" s="16" t="str">
        <f t="shared" si="52"/>
        <v/>
      </c>
      <c r="K292" s="18" t="str">
        <f t="shared" si="53"/>
        <v/>
      </c>
      <c r="L292" s="16" t="str">
        <f t="shared" si="54"/>
        <v/>
      </c>
      <c r="M292" s="16" t="str">
        <f t="shared" si="55"/>
        <v/>
      </c>
      <c r="N292" s="16" t="str">
        <f t="shared" si="56"/>
        <v/>
      </c>
      <c r="O292" s="16" t="str">
        <f t="shared" si="57"/>
        <v/>
      </c>
      <c r="P292" s="16" t="str">
        <f t="shared" si="58"/>
        <v/>
      </c>
      <c r="Q292" s="18" t="str">
        <f t="shared" si="59"/>
        <v/>
      </c>
      <c r="R292" s="19" t="str">
        <f>IF(C292="","",IF(ISNA(MATCH(B292,'Registru oferte'!$B$5:$B$504,0)),"Oferta nu există în registru",IF(N(F292)&lt;=0,"Lipsește cantitatea",IF(AND(ISNUMBER(Q292),Q292&lt;MarjaMin),"Marjă sub minim ("&amp;TEXT(Q292*100,"0")&amp;"%)",""))))</f>
        <v/>
      </c>
      <c r="S292" s="1" t="str">
        <f>IF(B292="","",B292&amp;"|"&amp;COUNTIF($B$5:B292,B292))</f>
        <v/>
      </c>
    </row>
    <row r="293" spans="2:19" x14ac:dyDescent="0.2">
      <c r="B293" s="11"/>
      <c r="C293" s="11"/>
      <c r="D293" s="10" t="str">
        <f t="shared" si="48"/>
        <v/>
      </c>
      <c r="E293" s="15" t="str">
        <f t="shared" si="49"/>
        <v/>
      </c>
      <c r="F293" s="11"/>
      <c r="G293" s="16" t="str">
        <f t="shared" si="50"/>
        <v/>
      </c>
      <c r="H293" s="17"/>
      <c r="I293" s="16" t="str">
        <f t="shared" si="51"/>
        <v/>
      </c>
      <c r="J293" s="16" t="str">
        <f t="shared" si="52"/>
        <v/>
      </c>
      <c r="K293" s="18" t="str">
        <f t="shared" si="53"/>
        <v/>
      </c>
      <c r="L293" s="16" t="str">
        <f t="shared" si="54"/>
        <v/>
      </c>
      <c r="M293" s="16" t="str">
        <f t="shared" si="55"/>
        <v/>
      </c>
      <c r="N293" s="16" t="str">
        <f t="shared" si="56"/>
        <v/>
      </c>
      <c r="O293" s="16" t="str">
        <f t="shared" si="57"/>
        <v/>
      </c>
      <c r="P293" s="16" t="str">
        <f t="shared" si="58"/>
        <v/>
      </c>
      <c r="Q293" s="18" t="str">
        <f t="shared" si="59"/>
        <v/>
      </c>
      <c r="R293" s="19" t="str">
        <f>IF(C293="","",IF(ISNA(MATCH(B293,'Registru oferte'!$B$5:$B$504,0)),"Oferta nu există în registru",IF(N(F293)&lt;=0,"Lipsește cantitatea",IF(AND(ISNUMBER(Q293),Q293&lt;MarjaMin),"Marjă sub minim ("&amp;TEXT(Q293*100,"0")&amp;"%)",""))))</f>
        <v/>
      </c>
      <c r="S293" s="1" t="str">
        <f>IF(B293="","",B293&amp;"|"&amp;COUNTIF($B$5:B293,B293))</f>
        <v/>
      </c>
    </row>
    <row r="294" spans="2:19" x14ac:dyDescent="0.2">
      <c r="B294" s="11"/>
      <c r="C294" s="11"/>
      <c r="D294" s="10" t="str">
        <f t="shared" si="48"/>
        <v/>
      </c>
      <c r="E294" s="15" t="str">
        <f t="shared" si="49"/>
        <v/>
      </c>
      <c r="F294" s="11"/>
      <c r="G294" s="16" t="str">
        <f t="shared" si="50"/>
        <v/>
      </c>
      <c r="H294" s="17"/>
      <c r="I294" s="16" t="str">
        <f t="shared" si="51"/>
        <v/>
      </c>
      <c r="J294" s="16" t="str">
        <f t="shared" si="52"/>
        <v/>
      </c>
      <c r="K294" s="18" t="str">
        <f t="shared" si="53"/>
        <v/>
      </c>
      <c r="L294" s="16" t="str">
        <f t="shared" si="54"/>
        <v/>
      </c>
      <c r="M294" s="16" t="str">
        <f t="shared" si="55"/>
        <v/>
      </c>
      <c r="N294" s="16" t="str">
        <f t="shared" si="56"/>
        <v/>
      </c>
      <c r="O294" s="16" t="str">
        <f t="shared" si="57"/>
        <v/>
      </c>
      <c r="P294" s="16" t="str">
        <f t="shared" si="58"/>
        <v/>
      </c>
      <c r="Q294" s="18" t="str">
        <f t="shared" si="59"/>
        <v/>
      </c>
      <c r="R294" s="19" t="str">
        <f>IF(C294="","",IF(ISNA(MATCH(B294,'Registru oferte'!$B$5:$B$504,0)),"Oferta nu există în registru",IF(N(F294)&lt;=0,"Lipsește cantitatea",IF(AND(ISNUMBER(Q294),Q294&lt;MarjaMin),"Marjă sub minim ("&amp;TEXT(Q294*100,"0")&amp;"%)",""))))</f>
        <v/>
      </c>
      <c r="S294" s="1" t="str">
        <f>IF(B294="","",B294&amp;"|"&amp;COUNTIF($B$5:B294,B294))</f>
        <v/>
      </c>
    </row>
    <row r="295" spans="2:19" x14ac:dyDescent="0.2">
      <c r="B295" s="11"/>
      <c r="C295" s="11"/>
      <c r="D295" s="10" t="str">
        <f t="shared" si="48"/>
        <v/>
      </c>
      <c r="E295" s="15" t="str">
        <f t="shared" si="49"/>
        <v/>
      </c>
      <c r="F295" s="11"/>
      <c r="G295" s="16" t="str">
        <f t="shared" si="50"/>
        <v/>
      </c>
      <c r="H295" s="17"/>
      <c r="I295" s="16" t="str">
        <f t="shared" si="51"/>
        <v/>
      </c>
      <c r="J295" s="16" t="str">
        <f t="shared" si="52"/>
        <v/>
      </c>
      <c r="K295" s="18" t="str">
        <f t="shared" si="53"/>
        <v/>
      </c>
      <c r="L295" s="16" t="str">
        <f t="shared" si="54"/>
        <v/>
      </c>
      <c r="M295" s="16" t="str">
        <f t="shared" si="55"/>
        <v/>
      </c>
      <c r="N295" s="16" t="str">
        <f t="shared" si="56"/>
        <v/>
      </c>
      <c r="O295" s="16" t="str">
        <f t="shared" si="57"/>
        <v/>
      </c>
      <c r="P295" s="16" t="str">
        <f t="shared" si="58"/>
        <v/>
      </c>
      <c r="Q295" s="18" t="str">
        <f t="shared" si="59"/>
        <v/>
      </c>
      <c r="R295" s="19" t="str">
        <f>IF(C295="","",IF(ISNA(MATCH(B295,'Registru oferte'!$B$5:$B$504,0)),"Oferta nu există în registru",IF(N(F295)&lt;=0,"Lipsește cantitatea",IF(AND(ISNUMBER(Q295),Q295&lt;MarjaMin),"Marjă sub minim ("&amp;TEXT(Q295*100,"0")&amp;"%)",""))))</f>
        <v/>
      </c>
      <c r="S295" s="1" t="str">
        <f>IF(B295="","",B295&amp;"|"&amp;COUNTIF($B$5:B295,B295))</f>
        <v/>
      </c>
    </row>
    <row r="296" spans="2:19" x14ac:dyDescent="0.2">
      <c r="B296" s="11"/>
      <c r="C296" s="11"/>
      <c r="D296" s="10" t="str">
        <f t="shared" si="48"/>
        <v/>
      </c>
      <c r="E296" s="15" t="str">
        <f t="shared" si="49"/>
        <v/>
      </c>
      <c r="F296" s="11"/>
      <c r="G296" s="16" t="str">
        <f t="shared" si="50"/>
        <v/>
      </c>
      <c r="H296" s="17"/>
      <c r="I296" s="16" t="str">
        <f t="shared" si="51"/>
        <v/>
      </c>
      <c r="J296" s="16" t="str">
        <f t="shared" si="52"/>
        <v/>
      </c>
      <c r="K296" s="18" t="str">
        <f t="shared" si="53"/>
        <v/>
      </c>
      <c r="L296" s="16" t="str">
        <f t="shared" si="54"/>
        <v/>
      </c>
      <c r="M296" s="16" t="str">
        <f t="shared" si="55"/>
        <v/>
      </c>
      <c r="N296" s="16" t="str">
        <f t="shared" si="56"/>
        <v/>
      </c>
      <c r="O296" s="16" t="str">
        <f t="shared" si="57"/>
        <v/>
      </c>
      <c r="P296" s="16" t="str">
        <f t="shared" si="58"/>
        <v/>
      </c>
      <c r="Q296" s="18" t="str">
        <f t="shared" si="59"/>
        <v/>
      </c>
      <c r="R296" s="19" t="str">
        <f>IF(C296="","",IF(ISNA(MATCH(B296,'Registru oferte'!$B$5:$B$504,0)),"Oferta nu există în registru",IF(N(F296)&lt;=0,"Lipsește cantitatea",IF(AND(ISNUMBER(Q296),Q296&lt;MarjaMin),"Marjă sub minim ("&amp;TEXT(Q296*100,"0")&amp;"%)",""))))</f>
        <v/>
      </c>
      <c r="S296" s="1" t="str">
        <f>IF(B296="","",B296&amp;"|"&amp;COUNTIF($B$5:B296,B296))</f>
        <v/>
      </c>
    </row>
    <row r="297" spans="2:19" x14ac:dyDescent="0.2">
      <c r="B297" s="11"/>
      <c r="C297" s="11"/>
      <c r="D297" s="10" t="str">
        <f t="shared" si="48"/>
        <v/>
      </c>
      <c r="E297" s="15" t="str">
        <f t="shared" si="49"/>
        <v/>
      </c>
      <c r="F297" s="11"/>
      <c r="G297" s="16" t="str">
        <f t="shared" si="50"/>
        <v/>
      </c>
      <c r="H297" s="17"/>
      <c r="I297" s="16" t="str">
        <f t="shared" si="51"/>
        <v/>
      </c>
      <c r="J297" s="16" t="str">
        <f t="shared" si="52"/>
        <v/>
      </c>
      <c r="K297" s="18" t="str">
        <f t="shared" si="53"/>
        <v/>
      </c>
      <c r="L297" s="16" t="str">
        <f t="shared" si="54"/>
        <v/>
      </c>
      <c r="M297" s="16" t="str">
        <f t="shared" si="55"/>
        <v/>
      </c>
      <c r="N297" s="16" t="str">
        <f t="shared" si="56"/>
        <v/>
      </c>
      <c r="O297" s="16" t="str">
        <f t="shared" si="57"/>
        <v/>
      </c>
      <c r="P297" s="16" t="str">
        <f t="shared" si="58"/>
        <v/>
      </c>
      <c r="Q297" s="18" t="str">
        <f t="shared" si="59"/>
        <v/>
      </c>
      <c r="R297" s="19" t="str">
        <f>IF(C297="","",IF(ISNA(MATCH(B297,'Registru oferte'!$B$5:$B$504,0)),"Oferta nu există în registru",IF(N(F297)&lt;=0,"Lipsește cantitatea",IF(AND(ISNUMBER(Q297),Q297&lt;MarjaMin),"Marjă sub minim ("&amp;TEXT(Q297*100,"0")&amp;"%)",""))))</f>
        <v/>
      </c>
      <c r="S297" s="1" t="str">
        <f>IF(B297="","",B297&amp;"|"&amp;COUNTIF($B$5:B297,B297))</f>
        <v/>
      </c>
    </row>
    <row r="298" spans="2:19" x14ac:dyDescent="0.2">
      <c r="B298" s="11"/>
      <c r="C298" s="11"/>
      <c r="D298" s="10" t="str">
        <f t="shared" si="48"/>
        <v/>
      </c>
      <c r="E298" s="15" t="str">
        <f t="shared" si="49"/>
        <v/>
      </c>
      <c r="F298" s="11"/>
      <c r="G298" s="16" t="str">
        <f t="shared" si="50"/>
        <v/>
      </c>
      <c r="H298" s="17"/>
      <c r="I298" s="16" t="str">
        <f t="shared" si="51"/>
        <v/>
      </c>
      <c r="J298" s="16" t="str">
        <f t="shared" si="52"/>
        <v/>
      </c>
      <c r="K298" s="18" t="str">
        <f t="shared" si="53"/>
        <v/>
      </c>
      <c r="L298" s="16" t="str">
        <f t="shared" si="54"/>
        <v/>
      </c>
      <c r="M298" s="16" t="str">
        <f t="shared" si="55"/>
        <v/>
      </c>
      <c r="N298" s="16" t="str">
        <f t="shared" si="56"/>
        <v/>
      </c>
      <c r="O298" s="16" t="str">
        <f t="shared" si="57"/>
        <v/>
      </c>
      <c r="P298" s="16" t="str">
        <f t="shared" si="58"/>
        <v/>
      </c>
      <c r="Q298" s="18" t="str">
        <f t="shared" si="59"/>
        <v/>
      </c>
      <c r="R298" s="19" t="str">
        <f>IF(C298="","",IF(ISNA(MATCH(B298,'Registru oferte'!$B$5:$B$504,0)),"Oferta nu există în registru",IF(N(F298)&lt;=0,"Lipsește cantitatea",IF(AND(ISNUMBER(Q298),Q298&lt;MarjaMin),"Marjă sub minim ("&amp;TEXT(Q298*100,"0")&amp;"%)",""))))</f>
        <v/>
      </c>
      <c r="S298" s="1" t="str">
        <f>IF(B298="","",B298&amp;"|"&amp;COUNTIF($B$5:B298,B298))</f>
        <v/>
      </c>
    </row>
    <row r="299" spans="2:19" x14ac:dyDescent="0.2">
      <c r="B299" s="11"/>
      <c r="C299" s="11"/>
      <c r="D299" s="10" t="str">
        <f t="shared" si="48"/>
        <v/>
      </c>
      <c r="E299" s="15" t="str">
        <f t="shared" si="49"/>
        <v/>
      </c>
      <c r="F299" s="11"/>
      <c r="G299" s="16" t="str">
        <f t="shared" si="50"/>
        <v/>
      </c>
      <c r="H299" s="17"/>
      <c r="I299" s="16" t="str">
        <f t="shared" si="51"/>
        <v/>
      </c>
      <c r="J299" s="16" t="str">
        <f t="shared" si="52"/>
        <v/>
      </c>
      <c r="K299" s="18" t="str">
        <f t="shared" si="53"/>
        <v/>
      </c>
      <c r="L299" s="16" t="str">
        <f t="shared" si="54"/>
        <v/>
      </c>
      <c r="M299" s="16" t="str">
        <f t="shared" si="55"/>
        <v/>
      </c>
      <c r="N299" s="16" t="str">
        <f t="shared" si="56"/>
        <v/>
      </c>
      <c r="O299" s="16" t="str">
        <f t="shared" si="57"/>
        <v/>
      </c>
      <c r="P299" s="16" t="str">
        <f t="shared" si="58"/>
        <v/>
      </c>
      <c r="Q299" s="18" t="str">
        <f t="shared" si="59"/>
        <v/>
      </c>
      <c r="R299" s="19" t="str">
        <f>IF(C299="","",IF(ISNA(MATCH(B299,'Registru oferte'!$B$5:$B$504,0)),"Oferta nu există în registru",IF(N(F299)&lt;=0,"Lipsește cantitatea",IF(AND(ISNUMBER(Q299),Q299&lt;MarjaMin),"Marjă sub minim ("&amp;TEXT(Q299*100,"0")&amp;"%)",""))))</f>
        <v/>
      </c>
      <c r="S299" s="1" t="str">
        <f>IF(B299="","",B299&amp;"|"&amp;COUNTIF($B$5:B299,B299))</f>
        <v/>
      </c>
    </row>
    <row r="300" spans="2:19" x14ac:dyDescent="0.2">
      <c r="B300" s="11"/>
      <c r="C300" s="11"/>
      <c r="D300" s="10" t="str">
        <f t="shared" si="48"/>
        <v/>
      </c>
      <c r="E300" s="15" t="str">
        <f t="shared" si="49"/>
        <v/>
      </c>
      <c r="F300" s="11"/>
      <c r="G300" s="16" t="str">
        <f t="shared" si="50"/>
        <v/>
      </c>
      <c r="H300" s="17"/>
      <c r="I300" s="16" t="str">
        <f t="shared" si="51"/>
        <v/>
      </c>
      <c r="J300" s="16" t="str">
        <f t="shared" si="52"/>
        <v/>
      </c>
      <c r="K300" s="18" t="str">
        <f t="shared" si="53"/>
        <v/>
      </c>
      <c r="L300" s="16" t="str">
        <f t="shared" si="54"/>
        <v/>
      </c>
      <c r="M300" s="16" t="str">
        <f t="shared" si="55"/>
        <v/>
      </c>
      <c r="N300" s="16" t="str">
        <f t="shared" si="56"/>
        <v/>
      </c>
      <c r="O300" s="16" t="str">
        <f t="shared" si="57"/>
        <v/>
      </c>
      <c r="P300" s="16" t="str">
        <f t="shared" si="58"/>
        <v/>
      </c>
      <c r="Q300" s="18" t="str">
        <f t="shared" si="59"/>
        <v/>
      </c>
      <c r="R300" s="19" t="str">
        <f>IF(C300="","",IF(ISNA(MATCH(B300,'Registru oferte'!$B$5:$B$504,0)),"Oferta nu există în registru",IF(N(F300)&lt;=0,"Lipsește cantitatea",IF(AND(ISNUMBER(Q300),Q300&lt;MarjaMin),"Marjă sub minim ("&amp;TEXT(Q300*100,"0")&amp;"%)",""))))</f>
        <v/>
      </c>
      <c r="S300" s="1" t="str">
        <f>IF(B300="","",B300&amp;"|"&amp;COUNTIF($B$5:B300,B300))</f>
        <v/>
      </c>
    </row>
    <row r="301" spans="2:19" x14ac:dyDescent="0.2">
      <c r="B301" s="11"/>
      <c r="C301" s="11"/>
      <c r="D301" s="10" t="str">
        <f t="shared" si="48"/>
        <v/>
      </c>
      <c r="E301" s="15" t="str">
        <f t="shared" si="49"/>
        <v/>
      </c>
      <c r="F301" s="11"/>
      <c r="G301" s="16" t="str">
        <f t="shared" si="50"/>
        <v/>
      </c>
      <c r="H301" s="17"/>
      <c r="I301" s="16" t="str">
        <f t="shared" si="51"/>
        <v/>
      </c>
      <c r="J301" s="16" t="str">
        <f t="shared" si="52"/>
        <v/>
      </c>
      <c r="K301" s="18" t="str">
        <f t="shared" si="53"/>
        <v/>
      </c>
      <c r="L301" s="16" t="str">
        <f t="shared" si="54"/>
        <v/>
      </c>
      <c r="M301" s="16" t="str">
        <f t="shared" si="55"/>
        <v/>
      </c>
      <c r="N301" s="16" t="str">
        <f t="shared" si="56"/>
        <v/>
      </c>
      <c r="O301" s="16" t="str">
        <f t="shared" si="57"/>
        <v/>
      </c>
      <c r="P301" s="16" t="str">
        <f t="shared" si="58"/>
        <v/>
      </c>
      <c r="Q301" s="18" t="str">
        <f t="shared" si="59"/>
        <v/>
      </c>
      <c r="R301" s="19" t="str">
        <f>IF(C301="","",IF(ISNA(MATCH(B301,'Registru oferte'!$B$5:$B$504,0)),"Oferta nu există în registru",IF(N(F301)&lt;=0,"Lipsește cantitatea",IF(AND(ISNUMBER(Q301),Q301&lt;MarjaMin),"Marjă sub minim ("&amp;TEXT(Q301*100,"0")&amp;"%)",""))))</f>
        <v/>
      </c>
      <c r="S301" s="1" t="str">
        <f>IF(B301="","",B301&amp;"|"&amp;COUNTIF($B$5:B301,B301))</f>
        <v/>
      </c>
    </row>
    <row r="302" spans="2:19" x14ac:dyDescent="0.2">
      <c r="B302" s="11"/>
      <c r="C302" s="11"/>
      <c r="D302" s="10" t="str">
        <f t="shared" si="48"/>
        <v/>
      </c>
      <c r="E302" s="15" t="str">
        <f t="shared" si="49"/>
        <v/>
      </c>
      <c r="F302" s="11"/>
      <c r="G302" s="16" t="str">
        <f t="shared" si="50"/>
        <v/>
      </c>
      <c r="H302" s="17"/>
      <c r="I302" s="16" t="str">
        <f t="shared" si="51"/>
        <v/>
      </c>
      <c r="J302" s="16" t="str">
        <f t="shared" si="52"/>
        <v/>
      </c>
      <c r="K302" s="18" t="str">
        <f t="shared" si="53"/>
        <v/>
      </c>
      <c r="L302" s="16" t="str">
        <f t="shared" si="54"/>
        <v/>
      </c>
      <c r="M302" s="16" t="str">
        <f t="shared" si="55"/>
        <v/>
      </c>
      <c r="N302" s="16" t="str">
        <f t="shared" si="56"/>
        <v/>
      </c>
      <c r="O302" s="16" t="str">
        <f t="shared" si="57"/>
        <v/>
      </c>
      <c r="P302" s="16" t="str">
        <f t="shared" si="58"/>
        <v/>
      </c>
      <c r="Q302" s="18" t="str">
        <f t="shared" si="59"/>
        <v/>
      </c>
      <c r="R302" s="19" t="str">
        <f>IF(C302="","",IF(ISNA(MATCH(B302,'Registru oferte'!$B$5:$B$504,0)),"Oferta nu există în registru",IF(N(F302)&lt;=0,"Lipsește cantitatea",IF(AND(ISNUMBER(Q302),Q302&lt;MarjaMin),"Marjă sub minim ("&amp;TEXT(Q302*100,"0")&amp;"%)",""))))</f>
        <v/>
      </c>
      <c r="S302" s="1" t="str">
        <f>IF(B302="","",B302&amp;"|"&amp;COUNTIF($B$5:B302,B302))</f>
        <v/>
      </c>
    </row>
    <row r="303" spans="2:19" x14ac:dyDescent="0.2">
      <c r="B303" s="11"/>
      <c r="C303" s="11"/>
      <c r="D303" s="10" t="str">
        <f t="shared" si="48"/>
        <v/>
      </c>
      <c r="E303" s="15" t="str">
        <f t="shared" si="49"/>
        <v/>
      </c>
      <c r="F303" s="11"/>
      <c r="G303" s="16" t="str">
        <f t="shared" si="50"/>
        <v/>
      </c>
      <c r="H303" s="17"/>
      <c r="I303" s="16" t="str">
        <f t="shared" si="51"/>
        <v/>
      </c>
      <c r="J303" s="16" t="str">
        <f t="shared" si="52"/>
        <v/>
      </c>
      <c r="K303" s="18" t="str">
        <f t="shared" si="53"/>
        <v/>
      </c>
      <c r="L303" s="16" t="str">
        <f t="shared" si="54"/>
        <v/>
      </c>
      <c r="M303" s="16" t="str">
        <f t="shared" si="55"/>
        <v/>
      </c>
      <c r="N303" s="16" t="str">
        <f t="shared" si="56"/>
        <v/>
      </c>
      <c r="O303" s="16" t="str">
        <f t="shared" si="57"/>
        <v/>
      </c>
      <c r="P303" s="16" t="str">
        <f t="shared" si="58"/>
        <v/>
      </c>
      <c r="Q303" s="18" t="str">
        <f t="shared" si="59"/>
        <v/>
      </c>
      <c r="R303" s="19" t="str">
        <f>IF(C303="","",IF(ISNA(MATCH(B303,'Registru oferte'!$B$5:$B$504,0)),"Oferta nu există în registru",IF(N(F303)&lt;=0,"Lipsește cantitatea",IF(AND(ISNUMBER(Q303),Q303&lt;MarjaMin),"Marjă sub minim ("&amp;TEXT(Q303*100,"0")&amp;"%)",""))))</f>
        <v/>
      </c>
      <c r="S303" s="1" t="str">
        <f>IF(B303="","",B303&amp;"|"&amp;COUNTIF($B$5:B303,B303))</f>
        <v/>
      </c>
    </row>
    <row r="304" spans="2:19" x14ac:dyDescent="0.2">
      <c r="B304" s="11"/>
      <c r="C304" s="11"/>
      <c r="D304" s="10" t="str">
        <f t="shared" si="48"/>
        <v/>
      </c>
      <c r="E304" s="15" t="str">
        <f t="shared" si="49"/>
        <v/>
      </c>
      <c r="F304" s="11"/>
      <c r="G304" s="16" t="str">
        <f t="shared" si="50"/>
        <v/>
      </c>
      <c r="H304" s="17"/>
      <c r="I304" s="16" t="str">
        <f t="shared" si="51"/>
        <v/>
      </c>
      <c r="J304" s="16" t="str">
        <f t="shared" si="52"/>
        <v/>
      </c>
      <c r="K304" s="18" t="str">
        <f t="shared" si="53"/>
        <v/>
      </c>
      <c r="L304" s="16" t="str">
        <f t="shared" si="54"/>
        <v/>
      </c>
      <c r="M304" s="16" t="str">
        <f t="shared" si="55"/>
        <v/>
      </c>
      <c r="N304" s="16" t="str">
        <f t="shared" si="56"/>
        <v/>
      </c>
      <c r="O304" s="16" t="str">
        <f t="shared" si="57"/>
        <v/>
      </c>
      <c r="P304" s="16" t="str">
        <f t="shared" si="58"/>
        <v/>
      </c>
      <c r="Q304" s="18" t="str">
        <f t="shared" si="59"/>
        <v/>
      </c>
      <c r="R304" s="19" t="str">
        <f>IF(C304="","",IF(ISNA(MATCH(B304,'Registru oferte'!$B$5:$B$504,0)),"Oferta nu există în registru",IF(N(F304)&lt;=0,"Lipsește cantitatea",IF(AND(ISNUMBER(Q304),Q304&lt;MarjaMin),"Marjă sub minim ("&amp;TEXT(Q304*100,"0")&amp;"%)",""))))</f>
        <v/>
      </c>
      <c r="S304" s="1" t="str">
        <f>IF(B304="","",B304&amp;"|"&amp;COUNTIF($B$5:B304,B304))</f>
        <v/>
      </c>
    </row>
    <row r="305" spans="2:19" x14ac:dyDescent="0.2">
      <c r="B305" s="11"/>
      <c r="C305" s="11"/>
      <c r="D305" s="10" t="str">
        <f t="shared" si="48"/>
        <v/>
      </c>
      <c r="E305" s="15" t="str">
        <f t="shared" si="49"/>
        <v/>
      </c>
      <c r="F305" s="11"/>
      <c r="G305" s="16" t="str">
        <f t="shared" si="50"/>
        <v/>
      </c>
      <c r="H305" s="17"/>
      <c r="I305" s="16" t="str">
        <f t="shared" si="51"/>
        <v/>
      </c>
      <c r="J305" s="16" t="str">
        <f t="shared" si="52"/>
        <v/>
      </c>
      <c r="K305" s="18" t="str">
        <f t="shared" si="53"/>
        <v/>
      </c>
      <c r="L305" s="16" t="str">
        <f t="shared" si="54"/>
        <v/>
      </c>
      <c r="M305" s="16" t="str">
        <f t="shared" si="55"/>
        <v/>
      </c>
      <c r="N305" s="16" t="str">
        <f t="shared" si="56"/>
        <v/>
      </c>
      <c r="O305" s="16" t="str">
        <f t="shared" si="57"/>
        <v/>
      </c>
      <c r="P305" s="16" t="str">
        <f t="shared" si="58"/>
        <v/>
      </c>
      <c r="Q305" s="18" t="str">
        <f t="shared" si="59"/>
        <v/>
      </c>
      <c r="R305" s="19" t="str">
        <f>IF(C305="","",IF(ISNA(MATCH(B305,'Registru oferte'!$B$5:$B$504,0)),"Oferta nu există în registru",IF(N(F305)&lt;=0,"Lipsește cantitatea",IF(AND(ISNUMBER(Q305),Q305&lt;MarjaMin),"Marjă sub minim ("&amp;TEXT(Q305*100,"0")&amp;"%)",""))))</f>
        <v/>
      </c>
      <c r="S305" s="1" t="str">
        <f>IF(B305="","",B305&amp;"|"&amp;COUNTIF($B$5:B305,B305))</f>
        <v/>
      </c>
    </row>
    <row r="306" spans="2:19" x14ac:dyDescent="0.2">
      <c r="B306" s="11"/>
      <c r="C306" s="11"/>
      <c r="D306" s="10" t="str">
        <f t="shared" si="48"/>
        <v/>
      </c>
      <c r="E306" s="15" t="str">
        <f t="shared" si="49"/>
        <v/>
      </c>
      <c r="F306" s="11"/>
      <c r="G306" s="16" t="str">
        <f t="shared" si="50"/>
        <v/>
      </c>
      <c r="H306" s="17"/>
      <c r="I306" s="16" t="str">
        <f t="shared" si="51"/>
        <v/>
      </c>
      <c r="J306" s="16" t="str">
        <f t="shared" si="52"/>
        <v/>
      </c>
      <c r="K306" s="18" t="str">
        <f t="shared" si="53"/>
        <v/>
      </c>
      <c r="L306" s="16" t="str">
        <f t="shared" si="54"/>
        <v/>
      </c>
      <c r="M306" s="16" t="str">
        <f t="shared" si="55"/>
        <v/>
      </c>
      <c r="N306" s="16" t="str">
        <f t="shared" si="56"/>
        <v/>
      </c>
      <c r="O306" s="16" t="str">
        <f t="shared" si="57"/>
        <v/>
      </c>
      <c r="P306" s="16" t="str">
        <f t="shared" si="58"/>
        <v/>
      </c>
      <c r="Q306" s="18" t="str">
        <f t="shared" si="59"/>
        <v/>
      </c>
      <c r="R306" s="19" t="str">
        <f>IF(C306="","",IF(ISNA(MATCH(B306,'Registru oferte'!$B$5:$B$504,0)),"Oferta nu există în registru",IF(N(F306)&lt;=0,"Lipsește cantitatea",IF(AND(ISNUMBER(Q306),Q306&lt;MarjaMin),"Marjă sub minim ("&amp;TEXT(Q306*100,"0")&amp;"%)",""))))</f>
        <v/>
      </c>
      <c r="S306" s="1" t="str">
        <f>IF(B306="","",B306&amp;"|"&amp;COUNTIF($B$5:B306,B306))</f>
        <v/>
      </c>
    </row>
    <row r="307" spans="2:19" x14ac:dyDescent="0.2">
      <c r="B307" s="11"/>
      <c r="C307" s="11"/>
      <c r="D307" s="10" t="str">
        <f t="shared" si="48"/>
        <v/>
      </c>
      <c r="E307" s="15" t="str">
        <f t="shared" si="49"/>
        <v/>
      </c>
      <c r="F307" s="11"/>
      <c r="G307" s="16" t="str">
        <f t="shared" si="50"/>
        <v/>
      </c>
      <c r="H307" s="17"/>
      <c r="I307" s="16" t="str">
        <f t="shared" si="51"/>
        <v/>
      </c>
      <c r="J307" s="16" t="str">
        <f t="shared" si="52"/>
        <v/>
      </c>
      <c r="K307" s="18" t="str">
        <f t="shared" si="53"/>
        <v/>
      </c>
      <c r="L307" s="16" t="str">
        <f t="shared" si="54"/>
        <v/>
      </c>
      <c r="M307" s="16" t="str">
        <f t="shared" si="55"/>
        <v/>
      </c>
      <c r="N307" s="16" t="str">
        <f t="shared" si="56"/>
        <v/>
      </c>
      <c r="O307" s="16" t="str">
        <f t="shared" si="57"/>
        <v/>
      </c>
      <c r="P307" s="16" t="str">
        <f t="shared" si="58"/>
        <v/>
      </c>
      <c r="Q307" s="18" t="str">
        <f t="shared" si="59"/>
        <v/>
      </c>
      <c r="R307" s="19" t="str">
        <f>IF(C307="","",IF(ISNA(MATCH(B307,'Registru oferte'!$B$5:$B$504,0)),"Oferta nu există în registru",IF(N(F307)&lt;=0,"Lipsește cantitatea",IF(AND(ISNUMBER(Q307),Q307&lt;MarjaMin),"Marjă sub minim ("&amp;TEXT(Q307*100,"0")&amp;"%)",""))))</f>
        <v/>
      </c>
      <c r="S307" s="1" t="str">
        <f>IF(B307="","",B307&amp;"|"&amp;COUNTIF($B$5:B307,B307))</f>
        <v/>
      </c>
    </row>
    <row r="308" spans="2:19" x14ac:dyDescent="0.2">
      <c r="B308" s="11"/>
      <c r="C308" s="11"/>
      <c r="D308" s="10" t="str">
        <f t="shared" si="48"/>
        <v/>
      </c>
      <c r="E308" s="15" t="str">
        <f t="shared" si="49"/>
        <v/>
      </c>
      <c r="F308" s="11"/>
      <c r="G308" s="16" t="str">
        <f t="shared" si="50"/>
        <v/>
      </c>
      <c r="H308" s="17"/>
      <c r="I308" s="16" t="str">
        <f t="shared" si="51"/>
        <v/>
      </c>
      <c r="J308" s="16" t="str">
        <f t="shared" si="52"/>
        <v/>
      </c>
      <c r="K308" s="18" t="str">
        <f t="shared" si="53"/>
        <v/>
      </c>
      <c r="L308" s="16" t="str">
        <f t="shared" si="54"/>
        <v/>
      </c>
      <c r="M308" s="16" t="str">
        <f t="shared" si="55"/>
        <v/>
      </c>
      <c r="N308" s="16" t="str">
        <f t="shared" si="56"/>
        <v/>
      </c>
      <c r="O308" s="16" t="str">
        <f t="shared" si="57"/>
        <v/>
      </c>
      <c r="P308" s="16" t="str">
        <f t="shared" si="58"/>
        <v/>
      </c>
      <c r="Q308" s="18" t="str">
        <f t="shared" si="59"/>
        <v/>
      </c>
      <c r="R308" s="19" t="str">
        <f>IF(C308="","",IF(ISNA(MATCH(B308,'Registru oferte'!$B$5:$B$504,0)),"Oferta nu există în registru",IF(N(F308)&lt;=0,"Lipsește cantitatea",IF(AND(ISNUMBER(Q308),Q308&lt;MarjaMin),"Marjă sub minim ("&amp;TEXT(Q308*100,"0")&amp;"%)",""))))</f>
        <v/>
      </c>
      <c r="S308" s="1" t="str">
        <f>IF(B308="","",B308&amp;"|"&amp;COUNTIF($B$5:B308,B308))</f>
        <v/>
      </c>
    </row>
    <row r="309" spans="2:19" x14ac:dyDescent="0.2">
      <c r="B309" s="11"/>
      <c r="C309" s="11"/>
      <c r="D309" s="10" t="str">
        <f t="shared" si="48"/>
        <v/>
      </c>
      <c r="E309" s="15" t="str">
        <f t="shared" si="49"/>
        <v/>
      </c>
      <c r="F309" s="11"/>
      <c r="G309" s="16" t="str">
        <f t="shared" si="50"/>
        <v/>
      </c>
      <c r="H309" s="17"/>
      <c r="I309" s="16" t="str">
        <f t="shared" si="51"/>
        <v/>
      </c>
      <c r="J309" s="16" t="str">
        <f t="shared" si="52"/>
        <v/>
      </c>
      <c r="K309" s="18" t="str">
        <f t="shared" si="53"/>
        <v/>
      </c>
      <c r="L309" s="16" t="str">
        <f t="shared" si="54"/>
        <v/>
      </c>
      <c r="M309" s="16" t="str">
        <f t="shared" si="55"/>
        <v/>
      </c>
      <c r="N309" s="16" t="str">
        <f t="shared" si="56"/>
        <v/>
      </c>
      <c r="O309" s="16" t="str">
        <f t="shared" si="57"/>
        <v/>
      </c>
      <c r="P309" s="16" t="str">
        <f t="shared" si="58"/>
        <v/>
      </c>
      <c r="Q309" s="18" t="str">
        <f t="shared" si="59"/>
        <v/>
      </c>
      <c r="R309" s="19" t="str">
        <f>IF(C309="","",IF(ISNA(MATCH(B309,'Registru oferte'!$B$5:$B$504,0)),"Oferta nu există în registru",IF(N(F309)&lt;=0,"Lipsește cantitatea",IF(AND(ISNUMBER(Q309),Q309&lt;MarjaMin),"Marjă sub minim ("&amp;TEXT(Q309*100,"0")&amp;"%)",""))))</f>
        <v/>
      </c>
      <c r="S309" s="1" t="str">
        <f>IF(B309="","",B309&amp;"|"&amp;COUNTIF($B$5:B309,B309))</f>
        <v/>
      </c>
    </row>
    <row r="310" spans="2:19" x14ac:dyDescent="0.2">
      <c r="B310" s="11"/>
      <c r="C310" s="11"/>
      <c r="D310" s="10" t="str">
        <f t="shared" si="48"/>
        <v/>
      </c>
      <c r="E310" s="15" t="str">
        <f t="shared" si="49"/>
        <v/>
      </c>
      <c r="F310" s="11"/>
      <c r="G310" s="16" t="str">
        <f t="shared" si="50"/>
        <v/>
      </c>
      <c r="H310" s="17"/>
      <c r="I310" s="16" t="str">
        <f t="shared" si="51"/>
        <v/>
      </c>
      <c r="J310" s="16" t="str">
        <f t="shared" si="52"/>
        <v/>
      </c>
      <c r="K310" s="18" t="str">
        <f t="shared" si="53"/>
        <v/>
      </c>
      <c r="L310" s="16" t="str">
        <f t="shared" si="54"/>
        <v/>
      </c>
      <c r="M310" s="16" t="str">
        <f t="shared" si="55"/>
        <v/>
      </c>
      <c r="N310" s="16" t="str">
        <f t="shared" si="56"/>
        <v/>
      </c>
      <c r="O310" s="16" t="str">
        <f t="shared" si="57"/>
        <v/>
      </c>
      <c r="P310" s="16" t="str">
        <f t="shared" si="58"/>
        <v/>
      </c>
      <c r="Q310" s="18" t="str">
        <f t="shared" si="59"/>
        <v/>
      </c>
      <c r="R310" s="19" t="str">
        <f>IF(C310="","",IF(ISNA(MATCH(B310,'Registru oferte'!$B$5:$B$504,0)),"Oferta nu există în registru",IF(N(F310)&lt;=0,"Lipsește cantitatea",IF(AND(ISNUMBER(Q310),Q310&lt;MarjaMin),"Marjă sub minim ("&amp;TEXT(Q310*100,"0")&amp;"%)",""))))</f>
        <v/>
      </c>
      <c r="S310" s="1" t="str">
        <f>IF(B310="","",B310&amp;"|"&amp;COUNTIF($B$5:B310,B310))</f>
        <v/>
      </c>
    </row>
    <row r="311" spans="2:19" x14ac:dyDescent="0.2">
      <c r="B311" s="11"/>
      <c r="C311" s="11"/>
      <c r="D311" s="10" t="str">
        <f t="shared" si="48"/>
        <v/>
      </c>
      <c r="E311" s="15" t="str">
        <f t="shared" si="49"/>
        <v/>
      </c>
      <c r="F311" s="11"/>
      <c r="G311" s="16" t="str">
        <f t="shared" si="50"/>
        <v/>
      </c>
      <c r="H311" s="17"/>
      <c r="I311" s="16" t="str">
        <f t="shared" si="51"/>
        <v/>
      </c>
      <c r="J311" s="16" t="str">
        <f t="shared" si="52"/>
        <v/>
      </c>
      <c r="K311" s="18" t="str">
        <f t="shared" si="53"/>
        <v/>
      </c>
      <c r="L311" s="16" t="str">
        <f t="shared" si="54"/>
        <v/>
      </c>
      <c r="M311" s="16" t="str">
        <f t="shared" si="55"/>
        <v/>
      </c>
      <c r="N311" s="16" t="str">
        <f t="shared" si="56"/>
        <v/>
      </c>
      <c r="O311" s="16" t="str">
        <f t="shared" si="57"/>
        <v/>
      </c>
      <c r="P311" s="16" t="str">
        <f t="shared" si="58"/>
        <v/>
      </c>
      <c r="Q311" s="18" t="str">
        <f t="shared" si="59"/>
        <v/>
      </c>
      <c r="R311" s="19" t="str">
        <f>IF(C311="","",IF(ISNA(MATCH(B311,'Registru oferte'!$B$5:$B$504,0)),"Oferta nu există în registru",IF(N(F311)&lt;=0,"Lipsește cantitatea",IF(AND(ISNUMBER(Q311),Q311&lt;MarjaMin),"Marjă sub minim ("&amp;TEXT(Q311*100,"0")&amp;"%)",""))))</f>
        <v/>
      </c>
      <c r="S311" s="1" t="str">
        <f>IF(B311="","",B311&amp;"|"&amp;COUNTIF($B$5:B311,B311))</f>
        <v/>
      </c>
    </row>
    <row r="312" spans="2:19" x14ac:dyDescent="0.2">
      <c r="B312" s="11"/>
      <c r="C312" s="11"/>
      <c r="D312" s="10" t="str">
        <f t="shared" si="48"/>
        <v/>
      </c>
      <c r="E312" s="15" t="str">
        <f t="shared" si="49"/>
        <v/>
      </c>
      <c r="F312" s="11"/>
      <c r="G312" s="16" t="str">
        <f t="shared" si="50"/>
        <v/>
      </c>
      <c r="H312" s="17"/>
      <c r="I312" s="16" t="str">
        <f t="shared" si="51"/>
        <v/>
      </c>
      <c r="J312" s="16" t="str">
        <f t="shared" si="52"/>
        <v/>
      </c>
      <c r="K312" s="18" t="str">
        <f t="shared" si="53"/>
        <v/>
      </c>
      <c r="L312" s="16" t="str">
        <f t="shared" si="54"/>
        <v/>
      </c>
      <c r="M312" s="16" t="str">
        <f t="shared" si="55"/>
        <v/>
      </c>
      <c r="N312" s="16" t="str">
        <f t="shared" si="56"/>
        <v/>
      </c>
      <c r="O312" s="16" t="str">
        <f t="shared" si="57"/>
        <v/>
      </c>
      <c r="P312" s="16" t="str">
        <f t="shared" si="58"/>
        <v/>
      </c>
      <c r="Q312" s="18" t="str">
        <f t="shared" si="59"/>
        <v/>
      </c>
      <c r="R312" s="19" t="str">
        <f>IF(C312="","",IF(ISNA(MATCH(B312,'Registru oferte'!$B$5:$B$504,0)),"Oferta nu există în registru",IF(N(F312)&lt;=0,"Lipsește cantitatea",IF(AND(ISNUMBER(Q312),Q312&lt;MarjaMin),"Marjă sub minim ("&amp;TEXT(Q312*100,"0")&amp;"%)",""))))</f>
        <v/>
      </c>
      <c r="S312" s="1" t="str">
        <f>IF(B312="","",B312&amp;"|"&amp;COUNTIF($B$5:B312,B312))</f>
        <v/>
      </c>
    </row>
    <row r="313" spans="2:19" x14ac:dyDescent="0.2">
      <c r="B313" s="11"/>
      <c r="C313" s="11"/>
      <c r="D313" s="10" t="str">
        <f t="shared" si="48"/>
        <v/>
      </c>
      <c r="E313" s="15" t="str">
        <f t="shared" si="49"/>
        <v/>
      </c>
      <c r="F313" s="11"/>
      <c r="G313" s="16" t="str">
        <f t="shared" si="50"/>
        <v/>
      </c>
      <c r="H313" s="17"/>
      <c r="I313" s="16" t="str">
        <f t="shared" si="51"/>
        <v/>
      </c>
      <c r="J313" s="16" t="str">
        <f t="shared" si="52"/>
        <v/>
      </c>
      <c r="K313" s="18" t="str">
        <f t="shared" si="53"/>
        <v/>
      </c>
      <c r="L313" s="16" t="str">
        <f t="shared" si="54"/>
        <v/>
      </c>
      <c r="M313" s="16" t="str">
        <f t="shared" si="55"/>
        <v/>
      </c>
      <c r="N313" s="16" t="str">
        <f t="shared" si="56"/>
        <v/>
      </c>
      <c r="O313" s="16" t="str">
        <f t="shared" si="57"/>
        <v/>
      </c>
      <c r="P313" s="16" t="str">
        <f t="shared" si="58"/>
        <v/>
      </c>
      <c r="Q313" s="18" t="str">
        <f t="shared" si="59"/>
        <v/>
      </c>
      <c r="R313" s="19" t="str">
        <f>IF(C313="","",IF(ISNA(MATCH(B313,'Registru oferte'!$B$5:$B$504,0)),"Oferta nu există în registru",IF(N(F313)&lt;=0,"Lipsește cantitatea",IF(AND(ISNUMBER(Q313),Q313&lt;MarjaMin),"Marjă sub minim ("&amp;TEXT(Q313*100,"0")&amp;"%)",""))))</f>
        <v/>
      </c>
      <c r="S313" s="1" t="str">
        <f>IF(B313="","",B313&amp;"|"&amp;COUNTIF($B$5:B313,B313))</f>
        <v/>
      </c>
    </row>
    <row r="314" spans="2:19" x14ac:dyDescent="0.2">
      <c r="B314" s="11"/>
      <c r="C314" s="11"/>
      <c r="D314" s="10" t="str">
        <f t="shared" si="48"/>
        <v/>
      </c>
      <c r="E314" s="15" t="str">
        <f t="shared" si="49"/>
        <v/>
      </c>
      <c r="F314" s="11"/>
      <c r="G314" s="16" t="str">
        <f t="shared" si="50"/>
        <v/>
      </c>
      <c r="H314" s="17"/>
      <c r="I314" s="16" t="str">
        <f t="shared" si="51"/>
        <v/>
      </c>
      <c r="J314" s="16" t="str">
        <f t="shared" si="52"/>
        <v/>
      </c>
      <c r="K314" s="18" t="str">
        <f t="shared" si="53"/>
        <v/>
      </c>
      <c r="L314" s="16" t="str">
        <f t="shared" si="54"/>
        <v/>
      </c>
      <c r="M314" s="16" t="str">
        <f t="shared" si="55"/>
        <v/>
      </c>
      <c r="N314" s="16" t="str">
        <f t="shared" si="56"/>
        <v/>
      </c>
      <c r="O314" s="16" t="str">
        <f t="shared" si="57"/>
        <v/>
      </c>
      <c r="P314" s="16" t="str">
        <f t="shared" si="58"/>
        <v/>
      </c>
      <c r="Q314" s="18" t="str">
        <f t="shared" si="59"/>
        <v/>
      </c>
      <c r="R314" s="19" t="str">
        <f>IF(C314="","",IF(ISNA(MATCH(B314,'Registru oferte'!$B$5:$B$504,0)),"Oferta nu există în registru",IF(N(F314)&lt;=0,"Lipsește cantitatea",IF(AND(ISNUMBER(Q314),Q314&lt;MarjaMin),"Marjă sub minim ("&amp;TEXT(Q314*100,"0")&amp;"%)",""))))</f>
        <v/>
      </c>
      <c r="S314" s="1" t="str">
        <f>IF(B314="","",B314&amp;"|"&amp;COUNTIF($B$5:B314,B314))</f>
        <v/>
      </c>
    </row>
    <row r="315" spans="2:19" x14ac:dyDescent="0.2">
      <c r="B315" s="11"/>
      <c r="C315" s="11"/>
      <c r="D315" s="10" t="str">
        <f t="shared" si="48"/>
        <v/>
      </c>
      <c r="E315" s="15" t="str">
        <f t="shared" si="49"/>
        <v/>
      </c>
      <c r="F315" s="11"/>
      <c r="G315" s="16" t="str">
        <f t="shared" si="50"/>
        <v/>
      </c>
      <c r="H315" s="17"/>
      <c r="I315" s="16" t="str">
        <f t="shared" si="51"/>
        <v/>
      </c>
      <c r="J315" s="16" t="str">
        <f t="shared" si="52"/>
        <v/>
      </c>
      <c r="K315" s="18" t="str">
        <f t="shared" si="53"/>
        <v/>
      </c>
      <c r="L315" s="16" t="str">
        <f t="shared" si="54"/>
        <v/>
      </c>
      <c r="M315" s="16" t="str">
        <f t="shared" si="55"/>
        <v/>
      </c>
      <c r="N315" s="16" t="str">
        <f t="shared" si="56"/>
        <v/>
      </c>
      <c r="O315" s="16" t="str">
        <f t="shared" si="57"/>
        <v/>
      </c>
      <c r="P315" s="16" t="str">
        <f t="shared" si="58"/>
        <v/>
      </c>
      <c r="Q315" s="18" t="str">
        <f t="shared" si="59"/>
        <v/>
      </c>
      <c r="R315" s="19" t="str">
        <f>IF(C315="","",IF(ISNA(MATCH(B315,'Registru oferte'!$B$5:$B$504,0)),"Oferta nu există în registru",IF(N(F315)&lt;=0,"Lipsește cantitatea",IF(AND(ISNUMBER(Q315),Q315&lt;MarjaMin),"Marjă sub minim ("&amp;TEXT(Q315*100,"0")&amp;"%)",""))))</f>
        <v/>
      </c>
      <c r="S315" s="1" t="str">
        <f>IF(B315="","",B315&amp;"|"&amp;COUNTIF($B$5:B315,B315))</f>
        <v/>
      </c>
    </row>
    <row r="316" spans="2:19" x14ac:dyDescent="0.2">
      <c r="B316" s="11"/>
      <c r="C316" s="11"/>
      <c r="D316" s="10" t="str">
        <f t="shared" si="48"/>
        <v/>
      </c>
      <c r="E316" s="15" t="str">
        <f t="shared" si="49"/>
        <v/>
      </c>
      <c r="F316" s="11"/>
      <c r="G316" s="16" t="str">
        <f t="shared" si="50"/>
        <v/>
      </c>
      <c r="H316" s="17"/>
      <c r="I316" s="16" t="str">
        <f t="shared" si="51"/>
        <v/>
      </c>
      <c r="J316" s="16" t="str">
        <f t="shared" si="52"/>
        <v/>
      </c>
      <c r="K316" s="18" t="str">
        <f t="shared" si="53"/>
        <v/>
      </c>
      <c r="L316" s="16" t="str">
        <f t="shared" si="54"/>
        <v/>
      </c>
      <c r="M316" s="16" t="str">
        <f t="shared" si="55"/>
        <v/>
      </c>
      <c r="N316" s="16" t="str">
        <f t="shared" si="56"/>
        <v/>
      </c>
      <c r="O316" s="16" t="str">
        <f t="shared" si="57"/>
        <v/>
      </c>
      <c r="P316" s="16" t="str">
        <f t="shared" si="58"/>
        <v/>
      </c>
      <c r="Q316" s="18" t="str">
        <f t="shared" si="59"/>
        <v/>
      </c>
      <c r="R316" s="19" t="str">
        <f>IF(C316="","",IF(ISNA(MATCH(B316,'Registru oferte'!$B$5:$B$504,0)),"Oferta nu există în registru",IF(N(F316)&lt;=0,"Lipsește cantitatea",IF(AND(ISNUMBER(Q316),Q316&lt;MarjaMin),"Marjă sub minim ("&amp;TEXT(Q316*100,"0")&amp;"%)",""))))</f>
        <v/>
      </c>
      <c r="S316" s="1" t="str">
        <f>IF(B316="","",B316&amp;"|"&amp;COUNTIF($B$5:B316,B316))</f>
        <v/>
      </c>
    </row>
    <row r="317" spans="2:19" x14ac:dyDescent="0.2">
      <c r="B317" s="11"/>
      <c r="C317" s="11"/>
      <c r="D317" s="10" t="str">
        <f t="shared" si="48"/>
        <v/>
      </c>
      <c r="E317" s="15" t="str">
        <f t="shared" si="49"/>
        <v/>
      </c>
      <c r="F317" s="11"/>
      <c r="G317" s="16" t="str">
        <f t="shared" si="50"/>
        <v/>
      </c>
      <c r="H317" s="17"/>
      <c r="I317" s="16" t="str">
        <f t="shared" si="51"/>
        <v/>
      </c>
      <c r="J317" s="16" t="str">
        <f t="shared" si="52"/>
        <v/>
      </c>
      <c r="K317" s="18" t="str">
        <f t="shared" si="53"/>
        <v/>
      </c>
      <c r="L317" s="16" t="str">
        <f t="shared" si="54"/>
        <v/>
      </c>
      <c r="M317" s="16" t="str">
        <f t="shared" si="55"/>
        <v/>
      </c>
      <c r="N317" s="16" t="str">
        <f t="shared" si="56"/>
        <v/>
      </c>
      <c r="O317" s="16" t="str">
        <f t="shared" si="57"/>
        <v/>
      </c>
      <c r="P317" s="16" t="str">
        <f t="shared" si="58"/>
        <v/>
      </c>
      <c r="Q317" s="18" t="str">
        <f t="shared" si="59"/>
        <v/>
      </c>
      <c r="R317" s="19" t="str">
        <f>IF(C317="","",IF(ISNA(MATCH(B317,'Registru oferte'!$B$5:$B$504,0)),"Oferta nu există în registru",IF(N(F317)&lt;=0,"Lipsește cantitatea",IF(AND(ISNUMBER(Q317),Q317&lt;MarjaMin),"Marjă sub minim ("&amp;TEXT(Q317*100,"0")&amp;"%)",""))))</f>
        <v/>
      </c>
      <c r="S317" s="1" t="str">
        <f>IF(B317="","",B317&amp;"|"&amp;COUNTIF($B$5:B317,B317))</f>
        <v/>
      </c>
    </row>
    <row r="318" spans="2:19" x14ac:dyDescent="0.2">
      <c r="B318" s="11"/>
      <c r="C318" s="11"/>
      <c r="D318" s="10" t="str">
        <f t="shared" si="48"/>
        <v/>
      </c>
      <c r="E318" s="15" t="str">
        <f t="shared" si="49"/>
        <v/>
      </c>
      <c r="F318" s="11"/>
      <c r="G318" s="16" t="str">
        <f t="shared" si="50"/>
        <v/>
      </c>
      <c r="H318" s="17"/>
      <c r="I318" s="16" t="str">
        <f t="shared" si="51"/>
        <v/>
      </c>
      <c r="J318" s="16" t="str">
        <f t="shared" si="52"/>
        <v/>
      </c>
      <c r="K318" s="18" t="str">
        <f t="shared" si="53"/>
        <v/>
      </c>
      <c r="L318" s="16" t="str">
        <f t="shared" si="54"/>
        <v/>
      </c>
      <c r="M318" s="16" t="str">
        <f t="shared" si="55"/>
        <v/>
      </c>
      <c r="N318" s="16" t="str">
        <f t="shared" si="56"/>
        <v/>
      </c>
      <c r="O318" s="16" t="str">
        <f t="shared" si="57"/>
        <v/>
      </c>
      <c r="P318" s="16" t="str">
        <f t="shared" si="58"/>
        <v/>
      </c>
      <c r="Q318" s="18" t="str">
        <f t="shared" si="59"/>
        <v/>
      </c>
      <c r="R318" s="19" t="str">
        <f>IF(C318="","",IF(ISNA(MATCH(B318,'Registru oferte'!$B$5:$B$504,0)),"Oferta nu există în registru",IF(N(F318)&lt;=0,"Lipsește cantitatea",IF(AND(ISNUMBER(Q318),Q318&lt;MarjaMin),"Marjă sub minim ("&amp;TEXT(Q318*100,"0")&amp;"%)",""))))</f>
        <v/>
      </c>
      <c r="S318" s="1" t="str">
        <f>IF(B318="","",B318&amp;"|"&amp;COUNTIF($B$5:B318,B318))</f>
        <v/>
      </c>
    </row>
    <row r="319" spans="2:19" x14ac:dyDescent="0.2">
      <c r="B319" s="11"/>
      <c r="C319" s="11"/>
      <c r="D319" s="10" t="str">
        <f t="shared" si="48"/>
        <v/>
      </c>
      <c r="E319" s="15" t="str">
        <f t="shared" si="49"/>
        <v/>
      </c>
      <c r="F319" s="11"/>
      <c r="G319" s="16" t="str">
        <f t="shared" si="50"/>
        <v/>
      </c>
      <c r="H319" s="17"/>
      <c r="I319" s="16" t="str">
        <f t="shared" si="51"/>
        <v/>
      </c>
      <c r="J319" s="16" t="str">
        <f t="shared" si="52"/>
        <v/>
      </c>
      <c r="K319" s="18" t="str">
        <f t="shared" si="53"/>
        <v/>
      </c>
      <c r="L319" s="16" t="str">
        <f t="shared" si="54"/>
        <v/>
      </c>
      <c r="M319" s="16" t="str">
        <f t="shared" si="55"/>
        <v/>
      </c>
      <c r="N319" s="16" t="str">
        <f t="shared" si="56"/>
        <v/>
      </c>
      <c r="O319" s="16" t="str">
        <f t="shared" si="57"/>
        <v/>
      </c>
      <c r="P319" s="16" t="str">
        <f t="shared" si="58"/>
        <v/>
      </c>
      <c r="Q319" s="18" t="str">
        <f t="shared" si="59"/>
        <v/>
      </c>
      <c r="R319" s="19" t="str">
        <f>IF(C319="","",IF(ISNA(MATCH(B319,'Registru oferte'!$B$5:$B$504,0)),"Oferta nu există în registru",IF(N(F319)&lt;=0,"Lipsește cantitatea",IF(AND(ISNUMBER(Q319),Q319&lt;MarjaMin),"Marjă sub minim ("&amp;TEXT(Q319*100,"0")&amp;"%)",""))))</f>
        <v/>
      </c>
      <c r="S319" s="1" t="str">
        <f>IF(B319="","",B319&amp;"|"&amp;COUNTIF($B$5:B319,B319))</f>
        <v/>
      </c>
    </row>
    <row r="320" spans="2:19" x14ac:dyDescent="0.2">
      <c r="B320" s="11"/>
      <c r="C320" s="11"/>
      <c r="D320" s="10" t="str">
        <f t="shared" si="48"/>
        <v/>
      </c>
      <c r="E320" s="15" t="str">
        <f t="shared" si="49"/>
        <v/>
      </c>
      <c r="F320" s="11"/>
      <c r="G320" s="16" t="str">
        <f t="shared" si="50"/>
        <v/>
      </c>
      <c r="H320" s="17"/>
      <c r="I320" s="16" t="str">
        <f t="shared" si="51"/>
        <v/>
      </c>
      <c r="J320" s="16" t="str">
        <f t="shared" si="52"/>
        <v/>
      </c>
      <c r="K320" s="18" t="str">
        <f t="shared" si="53"/>
        <v/>
      </c>
      <c r="L320" s="16" t="str">
        <f t="shared" si="54"/>
        <v/>
      </c>
      <c r="M320" s="16" t="str">
        <f t="shared" si="55"/>
        <v/>
      </c>
      <c r="N320" s="16" t="str">
        <f t="shared" si="56"/>
        <v/>
      </c>
      <c r="O320" s="16" t="str">
        <f t="shared" si="57"/>
        <v/>
      </c>
      <c r="P320" s="16" t="str">
        <f t="shared" si="58"/>
        <v/>
      </c>
      <c r="Q320" s="18" t="str">
        <f t="shared" si="59"/>
        <v/>
      </c>
      <c r="R320" s="19" t="str">
        <f>IF(C320="","",IF(ISNA(MATCH(B320,'Registru oferte'!$B$5:$B$504,0)),"Oferta nu există în registru",IF(N(F320)&lt;=0,"Lipsește cantitatea",IF(AND(ISNUMBER(Q320),Q320&lt;MarjaMin),"Marjă sub minim ("&amp;TEXT(Q320*100,"0")&amp;"%)",""))))</f>
        <v/>
      </c>
      <c r="S320" s="1" t="str">
        <f>IF(B320="","",B320&amp;"|"&amp;COUNTIF($B$5:B320,B320))</f>
        <v/>
      </c>
    </row>
    <row r="321" spans="2:19" x14ac:dyDescent="0.2">
      <c r="B321" s="11"/>
      <c r="C321" s="11"/>
      <c r="D321" s="10" t="str">
        <f t="shared" si="48"/>
        <v/>
      </c>
      <c r="E321" s="15" t="str">
        <f t="shared" si="49"/>
        <v/>
      </c>
      <c r="F321" s="11"/>
      <c r="G321" s="16" t="str">
        <f t="shared" si="50"/>
        <v/>
      </c>
      <c r="H321" s="17"/>
      <c r="I321" s="16" t="str">
        <f t="shared" si="51"/>
        <v/>
      </c>
      <c r="J321" s="16" t="str">
        <f t="shared" si="52"/>
        <v/>
      </c>
      <c r="K321" s="18" t="str">
        <f t="shared" si="53"/>
        <v/>
      </c>
      <c r="L321" s="16" t="str">
        <f t="shared" si="54"/>
        <v/>
      </c>
      <c r="M321" s="16" t="str">
        <f t="shared" si="55"/>
        <v/>
      </c>
      <c r="N321" s="16" t="str">
        <f t="shared" si="56"/>
        <v/>
      </c>
      <c r="O321" s="16" t="str">
        <f t="shared" si="57"/>
        <v/>
      </c>
      <c r="P321" s="16" t="str">
        <f t="shared" si="58"/>
        <v/>
      </c>
      <c r="Q321" s="18" t="str">
        <f t="shared" si="59"/>
        <v/>
      </c>
      <c r="R321" s="19" t="str">
        <f>IF(C321="","",IF(ISNA(MATCH(B321,'Registru oferte'!$B$5:$B$504,0)),"Oferta nu există în registru",IF(N(F321)&lt;=0,"Lipsește cantitatea",IF(AND(ISNUMBER(Q321),Q321&lt;MarjaMin),"Marjă sub minim ("&amp;TEXT(Q321*100,"0")&amp;"%)",""))))</f>
        <v/>
      </c>
      <c r="S321" s="1" t="str">
        <f>IF(B321="","",B321&amp;"|"&amp;COUNTIF($B$5:B321,B321))</f>
        <v/>
      </c>
    </row>
    <row r="322" spans="2:19" x14ac:dyDescent="0.2">
      <c r="B322" s="11"/>
      <c r="C322" s="11"/>
      <c r="D322" s="10" t="str">
        <f t="shared" si="48"/>
        <v/>
      </c>
      <c r="E322" s="15" t="str">
        <f t="shared" si="49"/>
        <v/>
      </c>
      <c r="F322" s="11"/>
      <c r="G322" s="16" t="str">
        <f t="shared" si="50"/>
        <v/>
      </c>
      <c r="H322" s="17"/>
      <c r="I322" s="16" t="str">
        <f t="shared" si="51"/>
        <v/>
      </c>
      <c r="J322" s="16" t="str">
        <f t="shared" si="52"/>
        <v/>
      </c>
      <c r="K322" s="18" t="str">
        <f t="shared" si="53"/>
        <v/>
      </c>
      <c r="L322" s="16" t="str">
        <f t="shared" si="54"/>
        <v/>
      </c>
      <c r="M322" s="16" t="str">
        <f t="shared" si="55"/>
        <v/>
      </c>
      <c r="N322" s="16" t="str">
        <f t="shared" si="56"/>
        <v/>
      </c>
      <c r="O322" s="16" t="str">
        <f t="shared" si="57"/>
        <v/>
      </c>
      <c r="P322" s="16" t="str">
        <f t="shared" si="58"/>
        <v/>
      </c>
      <c r="Q322" s="18" t="str">
        <f t="shared" si="59"/>
        <v/>
      </c>
      <c r="R322" s="19" t="str">
        <f>IF(C322="","",IF(ISNA(MATCH(B322,'Registru oferte'!$B$5:$B$504,0)),"Oferta nu există în registru",IF(N(F322)&lt;=0,"Lipsește cantitatea",IF(AND(ISNUMBER(Q322),Q322&lt;MarjaMin),"Marjă sub minim ("&amp;TEXT(Q322*100,"0")&amp;"%)",""))))</f>
        <v/>
      </c>
      <c r="S322" s="1" t="str">
        <f>IF(B322="","",B322&amp;"|"&amp;COUNTIF($B$5:B322,B322))</f>
        <v/>
      </c>
    </row>
    <row r="323" spans="2:19" x14ac:dyDescent="0.2">
      <c r="B323" s="11"/>
      <c r="C323" s="11"/>
      <c r="D323" s="10" t="str">
        <f t="shared" si="48"/>
        <v/>
      </c>
      <c r="E323" s="15" t="str">
        <f t="shared" si="49"/>
        <v/>
      </c>
      <c r="F323" s="11"/>
      <c r="G323" s="16" t="str">
        <f t="shared" si="50"/>
        <v/>
      </c>
      <c r="H323" s="17"/>
      <c r="I323" s="16" t="str">
        <f t="shared" si="51"/>
        <v/>
      </c>
      <c r="J323" s="16" t="str">
        <f t="shared" si="52"/>
        <v/>
      </c>
      <c r="K323" s="18" t="str">
        <f t="shared" si="53"/>
        <v/>
      </c>
      <c r="L323" s="16" t="str">
        <f t="shared" si="54"/>
        <v/>
      </c>
      <c r="M323" s="16" t="str">
        <f t="shared" si="55"/>
        <v/>
      </c>
      <c r="N323" s="16" t="str">
        <f t="shared" si="56"/>
        <v/>
      </c>
      <c r="O323" s="16" t="str">
        <f t="shared" si="57"/>
        <v/>
      </c>
      <c r="P323" s="16" t="str">
        <f t="shared" si="58"/>
        <v/>
      </c>
      <c r="Q323" s="18" t="str">
        <f t="shared" si="59"/>
        <v/>
      </c>
      <c r="R323" s="19" t="str">
        <f>IF(C323="","",IF(ISNA(MATCH(B323,'Registru oferte'!$B$5:$B$504,0)),"Oferta nu există în registru",IF(N(F323)&lt;=0,"Lipsește cantitatea",IF(AND(ISNUMBER(Q323),Q323&lt;MarjaMin),"Marjă sub minim ("&amp;TEXT(Q323*100,"0")&amp;"%)",""))))</f>
        <v/>
      </c>
      <c r="S323" s="1" t="str">
        <f>IF(B323="","",B323&amp;"|"&amp;COUNTIF($B$5:B323,B323))</f>
        <v/>
      </c>
    </row>
    <row r="324" spans="2:19" x14ac:dyDescent="0.2">
      <c r="B324" s="11"/>
      <c r="C324" s="11"/>
      <c r="D324" s="10" t="str">
        <f t="shared" si="48"/>
        <v/>
      </c>
      <c r="E324" s="15" t="str">
        <f t="shared" si="49"/>
        <v/>
      </c>
      <c r="F324" s="11"/>
      <c r="G324" s="16" t="str">
        <f t="shared" si="50"/>
        <v/>
      </c>
      <c r="H324" s="17"/>
      <c r="I324" s="16" t="str">
        <f t="shared" si="51"/>
        <v/>
      </c>
      <c r="J324" s="16" t="str">
        <f t="shared" si="52"/>
        <v/>
      </c>
      <c r="K324" s="18" t="str">
        <f t="shared" si="53"/>
        <v/>
      </c>
      <c r="L324" s="16" t="str">
        <f t="shared" si="54"/>
        <v/>
      </c>
      <c r="M324" s="16" t="str">
        <f t="shared" si="55"/>
        <v/>
      </c>
      <c r="N324" s="16" t="str">
        <f t="shared" si="56"/>
        <v/>
      </c>
      <c r="O324" s="16" t="str">
        <f t="shared" si="57"/>
        <v/>
      </c>
      <c r="P324" s="16" t="str">
        <f t="shared" si="58"/>
        <v/>
      </c>
      <c r="Q324" s="18" t="str">
        <f t="shared" si="59"/>
        <v/>
      </c>
      <c r="R324" s="19" t="str">
        <f>IF(C324="","",IF(ISNA(MATCH(B324,'Registru oferte'!$B$5:$B$504,0)),"Oferta nu există în registru",IF(N(F324)&lt;=0,"Lipsește cantitatea",IF(AND(ISNUMBER(Q324),Q324&lt;MarjaMin),"Marjă sub minim ("&amp;TEXT(Q324*100,"0")&amp;"%)",""))))</f>
        <v/>
      </c>
      <c r="S324" s="1" t="str">
        <f>IF(B324="","",B324&amp;"|"&amp;COUNTIF($B$5:B324,B324))</f>
        <v/>
      </c>
    </row>
    <row r="325" spans="2:19" x14ac:dyDescent="0.2">
      <c r="B325" s="11"/>
      <c r="C325" s="11"/>
      <c r="D325" s="10" t="str">
        <f t="shared" ref="D325:D388" si="60">IF(C325="","",IFERROR(VLOOKUP(C325,TabCat,2,FALSE),"Cod inexistent"))</f>
        <v/>
      </c>
      <c r="E325" s="15" t="str">
        <f t="shared" ref="E325:E388" si="61">IF(C325="","",IFERROR(VLOOKUP(C325,TabCat,3,FALSE),""))</f>
        <v/>
      </c>
      <c r="F325" s="11"/>
      <c r="G325" s="16" t="str">
        <f t="shared" ref="G325:G388" si="62">IF(C325="","",IFERROR(VLOOKUP(C325,TabCat,4,FALSE),0))</f>
        <v/>
      </c>
      <c r="H325" s="17"/>
      <c r="I325" s="16" t="str">
        <f t="shared" ref="I325:I388" si="63">IF(C325="","",ROUND(G325*(1-N(H325)),2))</f>
        <v/>
      </c>
      <c r="J325" s="16" t="str">
        <f t="shared" ref="J325:J388" si="64">IF(C325="","",ROUND(I325*N(F325),2))</f>
        <v/>
      </c>
      <c r="K325" s="18" t="str">
        <f t="shared" ref="K325:K388" si="65">IF(C325="","",IFERROR(VLOOKUP(C325,TabCat,6,FALSE),0))</f>
        <v/>
      </c>
      <c r="L325" s="16" t="str">
        <f t="shared" ref="L325:L388" si="66">IF(C325="","",ROUND(J325*K325,2))</f>
        <v/>
      </c>
      <c r="M325" s="16" t="str">
        <f t="shared" ref="M325:M388" si="67">IF(C325="","",J325+L325)</f>
        <v/>
      </c>
      <c r="N325" s="16" t="str">
        <f t="shared" ref="N325:N388" si="68">IF(C325="","",IFERROR(VLOOKUP(C325,TabCat,5,FALSE),0))</f>
        <v/>
      </c>
      <c r="O325" s="16" t="str">
        <f t="shared" ref="O325:O388" si="69">IF(C325="","",ROUND(N325*N(F325),2))</f>
        <v/>
      </c>
      <c r="P325" s="16" t="str">
        <f t="shared" ref="P325:P388" si="70">IF(C325="","",J325-O325)</f>
        <v/>
      </c>
      <c r="Q325" s="18" t="str">
        <f t="shared" ref="Q325:Q388" si="71">IF(OR(C325="",N(J325)=0),"",P325/J325)</f>
        <v/>
      </c>
      <c r="R325" s="19" t="str">
        <f>IF(C325="","",IF(ISNA(MATCH(B325,'Registru oferte'!$B$5:$B$504,0)),"Oferta nu există în registru",IF(N(F325)&lt;=0,"Lipsește cantitatea",IF(AND(ISNUMBER(Q325),Q325&lt;MarjaMin),"Marjă sub minim ("&amp;TEXT(Q325*100,"0")&amp;"%)",""))))</f>
        <v/>
      </c>
      <c r="S325" s="1" t="str">
        <f>IF(B325="","",B325&amp;"|"&amp;COUNTIF($B$5:B325,B325))</f>
        <v/>
      </c>
    </row>
    <row r="326" spans="2:19" x14ac:dyDescent="0.2">
      <c r="B326" s="11"/>
      <c r="C326" s="11"/>
      <c r="D326" s="10" t="str">
        <f t="shared" si="60"/>
        <v/>
      </c>
      <c r="E326" s="15" t="str">
        <f t="shared" si="61"/>
        <v/>
      </c>
      <c r="F326" s="11"/>
      <c r="G326" s="16" t="str">
        <f t="shared" si="62"/>
        <v/>
      </c>
      <c r="H326" s="17"/>
      <c r="I326" s="16" t="str">
        <f t="shared" si="63"/>
        <v/>
      </c>
      <c r="J326" s="16" t="str">
        <f t="shared" si="64"/>
        <v/>
      </c>
      <c r="K326" s="18" t="str">
        <f t="shared" si="65"/>
        <v/>
      </c>
      <c r="L326" s="16" t="str">
        <f t="shared" si="66"/>
        <v/>
      </c>
      <c r="M326" s="16" t="str">
        <f t="shared" si="67"/>
        <v/>
      </c>
      <c r="N326" s="16" t="str">
        <f t="shared" si="68"/>
        <v/>
      </c>
      <c r="O326" s="16" t="str">
        <f t="shared" si="69"/>
        <v/>
      </c>
      <c r="P326" s="16" t="str">
        <f t="shared" si="70"/>
        <v/>
      </c>
      <c r="Q326" s="18" t="str">
        <f t="shared" si="71"/>
        <v/>
      </c>
      <c r="R326" s="19" t="str">
        <f>IF(C326="","",IF(ISNA(MATCH(B326,'Registru oferte'!$B$5:$B$504,0)),"Oferta nu există în registru",IF(N(F326)&lt;=0,"Lipsește cantitatea",IF(AND(ISNUMBER(Q326),Q326&lt;MarjaMin),"Marjă sub minim ("&amp;TEXT(Q326*100,"0")&amp;"%)",""))))</f>
        <v/>
      </c>
      <c r="S326" s="1" t="str">
        <f>IF(B326="","",B326&amp;"|"&amp;COUNTIF($B$5:B326,B326))</f>
        <v/>
      </c>
    </row>
    <row r="327" spans="2:19" x14ac:dyDescent="0.2">
      <c r="B327" s="11"/>
      <c r="C327" s="11"/>
      <c r="D327" s="10" t="str">
        <f t="shared" si="60"/>
        <v/>
      </c>
      <c r="E327" s="15" t="str">
        <f t="shared" si="61"/>
        <v/>
      </c>
      <c r="F327" s="11"/>
      <c r="G327" s="16" t="str">
        <f t="shared" si="62"/>
        <v/>
      </c>
      <c r="H327" s="17"/>
      <c r="I327" s="16" t="str">
        <f t="shared" si="63"/>
        <v/>
      </c>
      <c r="J327" s="16" t="str">
        <f t="shared" si="64"/>
        <v/>
      </c>
      <c r="K327" s="18" t="str">
        <f t="shared" si="65"/>
        <v/>
      </c>
      <c r="L327" s="16" t="str">
        <f t="shared" si="66"/>
        <v/>
      </c>
      <c r="M327" s="16" t="str">
        <f t="shared" si="67"/>
        <v/>
      </c>
      <c r="N327" s="16" t="str">
        <f t="shared" si="68"/>
        <v/>
      </c>
      <c r="O327" s="16" t="str">
        <f t="shared" si="69"/>
        <v/>
      </c>
      <c r="P327" s="16" t="str">
        <f t="shared" si="70"/>
        <v/>
      </c>
      <c r="Q327" s="18" t="str">
        <f t="shared" si="71"/>
        <v/>
      </c>
      <c r="R327" s="19" t="str">
        <f>IF(C327="","",IF(ISNA(MATCH(B327,'Registru oferte'!$B$5:$B$504,0)),"Oferta nu există în registru",IF(N(F327)&lt;=0,"Lipsește cantitatea",IF(AND(ISNUMBER(Q327),Q327&lt;MarjaMin),"Marjă sub minim ("&amp;TEXT(Q327*100,"0")&amp;"%)",""))))</f>
        <v/>
      </c>
      <c r="S327" s="1" t="str">
        <f>IF(B327="","",B327&amp;"|"&amp;COUNTIF($B$5:B327,B327))</f>
        <v/>
      </c>
    </row>
    <row r="328" spans="2:19" x14ac:dyDescent="0.2">
      <c r="B328" s="11"/>
      <c r="C328" s="11"/>
      <c r="D328" s="10" t="str">
        <f t="shared" si="60"/>
        <v/>
      </c>
      <c r="E328" s="15" t="str">
        <f t="shared" si="61"/>
        <v/>
      </c>
      <c r="F328" s="11"/>
      <c r="G328" s="16" t="str">
        <f t="shared" si="62"/>
        <v/>
      </c>
      <c r="H328" s="17"/>
      <c r="I328" s="16" t="str">
        <f t="shared" si="63"/>
        <v/>
      </c>
      <c r="J328" s="16" t="str">
        <f t="shared" si="64"/>
        <v/>
      </c>
      <c r="K328" s="18" t="str">
        <f t="shared" si="65"/>
        <v/>
      </c>
      <c r="L328" s="16" t="str">
        <f t="shared" si="66"/>
        <v/>
      </c>
      <c r="M328" s="16" t="str">
        <f t="shared" si="67"/>
        <v/>
      </c>
      <c r="N328" s="16" t="str">
        <f t="shared" si="68"/>
        <v/>
      </c>
      <c r="O328" s="16" t="str">
        <f t="shared" si="69"/>
        <v/>
      </c>
      <c r="P328" s="16" t="str">
        <f t="shared" si="70"/>
        <v/>
      </c>
      <c r="Q328" s="18" t="str">
        <f t="shared" si="71"/>
        <v/>
      </c>
      <c r="R328" s="19" t="str">
        <f>IF(C328="","",IF(ISNA(MATCH(B328,'Registru oferte'!$B$5:$B$504,0)),"Oferta nu există în registru",IF(N(F328)&lt;=0,"Lipsește cantitatea",IF(AND(ISNUMBER(Q328),Q328&lt;MarjaMin),"Marjă sub minim ("&amp;TEXT(Q328*100,"0")&amp;"%)",""))))</f>
        <v/>
      </c>
      <c r="S328" s="1" t="str">
        <f>IF(B328="","",B328&amp;"|"&amp;COUNTIF($B$5:B328,B328))</f>
        <v/>
      </c>
    </row>
    <row r="329" spans="2:19" x14ac:dyDescent="0.2">
      <c r="B329" s="11"/>
      <c r="C329" s="11"/>
      <c r="D329" s="10" t="str">
        <f t="shared" si="60"/>
        <v/>
      </c>
      <c r="E329" s="15" t="str">
        <f t="shared" si="61"/>
        <v/>
      </c>
      <c r="F329" s="11"/>
      <c r="G329" s="16" t="str">
        <f t="shared" si="62"/>
        <v/>
      </c>
      <c r="H329" s="17"/>
      <c r="I329" s="16" t="str">
        <f t="shared" si="63"/>
        <v/>
      </c>
      <c r="J329" s="16" t="str">
        <f t="shared" si="64"/>
        <v/>
      </c>
      <c r="K329" s="18" t="str">
        <f t="shared" si="65"/>
        <v/>
      </c>
      <c r="L329" s="16" t="str">
        <f t="shared" si="66"/>
        <v/>
      </c>
      <c r="M329" s="16" t="str">
        <f t="shared" si="67"/>
        <v/>
      </c>
      <c r="N329" s="16" t="str">
        <f t="shared" si="68"/>
        <v/>
      </c>
      <c r="O329" s="16" t="str">
        <f t="shared" si="69"/>
        <v/>
      </c>
      <c r="P329" s="16" t="str">
        <f t="shared" si="70"/>
        <v/>
      </c>
      <c r="Q329" s="18" t="str">
        <f t="shared" si="71"/>
        <v/>
      </c>
      <c r="R329" s="19" t="str">
        <f>IF(C329="","",IF(ISNA(MATCH(B329,'Registru oferte'!$B$5:$B$504,0)),"Oferta nu există în registru",IF(N(F329)&lt;=0,"Lipsește cantitatea",IF(AND(ISNUMBER(Q329),Q329&lt;MarjaMin),"Marjă sub minim ("&amp;TEXT(Q329*100,"0")&amp;"%)",""))))</f>
        <v/>
      </c>
      <c r="S329" s="1" t="str">
        <f>IF(B329="","",B329&amp;"|"&amp;COUNTIF($B$5:B329,B329))</f>
        <v/>
      </c>
    </row>
    <row r="330" spans="2:19" x14ac:dyDescent="0.2">
      <c r="B330" s="11"/>
      <c r="C330" s="11"/>
      <c r="D330" s="10" t="str">
        <f t="shared" si="60"/>
        <v/>
      </c>
      <c r="E330" s="15" t="str">
        <f t="shared" si="61"/>
        <v/>
      </c>
      <c r="F330" s="11"/>
      <c r="G330" s="16" t="str">
        <f t="shared" si="62"/>
        <v/>
      </c>
      <c r="H330" s="17"/>
      <c r="I330" s="16" t="str">
        <f t="shared" si="63"/>
        <v/>
      </c>
      <c r="J330" s="16" t="str">
        <f t="shared" si="64"/>
        <v/>
      </c>
      <c r="K330" s="18" t="str">
        <f t="shared" si="65"/>
        <v/>
      </c>
      <c r="L330" s="16" t="str">
        <f t="shared" si="66"/>
        <v/>
      </c>
      <c r="M330" s="16" t="str">
        <f t="shared" si="67"/>
        <v/>
      </c>
      <c r="N330" s="16" t="str">
        <f t="shared" si="68"/>
        <v/>
      </c>
      <c r="O330" s="16" t="str">
        <f t="shared" si="69"/>
        <v/>
      </c>
      <c r="P330" s="16" t="str">
        <f t="shared" si="70"/>
        <v/>
      </c>
      <c r="Q330" s="18" t="str">
        <f t="shared" si="71"/>
        <v/>
      </c>
      <c r="R330" s="19" t="str">
        <f>IF(C330="","",IF(ISNA(MATCH(B330,'Registru oferte'!$B$5:$B$504,0)),"Oferta nu există în registru",IF(N(F330)&lt;=0,"Lipsește cantitatea",IF(AND(ISNUMBER(Q330),Q330&lt;MarjaMin),"Marjă sub minim ("&amp;TEXT(Q330*100,"0")&amp;"%)",""))))</f>
        <v/>
      </c>
      <c r="S330" s="1" t="str">
        <f>IF(B330="","",B330&amp;"|"&amp;COUNTIF($B$5:B330,B330))</f>
        <v/>
      </c>
    </row>
    <row r="331" spans="2:19" x14ac:dyDescent="0.2">
      <c r="B331" s="11"/>
      <c r="C331" s="11"/>
      <c r="D331" s="10" t="str">
        <f t="shared" si="60"/>
        <v/>
      </c>
      <c r="E331" s="15" t="str">
        <f t="shared" si="61"/>
        <v/>
      </c>
      <c r="F331" s="11"/>
      <c r="G331" s="16" t="str">
        <f t="shared" si="62"/>
        <v/>
      </c>
      <c r="H331" s="17"/>
      <c r="I331" s="16" t="str">
        <f t="shared" si="63"/>
        <v/>
      </c>
      <c r="J331" s="16" t="str">
        <f t="shared" si="64"/>
        <v/>
      </c>
      <c r="K331" s="18" t="str">
        <f t="shared" si="65"/>
        <v/>
      </c>
      <c r="L331" s="16" t="str">
        <f t="shared" si="66"/>
        <v/>
      </c>
      <c r="M331" s="16" t="str">
        <f t="shared" si="67"/>
        <v/>
      </c>
      <c r="N331" s="16" t="str">
        <f t="shared" si="68"/>
        <v/>
      </c>
      <c r="O331" s="16" t="str">
        <f t="shared" si="69"/>
        <v/>
      </c>
      <c r="P331" s="16" t="str">
        <f t="shared" si="70"/>
        <v/>
      </c>
      <c r="Q331" s="18" t="str">
        <f t="shared" si="71"/>
        <v/>
      </c>
      <c r="R331" s="19" t="str">
        <f>IF(C331="","",IF(ISNA(MATCH(B331,'Registru oferte'!$B$5:$B$504,0)),"Oferta nu există în registru",IF(N(F331)&lt;=0,"Lipsește cantitatea",IF(AND(ISNUMBER(Q331),Q331&lt;MarjaMin),"Marjă sub minim ("&amp;TEXT(Q331*100,"0")&amp;"%)",""))))</f>
        <v/>
      </c>
      <c r="S331" s="1" t="str">
        <f>IF(B331="","",B331&amp;"|"&amp;COUNTIF($B$5:B331,B331))</f>
        <v/>
      </c>
    </row>
    <row r="332" spans="2:19" x14ac:dyDescent="0.2">
      <c r="B332" s="11"/>
      <c r="C332" s="11"/>
      <c r="D332" s="10" t="str">
        <f t="shared" si="60"/>
        <v/>
      </c>
      <c r="E332" s="15" t="str">
        <f t="shared" si="61"/>
        <v/>
      </c>
      <c r="F332" s="11"/>
      <c r="G332" s="16" t="str">
        <f t="shared" si="62"/>
        <v/>
      </c>
      <c r="H332" s="17"/>
      <c r="I332" s="16" t="str">
        <f t="shared" si="63"/>
        <v/>
      </c>
      <c r="J332" s="16" t="str">
        <f t="shared" si="64"/>
        <v/>
      </c>
      <c r="K332" s="18" t="str">
        <f t="shared" si="65"/>
        <v/>
      </c>
      <c r="L332" s="16" t="str">
        <f t="shared" si="66"/>
        <v/>
      </c>
      <c r="M332" s="16" t="str">
        <f t="shared" si="67"/>
        <v/>
      </c>
      <c r="N332" s="16" t="str">
        <f t="shared" si="68"/>
        <v/>
      </c>
      <c r="O332" s="16" t="str">
        <f t="shared" si="69"/>
        <v/>
      </c>
      <c r="P332" s="16" t="str">
        <f t="shared" si="70"/>
        <v/>
      </c>
      <c r="Q332" s="18" t="str">
        <f t="shared" si="71"/>
        <v/>
      </c>
      <c r="R332" s="19" t="str">
        <f>IF(C332="","",IF(ISNA(MATCH(B332,'Registru oferte'!$B$5:$B$504,0)),"Oferta nu există în registru",IF(N(F332)&lt;=0,"Lipsește cantitatea",IF(AND(ISNUMBER(Q332),Q332&lt;MarjaMin),"Marjă sub minim ("&amp;TEXT(Q332*100,"0")&amp;"%)",""))))</f>
        <v/>
      </c>
      <c r="S332" s="1" t="str">
        <f>IF(B332="","",B332&amp;"|"&amp;COUNTIF($B$5:B332,B332))</f>
        <v/>
      </c>
    </row>
    <row r="333" spans="2:19" x14ac:dyDescent="0.2">
      <c r="B333" s="11"/>
      <c r="C333" s="11"/>
      <c r="D333" s="10" t="str">
        <f t="shared" si="60"/>
        <v/>
      </c>
      <c r="E333" s="15" t="str">
        <f t="shared" si="61"/>
        <v/>
      </c>
      <c r="F333" s="11"/>
      <c r="G333" s="16" t="str">
        <f t="shared" si="62"/>
        <v/>
      </c>
      <c r="H333" s="17"/>
      <c r="I333" s="16" t="str">
        <f t="shared" si="63"/>
        <v/>
      </c>
      <c r="J333" s="16" t="str">
        <f t="shared" si="64"/>
        <v/>
      </c>
      <c r="K333" s="18" t="str">
        <f t="shared" si="65"/>
        <v/>
      </c>
      <c r="L333" s="16" t="str">
        <f t="shared" si="66"/>
        <v/>
      </c>
      <c r="M333" s="16" t="str">
        <f t="shared" si="67"/>
        <v/>
      </c>
      <c r="N333" s="16" t="str">
        <f t="shared" si="68"/>
        <v/>
      </c>
      <c r="O333" s="16" t="str">
        <f t="shared" si="69"/>
        <v/>
      </c>
      <c r="P333" s="16" t="str">
        <f t="shared" si="70"/>
        <v/>
      </c>
      <c r="Q333" s="18" t="str">
        <f t="shared" si="71"/>
        <v/>
      </c>
      <c r="R333" s="19" t="str">
        <f>IF(C333="","",IF(ISNA(MATCH(B333,'Registru oferte'!$B$5:$B$504,0)),"Oferta nu există în registru",IF(N(F333)&lt;=0,"Lipsește cantitatea",IF(AND(ISNUMBER(Q333),Q333&lt;MarjaMin),"Marjă sub minim ("&amp;TEXT(Q333*100,"0")&amp;"%)",""))))</f>
        <v/>
      </c>
      <c r="S333" s="1" t="str">
        <f>IF(B333="","",B333&amp;"|"&amp;COUNTIF($B$5:B333,B333))</f>
        <v/>
      </c>
    </row>
    <row r="334" spans="2:19" x14ac:dyDescent="0.2">
      <c r="B334" s="11"/>
      <c r="C334" s="11"/>
      <c r="D334" s="10" t="str">
        <f t="shared" si="60"/>
        <v/>
      </c>
      <c r="E334" s="15" t="str">
        <f t="shared" si="61"/>
        <v/>
      </c>
      <c r="F334" s="11"/>
      <c r="G334" s="16" t="str">
        <f t="shared" si="62"/>
        <v/>
      </c>
      <c r="H334" s="17"/>
      <c r="I334" s="16" t="str">
        <f t="shared" si="63"/>
        <v/>
      </c>
      <c r="J334" s="16" t="str">
        <f t="shared" si="64"/>
        <v/>
      </c>
      <c r="K334" s="18" t="str">
        <f t="shared" si="65"/>
        <v/>
      </c>
      <c r="L334" s="16" t="str">
        <f t="shared" si="66"/>
        <v/>
      </c>
      <c r="M334" s="16" t="str">
        <f t="shared" si="67"/>
        <v/>
      </c>
      <c r="N334" s="16" t="str">
        <f t="shared" si="68"/>
        <v/>
      </c>
      <c r="O334" s="16" t="str">
        <f t="shared" si="69"/>
        <v/>
      </c>
      <c r="P334" s="16" t="str">
        <f t="shared" si="70"/>
        <v/>
      </c>
      <c r="Q334" s="18" t="str">
        <f t="shared" si="71"/>
        <v/>
      </c>
      <c r="R334" s="19" t="str">
        <f>IF(C334="","",IF(ISNA(MATCH(B334,'Registru oferte'!$B$5:$B$504,0)),"Oferta nu există în registru",IF(N(F334)&lt;=0,"Lipsește cantitatea",IF(AND(ISNUMBER(Q334),Q334&lt;MarjaMin),"Marjă sub minim ("&amp;TEXT(Q334*100,"0")&amp;"%)",""))))</f>
        <v/>
      </c>
      <c r="S334" s="1" t="str">
        <f>IF(B334="","",B334&amp;"|"&amp;COUNTIF($B$5:B334,B334))</f>
        <v/>
      </c>
    </row>
    <row r="335" spans="2:19" x14ac:dyDescent="0.2">
      <c r="B335" s="11"/>
      <c r="C335" s="11"/>
      <c r="D335" s="10" t="str">
        <f t="shared" si="60"/>
        <v/>
      </c>
      <c r="E335" s="15" t="str">
        <f t="shared" si="61"/>
        <v/>
      </c>
      <c r="F335" s="11"/>
      <c r="G335" s="16" t="str">
        <f t="shared" si="62"/>
        <v/>
      </c>
      <c r="H335" s="17"/>
      <c r="I335" s="16" t="str">
        <f t="shared" si="63"/>
        <v/>
      </c>
      <c r="J335" s="16" t="str">
        <f t="shared" si="64"/>
        <v/>
      </c>
      <c r="K335" s="18" t="str">
        <f t="shared" si="65"/>
        <v/>
      </c>
      <c r="L335" s="16" t="str">
        <f t="shared" si="66"/>
        <v/>
      </c>
      <c r="M335" s="16" t="str">
        <f t="shared" si="67"/>
        <v/>
      </c>
      <c r="N335" s="16" t="str">
        <f t="shared" si="68"/>
        <v/>
      </c>
      <c r="O335" s="16" t="str">
        <f t="shared" si="69"/>
        <v/>
      </c>
      <c r="P335" s="16" t="str">
        <f t="shared" si="70"/>
        <v/>
      </c>
      <c r="Q335" s="18" t="str">
        <f t="shared" si="71"/>
        <v/>
      </c>
      <c r="R335" s="19" t="str">
        <f>IF(C335="","",IF(ISNA(MATCH(B335,'Registru oferte'!$B$5:$B$504,0)),"Oferta nu există în registru",IF(N(F335)&lt;=0,"Lipsește cantitatea",IF(AND(ISNUMBER(Q335),Q335&lt;MarjaMin),"Marjă sub minim ("&amp;TEXT(Q335*100,"0")&amp;"%)",""))))</f>
        <v/>
      </c>
      <c r="S335" s="1" t="str">
        <f>IF(B335="","",B335&amp;"|"&amp;COUNTIF($B$5:B335,B335))</f>
        <v/>
      </c>
    </row>
    <row r="336" spans="2:19" x14ac:dyDescent="0.2">
      <c r="B336" s="11"/>
      <c r="C336" s="11"/>
      <c r="D336" s="10" t="str">
        <f t="shared" si="60"/>
        <v/>
      </c>
      <c r="E336" s="15" t="str">
        <f t="shared" si="61"/>
        <v/>
      </c>
      <c r="F336" s="11"/>
      <c r="G336" s="16" t="str">
        <f t="shared" si="62"/>
        <v/>
      </c>
      <c r="H336" s="17"/>
      <c r="I336" s="16" t="str">
        <f t="shared" si="63"/>
        <v/>
      </c>
      <c r="J336" s="16" t="str">
        <f t="shared" si="64"/>
        <v/>
      </c>
      <c r="K336" s="18" t="str">
        <f t="shared" si="65"/>
        <v/>
      </c>
      <c r="L336" s="16" t="str">
        <f t="shared" si="66"/>
        <v/>
      </c>
      <c r="M336" s="16" t="str">
        <f t="shared" si="67"/>
        <v/>
      </c>
      <c r="N336" s="16" t="str">
        <f t="shared" si="68"/>
        <v/>
      </c>
      <c r="O336" s="16" t="str">
        <f t="shared" si="69"/>
        <v/>
      </c>
      <c r="P336" s="16" t="str">
        <f t="shared" si="70"/>
        <v/>
      </c>
      <c r="Q336" s="18" t="str">
        <f t="shared" si="71"/>
        <v/>
      </c>
      <c r="R336" s="19" t="str">
        <f>IF(C336="","",IF(ISNA(MATCH(B336,'Registru oferte'!$B$5:$B$504,0)),"Oferta nu există în registru",IF(N(F336)&lt;=0,"Lipsește cantitatea",IF(AND(ISNUMBER(Q336),Q336&lt;MarjaMin),"Marjă sub minim ("&amp;TEXT(Q336*100,"0")&amp;"%)",""))))</f>
        <v/>
      </c>
      <c r="S336" s="1" t="str">
        <f>IF(B336="","",B336&amp;"|"&amp;COUNTIF($B$5:B336,B336))</f>
        <v/>
      </c>
    </row>
    <row r="337" spans="2:19" x14ac:dyDescent="0.2">
      <c r="B337" s="11"/>
      <c r="C337" s="11"/>
      <c r="D337" s="10" t="str">
        <f t="shared" si="60"/>
        <v/>
      </c>
      <c r="E337" s="15" t="str">
        <f t="shared" si="61"/>
        <v/>
      </c>
      <c r="F337" s="11"/>
      <c r="G337" s="16" t="str">
        <f t="shared" si="62"/>
        <v/>
      </c>
      <c r="H337" s="17"/>
      <c r="I337" s="16" t="str">
        <f t="shared" si="63"/>
        <v/>
      </c>
      <c r="J337" s="16" t="str">
        <f t="shared" si="64"/>
        <v/>
      </c>
      <c r="K337" s="18" t="str">
        <f t="shared" si="65"/>
        <v/>
      </c>
      <c r="L337" s="16" t="str">
        <f t="shared" si="66"/>
        <v/>
      </c>
      <c r="M337" s="16" t="str">
        <f t="shared" si="67"/>
        <v/>
      </c>
      <c r="N337" s="16" t="str">
        <f t="shared" si="68"/>
        <v/>
      </c>
      <c r="O337" s="16" t="str">
        <f t="shared" si="69"/>
        <v/>
      </c>
      <c r="P337" s="16" t="str">
        <f t="shared" si="70"/>
        <v/>
      </c>
      <c r="Q337" s="18" t="str">
        <f t="shared" si="71"/>
        <v/>
      </c>
      <c r="R337" s="19" t="str">
        <f>IF(C337="","",IF(ISNA(MATCH(B337,'Registru oferte'!$B$5:$B$504,0)),"Oferta nu există în registru",IF(N(F337)&lt;=0,"Lipsește cantitatea",IF(AND(ISNUMBER(Q337),Q337&lt;MarjaMin),"Marjă sub minim ("&amp;TEXT(Q337*100,"0")&amp;"%)",""))))</f>
        <v/>
      </c>
      <c r="S337" s="1" t="str">
        <f>IF(B337="","",B337&amp;"|"&amp;COUNTIF($B$5:B337,B337))</f>
        <v/>
      </c>
    </row>
    <row r="338" spans="2:19" x14ac:dyDescent="0.2">
      <c r="B338" s="11"/>
      <c r="C338" s="11"/>
      <c r="D338" s="10" t="str">
        <f t="shared" si="60"/>
        <v/>
      </c>
      <c r="E338" s="15" t="str">
        <f t="shared" si="61"/>
        <v/>
      </c>
      <c r="F338" s="11"/>
      <c r="G338" s="16" t="str">
        <f t="shared" si="62"/>
        <v/>
      </c>
      <c r="H338" s="17"/>
      <c r="I338" s="16" t="str">
        <f t="shared" si="63"/>
        <v/>
      </c>
      <c r="J338" s="16" t="str">
        <f t="shared" si="64"/>
        <v/>
      </c>
      <c r="K338" s="18" t="str">
        <f t="shared" si="65"/>
        <v/>
      </c>
      <c r="L338" s="16" t="str">
        <f t="shared" si="66"/>
        <v/>
      </c>
      <c r="M338" s="16" t="str">
        <f t="shared" si="67"/>
        <v/>
      </c>
      <c r="N338" s="16" t="str">
        <f t="shared" si="68"/>
        <v/>
      </c>
      <c r="O338" s="16" t="str">
        <f t="shared" si="69"/>
        <v/>
      </c>
      <c r="P338" s="16" t="str">
        <f t="shared" si="70"/>
        <v/>
      </c>
      <c r="Q338" s="18" t="str">
        <f t="shared" si="71"/>
        <v/>
      </c>
      <c r="R338" s="19" t="str">
        <f>IF(C338="","",IF(ISNA(MATCH(B338,'Registru oferte'!$B$5:$B$504,0)),"Oferta nu există în registru",IF(N(F338)&lt;=0,"Lipsește cantitatea",IF(AND(ISNUMBER(Q338),Q338&lt;MarjaMin),"Marjă sub minim ("&amp;TEXT(Q338*100,"0")&amp;"%)",""))))</f>
        <v/>
      </c>
      <c r="S338" s="1" t="str">
        <f>IF(B338="","",B338&amp;"|"&amp;COUNTIF($B$5:B338,B338))</f>
        <v/>
      </c>
    </row>
    <row r="339" spans="2:19" x14ac:dyDescent="0.2">
      <c r="B339" s="11"/>
      <c r="C339" s="11"/>
      <c r="D339" s="10" t="str">
        <f t="shared" si="60"/>
        <v/>
      </c>
      <c r="E339" s="15" t="str">
        <f t="shared" si="61"/>
        <v/>
      </c>
      <c r="F339" s="11"/>
      <c r="G339" s="16" t="str">
        <f t="shared" si="62"/>
        <v/>
      </c>
      <c r="H339" s="17"/>
      <c r="I339" s="16" t="str">
        <f t="shared" si="63"/>
        <v/>
      </c>
      <c r="J339" s="16" t="str">
        <f t="shared" si="64"/>
        <v/>
      </c>
      <c r="K339" s="18" t="str">
        <f t="shared" si="65"/>
        <v/>
      </c>
      <c r="L339" s="16" t="str">
        <f t="shared" si="66"/>
        <v/>
      </c>
      <c r="M339" s="16" t="str">
        <f t="shared" si="67"/>
        <v/>
      </c>
      <c r="N339" s="16" t="str">
        <f t="shared" si="68"/>
        <v/>
      </c>
      <c r="O339" s="16" t="str">
        <f t="shared" si="69"/>
        <v/>
      </c>
      <c r="P339" s="16" t="str">
        <f t="shared" si="70"/>
        <v/>
      </c>
      <c r="Q339" s="18" t="str">
        <f t="shared" si="71"/>
        <v/>
      </c>
      <c r="R339" s="19" t="str">
        <f>IF(C339="","",IF(ISNA(MATCH(B339,'Registru oferte'!$B$5:$B$504,0)),"Oferta nu există în registru",IF(N(F339)&lt;=0,"Lipsește cantitatea",IF(AND(ISNUMBER(Q339),Q339&lt;MarjaMin),"Marjă sub minim ("&amp;TEXT(Q339*100,"0")&amp;"%)",""))))</f>
        <v/>
      </c>
      <c r="S339" s="1" t="str">
        <f>IF(B339="","",B339&amp;"|"&amp;COUNTIF($B$5:B339,B339))</f>
        <v/>
      </c>
    </row>
    <row r="340" spans="2:19" x14ac:dyDescent="0.2">
      <c r="B340" s="11"/>
      <c r="C340" s="11"/>
      <c r="D340" s="10" t="str">
        <f t="shared" si="60"/>
        <v/>
      </c>
      <c r="E340" s="15" t="str">
        <f t="shared" si="61"/>
        <v/>
      </c>
      <c r="F340" s="11"/>
      <c r="G340" s="16" t="str">
        <f t="shared" si="62"/>
        <v/>
      </c>
      <c r="H340" s="17"/>
      <c r="I340" s="16" t="str">
        <f t="shared" si="63"/>
        <v/>
      </c>
      <c r="J340" s="16" t="str">
        <f t="shared" si="64"/>
        <v/>
      </c>
      <c r="K340" s="18" t="str">
        <f t="shared" si="65"/>
        <v/>
      </c>
      <c r="L340" s="16" t="str">
        <f t="shared" si="66"/>
        <v/>
      </c>
      <c r="M340" s="16" t="str">
        <f t="shared" si="67"/>
        <v/>
      </c>
      <c r="N340" s="16" t="str">
        <f t="shared" si="68"/>
        <v/>
      </c>
      <c r="O340" s="16" t="str">
        <f t="shared" si="69"/>
        <v/>
      </c>
      <c r="P340" s="16" t="str">
        <f t="shared" si="70"/>
        <v/>
      </c>
      <c r="Q340" s="18" t="str">
        <f t="shared" si="71"/>
        <v/>
      </c>
      <c r="R340" s="19" t="str">
        <f>IF(C340="","",IF(ISNA(MATCH(B340,'Registru oferte'!$B$5:$B$504,0)),"Oferta nu există în registru",IF(N(F340)&lt;=0,"Lipsește cantitatea",IF(AND(ISNUMBER(Q340),Q340&lt;MarjaMin),"Marjă sub minim ("&amp;TEXT(Q340*100,"0")&amp;"%)",""))))</f>
        <v/>
      </c>
      <c r="S340" s="1" t="str">
        <f>IF(B340="","",B340&amp;"|"&amp;COUNTIF($B$5:B340,B340))</f>
        <v/>
      </c>
    </row>
    <row r="341" spans="2:19" x14ac:dyDescent="0.2">
      <c r="B341" s="11"/>
      <c r="C341" s="11"/>
      <c r="D341" s="10" t="str">
        <f t="shared" si="60"/>
        <v/>
      </c>
      <c r="E341" s="15" t="str">
        <f t="shared" si="61"/>
        <v/>
      </c>
      <c r="F341" s="11"/>
      <c r="G341" s="16" t="str">
        <f t="shared" si="62"/>
        <v/>
      </c>
      <c r="H341" s="17"/>
      <c r="I341" s="16" t="str">
        <f t="shared" si="63"/>
        <v/>
      </c>
      <c r="J341" s="16" t="str">
        <f t="shared" si="64"/>
        <v/>
      </c>
      <c r="K341" s="18" t="str">
        <f t="shared" si="65"/>
        <v/>
      </c>
      <c r="L341" s="16" t="str">
        <f t="shared" si="66"/>
        <v/>
      </c>
      <c r="M341" s="16" t="str">
        <f t="shared" si="67"/>
        <v/>
      </c>
      <c r="N341" s="16" t="str">
        <f t="shared" si="68"/>
        <v/>
      </c>
      <c r="O341" s="16" t="str">
        <f t="shared" si="69"/>
        <v/>
      </c>
      <c r="P341" s="16" t="str">
        <f t="shared" si="70"/>
        <v/>
      </c>
      <c r="Q341" s="18" t="str">
        <f t="shared" si="71"/>
        <v/>
      </c>
      <c r="R341" s="19" t="str">
        <f>IF(C341="","",IF(ISNA(MATCH(B341,'Registru oferte'!$B$5:$B$504,0)),"Oferta nu există în registru",IF(N(F341)&lt;=0,"Lipsește cantitatea",IF(AND(ISNUMBER(Q341),Q341&lt;MarjaMin),"Marjă sub minim ("&amp;TEXT(Q341*100,"0")&amp;"%)",""))))</f>
        <v/>
      </c>
      <c r="S341" s="1" t="str">
        <f>IF(B341="","",B341&amp;"|"&amp;COUNTIF($B$5:B341,B341))</f>
        <v/>
      </c>
    </row>
    <row r="342" spans="2:19" x14ac:dyDescent="0.2">
      <c r="B342" s="11"/>
      <c r="C342" s="11"/>
      <c r="D342" s="10" t="str">
        <f t="shared" si="60"/>
        <v/>
      </c>
      <c r="E342" s="15" t="str">
        <f t="shared" si="61"/>
        <v/>
      </c>
      <c r="F342" s="11"/>
      <c r="G342" s="16" t="str">
        <f t="shared" si="62"/>
        <v/>
      </c>
      <c r="H342" s="17"/>
      <c r="I342" s="16" t="str">
        <f t="shared" si="63"/>
        <v/>
      </c>
      <c r="J342" s="16" t="str">
        <f t="shared" si="64"/>
        <v/>
      </c>
      <c r="K342" s="18" t="str">
        <f t="shared" si="65"/>
        <v/>
      </c>
      <c r="L342" s="16" t="str">
        <f t="shared" si="66"/>
        <v/>
      </c>
      <c r="M342" s="16" t="str">
        <f t="shared" si="67"/>
        <v/>
      </c>
      <c r="N342" s="16" t="str">
        <f t="shared" si="68"/>
        <v/>
      </c>
      <c r="O342" s="16" t="str">
        <f t="shared" si="69"/>
        <v/>
      </c>
      <c r="P342" s="16" t="str">
        <f t="shared" si="70"/>
        <v/>
      </c>
      <c r="Q342" s="18" t="str">
        <f t="shared" si="71"/>
        <v/>
      </c>
      <c r="R342" s="19" t="str">
        <f>IF(C342="","",IF(ISNA(MATCH(B342,'Registru oferte'!$B$5:$B$504,0)),"Oferta nu există în registru",IF(N(F342)&lt;=0,"Lipsește cantitatea",IF(AND(ISNUMBER(Q342),Q342&lt;MarjaMin),"Marjă sub minim ("&amp;TEXT(Q342*100,"0")&amp;"%)",""))))</f>
        <v/>
      </c>
      <c r="S342" s="1" t="str">
        <f>IF(B342="","",B342&amp;"|"&amp;COUNTIF($B$5:B342,B342))</f>
        <v/>
      </c>
    </row>
    <row r="343" spans="2:19" x14ac:dyDescent="0.2">
      <c r="B343" s="11"/>
      <c r="C343" s="11"/>
      <c r="D343" s="10" t="str">
        <f t="shared" si="60"/>
        <v/>
      </c>
      <c r="E343" s="15" t="str">
        <f t="shared" si="61"/>
        <v/>
      </c>
      <c r="F343" s="11"/>
      <c r="G343" s="16" t="str">
        <f t="shared" si="62"/>
        <v/>
      </c>
      <c r="H343" s="17"/>
      <c r="I343" s="16" t="str">
        <f t="shared" si="63"/>
        <v/>
      </c>
      <c r="J343" s="16" t="str">
        <f t="shared" si="64"/>
        <v/>
      </c>
      <c r="K343" s="18" t="str">
        <f t="shared" si="65"/>
        <v/>
      </c>
      <c r="L343" s="16" t="str">
        <f t="shared" si="66"/>
        <v/>
      </c>
      <c r="M343" s="16" t="str">
        <f t="shared" si="67"/>
        <v/>
      </c>
      <c r="N343" s="16" t="str">
        <f t="shared" si="68"/>
        <v/>
      </c>
      <c r="O343" s="16" t="str">
        <f t="shared" si="69"/>
        <v/>
      </c>
      <c r="P343" s="16" t="str">
        <f t="shared" si="70"/>
        <v/>
      </c>
      <c r="Q343" s="18" t="str">
        <f t="shared" si="71"/>
        <v/>
      </c>
      <c r="R343" s="19" t="str">
        <f>IF(C343="","",IF(ISNA(MATCH(B343,'Registru oferte'!$B$5:$B$504,0)),"Oferta nu există în registru",IF(N(F343)&lt;=0,"Lipsește cantitatea",IF(AND(ISNUMBER(Q343),Q343&lt;MarjaMin),"Marjă sub minim ("&amp;TEXT(Q343*100,"0")&amp;"%)",""))))</f>
        <v/>
      </c>
      <c r="S343" s="1" t="str">
        <f>IF(B343="","",B343&amp;"|"&amp;COUNTIF($B$5:B343,B343))</f>
        <v/>
      </c>
    </row>
    <row r="344" spans="2:19" x14ac:dyDescent="0.2">
      <c r="B344" s="11"/>
      <c r="C344" s="11"/>
      <c r="D344" s="10" t="str">
        <f t="shared" si="60"/>
        <v/>
      </c>
      <c r="E344" s="15" t="str">
        <f t="shared" si="61"/>
        <v/>
      </c>
      <c r="F344" s="11"/>
      <c r="G344" s="16" t="str">
        <f t="shared" si="62"/>
        <v/>
      </c>
      <c r="H344" s="17"/>
      <c r="I344" s="16" t="str">
        <f t="shared" si="63"/>
        <v/>
      </c>
      <c r="J344" s="16" t="str">
        <f t="shared" si="64"/>
        <v/>
      </c>
      <c r="K344" s="18" t="str">
        <f t="shared" si="65"/>
        <v/>
      </c>
      <c r="L344" s="16" t="str">
        <f t="shared" si="66"/>
        <v/>
      </c>
      <c r="M344" s="16" t="str">
        <f t="shared" si="67"/>
        <v/>
      </c>
      <c r="N344" s="16" t="str">
        <f t="shared" si="68"/>
        <v/>
      </c>
      <c r="O344" s="16" t="str">
        <f t="shared" si="69"/>
        <v/>
      </c>
      <c r="P344" s="16" t="str">
        <f t="shared" si="70"/>
        <v/>
      </c>
      <c r="Q344" s="18" t="str">
        <f t="shared" si="71"/>
        <v/>
      </c>
      <c r="R344" s="19" t="str">
        <f>IF(C344="","",IF(ISNA(MATCH(B344,'Registru oferte'!$B$5:$B$504,0)),"Oferta nu există în registru",IF(N(F344)&lt;=0,"Lipsește cantitatea",IF(AND(ISNUMBER(Q344),Q344&lt;MarjaMin),"Marjă sub minim ("&amp;TEXT(Q344*100,"0")&amp;"%)",""))))</f>
        <v/>
      </c>
      <c r="S344" s="1" t="str">
        <f>IF(B344="","",B344&amp;"|"&amp;COUNTIF($B$5:B344,B344))</f>
        <v/>
      </c>
    </row>
    <row r="345" spans="2:19" x14ac:dyDescent="0.2">
      <c r="B345" s="11"/>
      <c r="C345" s="11"/>
      <c r="D345" s="10" t="str">
        <f t="shared" si="60"/>
        <v/>
      </c>
      <c r="E345" s="15" t="str">
        <f t="shared" si="61"/>
        <v/>
      </c>
      <c r="F345" s="11"/>
      <c r="G345" s="16" t="str">
        <f t="shared" si="62"/>
        <v/>
      </c>
      <c r="H345" s="17"/>
      <c r="I345" s="16" t="str">
        <f t="shared" si="63"/>
        <v/>
      </c>
      <c r="J345" s="16" t="str">
        <f t="shared" si="64"/>
        <v/>
      </c>
      <c r="K345" s="18" t="str">
        <f t="shared" si="65"/>
        <v/>
      </c>
      <c r="L345" s="16" t="str">
        <f t="shared" si="66"/>
        <v/>
      </c>
      <c r="M345" s="16" t="str">
        <f t="shared" si="67"/>
        <v/>
      </c>
      <c r="N345" s="16" t="str">
        <f t="shared" si="68"/>
        <v/>
      </c>
      <c r="O345" s="16" t="str">
        <f t="shared" si="69"/>
        <v/>
      </c>
      <c r="P345" s="16" t="str">
        <f t="shared" si="70"/>
        <v/>
      </c>
      <c r="Q345" s="18" t="str">
        <f t="shared" si="71"/>
        <v/>
      </c>
      <c r="R345" s="19" t="str">
        <f>IF(C345="","",IF(ISNA(MATCH(B345,'Registru oferte'!$B$5:$B$504,0)),"Oferta nu există în registru",IF(N(F345)&lt;=0,"Lipsește cantitatea",IF(AND(ISNUMBER(Q345),Q345&lt;MarjaMin),"Marjă sub minim ("&amp;TEXT(Q345*100,"0")&amp;"%)",""))))</f>
        <v/>
      </c>
      <c r="S345" s="1" t="str">
        <f>IF(B345="","",B345&amp;"|"&amp;COUNTIF($B$5:B345,B345))</f>
        <v/>
      </c>
    </row>
    <row r="346" spans="2:19" x14ac:dyDescent="0.2">
      <c r="B346" s="11"/>
      <c r="C346" s="11"/>
      <c r="D346" s="10" t="str">
        <f t="shared" si="60"/>
        <v/>
      </c>
      <c r="E346" s="15" t="str">
        <f t="shared" si="61"/>
        <v/>
      </c>
      <c r="F346" s="11"/>
      <c r="G346" s="16" t="str">
        <f t="shared" si="62"/>
        <v/>
      </c>
      <c r="H346" s="17"/>
      <c r="I346" s="16" t="str">
        <f t="shared" si="63"/>
        <v/>
      </c>
      <c r="J346" s="16" t="str">
        <f t="shared" si="64"/>
        <v/>
      </c>
      <c r="K346" s="18" t="str">
        <f t="shared" si="65"/>
        <v/>
      </c>
      <c r="L346" s="16" t="str">
        <f t="shared" si="66"/>
        <v/>
      </c>
      <c r="M346" s="16" t="str">
        <f t="shared" si="67"/>
        <v/>
      </c>
      <c r="N346" s="16" t="str">
        <f t="shared" si="68"/>
        <v/>
      </c>
      <c r="O346" s="16" t="str">
        <f t="shared" si="69"/>
        <v/>
      </c>
      <c r="P346" s="16" t="str">
        <f t="shared" si="70"/>
        <v/>
      </c>
      <c r="Q346" s="18" t="str">
        <f t="shared" si="71"/>
        <v/>
      </c>
      <c r="R346" s="19" t="str">
        <f>IF(C346="","",IF(ISNA(MATCH(B346,'Registru oferte'!$B$5:$B$504,0)),"Oferta nu există în registru",IF(N(F346)&lt;=0,"Lipsește cantitatea",IF(AND(ISNUMBER(Q346),Q346&lt;MarjaMin),"Marjă sub minim ("&amp;TEXT(Q346*100,"0")&amp;"%)",""))))</f>
        <v/>
      </c>
      <c r="S346" s="1" t="str">
        <f>IF(B346="","",B346&amp;"|"&amp;COUNTIF($B$5:B346,B346))</f>
        <v/>
      </c>
    </row>
    <row r="347" spans="2:19" x14ac:dyDescent="0.2">
      <c r="B347" s="11"/>
      <c r="C347" s="11"/>
      <c r="D347" s="10" t="str">
        <f t="shared" si="60"/>
        <v/>
      </c>
      <c r="E347" s="15" t="str">
        <f t="shared" si="61"/>
        <v/>
      </c>
      <c r="F347" s="11"/>
      <c r="G347" s="16" t="str">
        <f t="shared" si="62"/>
        <v/>
      </c>
      <c r="H347" s="17"/>
      <c r="I347" s="16" t="str">
        <f t="shared" si="63"/>
        <v/>
      </c>
      <c r="J347" s="16" t="str">
        <f t="shared" si="64"/>
        <v/>
      </c>
      <c r="K347" s="18" t="str">
        <f t="shared" si="65"/>
        <v/>
      </c>
      <c r="L347" s="16" t="str">
        <f t="shared" si="66"/>
        <v/>
      </c>
      <c r="M347" s="16" t="str">
        <f t="shared" si="67"/>
        <v/>
      </c>
      <c r="N347" s="16" t="str">
        <f t="shared" si="68"/>
        <v/>
      </c>
      <c r="O347" s="16" t="str">
        <f t="shared" si="69"/>
        <v/>
      </c>
      <c r="P347" s="16" t="str">
        <f t="shared" si="70"/>
        <v/>
      </c>
      <c r="Q347" s="18" t="str">
        <f t="shared" si="71"/>
        <v/>
      </c>
      <c r="R347" s="19" t="str">
        <f>IF(C347="","",IF(ISNA(MATCH(B347,'Registru oferte'!$B$5:$B$504,0)),"Oferta nu există în registru",IF(N(F347)&lt;=0,"Lipsește cantitatea",IF(AND(ISNUMBER(Q347),Q347&lt;MarjaMin),"Marjă sub minim ("&amp;TEXT(Q347*100,"0")&amp;"%)",""))))</f>
        <v/>
      </c>
      <c r="S347" s="1" t="str">
        <f>IF(B347="","",B347&amp;"|"&amp;COUNTIF($B$5:B347,B347))</f>
        <v/>
      </c>
    </row>
    <row r="348" spans="2:19" x14ac:dyDescent="0.2">
      <c r="B348" s="11"/>
      <c r="C348" s="11"/>
      <c r="D348" s="10" t="str">
        <f t="shared" si="60"/>
        <v/>
      </c>
      <c r="E348" s="15" t="str">
        <f t="shared" si="61"/>
        <v/>
      </c>
      <c r="F348" s="11"/>
      <c r="G348" s="16" t="str">
        <f t="shared" si="62"/>
        <v/>
      </c>
      <c r="H348" s="17"/>
      <c r="I348" s="16" t="str">
        <f t="shared" si="63"/>
        <v/>
      </c>
      <c r="J348" s="16" t="str">
        <f t="shared" si="64"/>
        <v/>
      </c>
      <c r="K348" s="18" t="str">
        <f t="shared" si="65"/>
        <v/>
      </c>
      <c r="L348" s="16" t="str">
        <f t="shared" si="66"/>
        <v/>
      </c>
      <c r="M348" s="16" t="str">
        <f t="shared" si="67"/>
        <v/>
      </c>
      <c r="N348" s="16" t="str">
        <f t="shared" si="68"/>
        <v/>
      </c>
      <c r="O348" s="16" t="str">
        <f t="shared" si="69"/>
        <v/>
      </c>
      <c r="P348" s="16" t="str">
        <f t="shared" si="70"/>
        <v/>
      </c>
      <c r="Q348" s="18" t="str">
        <f t="shared" si="71"/>
        <v/>
      </c>
      <c r="R348" s="19" t="str">
        <f>IF(C348="","",IF(ISNA(MATCH(B348,'Registru oferte'!$B$5:$B$504,0)),"Oferta nu există în registru",IF(N(F348)&lt;=0,"Lipsește cantitatea",IF(AND(ISNUMBER(Q348),Q348&lt;MarjaMin),"Marjă sub minim ("&amp;TEXT(Q348*100,"0")&amp;"%)",""))))</f>
        <v/>
      </c>
      <c r="S348" s="1" t="str">
        <f>IF(B348="","",B348&amp;"|"&amp;COUNTIF($B$5:B348,B348))</f>
        <v/>
      </c>
    </row>
    <row r="349" spans="2:19" x14ac:dyDescent="0.2">
      <c r="B349" s="11"/>
      <c r="C349" s="11"/>
      <c r="D349" s="10" t="str">
        <f t="shared" si="60"/>
        <v/>
      </c>
      <c r="E349" s="15" t="str">
        <f t="shared" si="61"/>
        <v/>
      </c>
      <c r="F349" s="11"/>
      <c r="G349" s="16" t="str">
        <f t="shared" si="62"/>
        <v/>
      </c>
      <c r="H349" s="17"/>
      <c r="I349" s="16" t="str">
        <f t="shared" si="63"/>
        <v/>
      </c>
      <c r="J349" s="16" t="str">
        <f t="shared" si="64"/>
        <v/>
      </c>
      <c r="K349" s="18" t="str">
        <f t="shared" si="65"/>
        <v/>
      </c>
      <c r="L349" s="16" t="str">
        <f t="shared" si="66"/>
        <v/>
      </c>
      <c r="M349" s="16" t="str">
        <f t="shared" si="67"/>
        <v/>
      </c>
      <c r="N349" s="16" t="str">
        <f t="shared" si="68"/>
        <v/>
      </c>
      <c r="O349" s="16" t="str">
        <f t="shared" si="69"/>
        <v/>
      </c>
      <c r="P349" s="16" t="str">
        <f t="shared" si="70"/>
        <v/>
      </c>
      <c r="Q349" s="18" t="str">
        <f t="shared" si="71"/>
        <v/>
      </c>
      <c r="R349" s="19" t="str">
        <f>IF(C349="","",IF(ISNA(MATCH(B349,'Registru oferte'!$B$5:$B$504,0)),"Oferta nu există în registru",IF(N(F349)&lt;=0,"Lipsește cantitatea",IF(AND(ISNUMBER(Q349),Q349&lt;MarjaMin),"Marjă sub minim ("&amp;TEXT(Q349*100,"0")&amp;"%)",""))))</f>
        <v/>
      </c>
      <c r="S349" s="1" t="str">
        <f>IF(B349="","",B349&amp;"|"&amp;COUNTIF($B$5:B349,B349))</f>
        <v/>
      </c>
    </row>
    <row r="350" spans="2:19" x14ac:dyDescent="0.2">
      <c r="B350" s="11"/>
      <c r="C350" s="11"/>
      <c r="D350" s="10" t="str">
        <f t="shared" si="60"/>
        <v/>
      </c>
      <c r="E350" s="15" t="str">
        <f t="shared" si="61"/>
        <v/>
      </c>
      <c r="F350" s="11"/>
      <c r="G350" s="16" t="str">
        <f t="shared" si="62"/>
        <v/>
      </c>
      <c r="H350" s="17"/>
      <c r="I350" s="16" t="str">
        <f t="shared" si="63"/>
        <v/>
      </c>
      <c r="J350" s="16" t="str">
        <f t="shared" si="64"/>
        <v/>
      </c>
      <c r="K350" s="18" t="str">
        <f t="shared" si="65"/>
        <v/>
      </c>
      <c r="L350" s="16" t="str">
        <f t="shared" si="66"/>
        <v/>
      </c>
      <c r="M350" s="16" t="str">
        <f t="shared" si="67"/>
        <v/>
      </c>
      <c r="N350" s="16" t="str">
        <f t="shared" si="68"/>
        <v/>
      </c>
      <c r="O350" s="16" t="str">
        <f t="shared" si="69"/>
        <v/>
      </c>
      <c r="P350" s="16" t="str">
        <f t="shared" si="70"/>
        <v/>
      </c>
      <c r="Q350" s="18" t="str">
        <f t="shared" si="71"/>
        <v/>
      </c>
      <c r="R350" s="19" t="str">
        <f>IF(C350="","",IF(ISNA(MATCH(B350,'Registru oferte'!$B$5:$B$504,0)),"Oferta nu există în registru",IF(N(F350)&lt;=0,"Lipsește cantitatea",IF(AND(ISNUMBER(Q350),Q350&lt;MarjaMin),"Marjă sub minim ("&amp;TEXT(Q350*100,"0")&amp;"%)",""))))</f>
        <v/>
      </c>
      <c r="S350" s="1" t="str">
        <f>IF(B350="","",B350&amp;"|"&amp;COUNTIF($B$5:B350,B350))</f>
        <v/>
      </c>
    </row>
    <row r="351" spans="2:19" x14ac:dyDescent="0.2">
      <c r="B351" s="11"/>
      <c r="C351" s="11"/>
      <c r="D351" s="10" t="str">
        <f t="shared" si="60"/>
        <v/>
      </c>
      <c r="E351" s="15" t="str">
        <f t="shared" si="61"/>
        <v/>
      </c>
      <c r="F351" s="11"/>
      <c r="G351" s="16" t="str">
        <f t="shared" si="62"/>
        <v/>
      </c>
      <c r="H351" s="17"/>
      <c r="I351" s="16" t="str">
        <f t="shared" si="63"/>
        <v/>
      </c>
      <c r="J351" s="16" t="str">
        <f t="shared" si="64"/>
        <v/>
      </c>
      <c r="K351" s="18" t="str">
        <f t="shared" si="65"/>
        <v/>
      </c>
      <c r="L351" s="16" t="str">
        <f t="shared" si="66"/>
        <v/>
      </c>
      <c r="M351" s="16" t="str">
        <f t="shared" si="67"/>
        <v/>
      </c>
      <c r="N351" s="16" t="str">
        <f t="shared" si="68"/>
        <v/>
      </c>
      <c r="O351" s="16" t="str">
        <f t="shared" si="69"/>
        <v/>
      </c>
      <c r="P351" s="16" t="str">
        <f t="shared" si="70"/>
        <v/>
      </c>
      <c r="Q351" s="18" t="str">
        <f t="shared" si="71"/>
        <v/>
      </c>
      <c r="R351" s="19" t="str">
        <f>IF(C351="","",IF(ISNA(MATCH(B351,'Registru oferte'!$B$5:$B$504,0)),"Oferta nu există în registru",IF(N(F351)&lt;=0,"Lipsește cantitatea",IF(AND(ISNUMBER(Q351),Q351&lt;MarjaMin),"Marjă sub minim ("&amp;TEXT(Q351*100,"0")&amp;"%)",""))))</f>
        <v/>
      </c>
      <c r="S351" s="1" t="str">
        <f>IF(B351="","",B351&amp;"|"&amp;COUNTIF($B$5:B351,B351))</f>
        <v/>
      </c>
    </row>
    <row r="352" spans="2:19" x14ac:dyDescent="0.2">
      <c r="B352" s="11"/>
      <c r="C352" s="11"/>
      <c r="D352" s="10" t="str">
        <f t="shared" si="60"/>
        <v/>
      </c>
      <c r="E352" s="15" t="str">
        <f t="shared" si="61"/>
        <v/>
      </c>
      <c r="F352" s="11"/>
      <c r="G352" s="16" t="str">
        <f t="shared" si="62"/>
        <v/>
      </c>
      <c r="H352" s="17"/>
      <c r="I352" s="16" t="str">
        <f t="shared" si="63"/>
        <v/>
      </c>
      <c r="J352" s="16" t="str">
        <f t="shared" si="64"/>
        <v/>
      </c>
      <c r="K352" s="18" t="str">
        <f t="shared" si="65"/>
        <v/>
      </c>
      <c r="L352" s="16" t="str">
        <f t="shared" si="66"/>
        <v/>
      </c>
      <c r="M352" s="16" t="str">
        <f t="shared" si="67"/>
        <v/>
      </c>
      <c r="N352" s="16" t="str">
        <f t="shared" si="68"/>
        <v/>
      </c>
      <c r="O352" s="16" t="str">
        <f t="shared" si="69"/>
        <v/>
      </c>
      <c r="P352" s="16" t="str">
        <f t="shared" si="70"/>
        <v/>
      </c>
      <c r="Q352" s="18" t="str">
        <f t="shared" si="71"/>
        <v/>
      </c>
      <c r="R352" s="19" t="str">
        <f>IF(C352="","",IF(ISNA(MATCH(B352,'Registru oferte'!$B$5:$B$504,0)),"Oferta nu există în registru",IF(N(F352)&lt;=0,"Lipsește cantitatea",IF(AND(ISNUMBER(Q352),Q352&lt;MarjaMin),"Marjă sub minim ("&amp;TEXT(Q352*100,"0")&amp;"%)",""))))</f>
        <v/>
      </c>
      <c r="S352" s="1" t="str">
        <f>IF(B352="","",B352&amp;"|"&amp;COUNTIF($B$5:B352,B352))</f>
        <v/>
      </c>
    </row>
    <row r="353" spans="2:19" x14ac:dyDescent="0.2">
      <c r="B353" s="11"/>
      <c r="C353" s="11"/>
      <c r="D353" s="10" t="str">
        <f t="shared" si="60"/>
        <v/>
      </c>
      <c r="E353" s="15" t="str">
        <f t="shared" si="61"/>
        <v/>
      </c>
      <c r="F353" s="11"/>
      <c r="G353" s="16" t="str">
        <f t="shared" si="62"/>
        <v/>
      </c>
      <c r="H353" s="17"/>
      <c r="I353" s="16" t="str">
        <f t="shared" si="63"/>
        <v/>
      </c>
      <c r="J353" s="16" t="str">
        <f t="shared" si="64"/>
        <v/>
      </c>
      <c r="K353" s="18" t="str">
        <f t="shared" si="65"/>
        <v/>
      </c>
      <c r="L353" s="16" t="str">
        <f t="shared" si="66"/>
        <v/>
      </c>
      <c r="M353" s="16" t="str">
        <f t="shared" si="67"/>
        <v/>
      </c>
      <c r="N353" s="16" t="str">
        <f t="shared" si="68"/>
        <v/>
      </c>
      <c r="O353" s="16" t="str">
        <f t="shared" si="69"/>
        <v/>
      </c>
      <c r="P353" s="16" t="str">
        <f t="shared" si="70"/>
        <v/>
      </c>
      <c r="Q353" s="18" t="str">
        <f t="shared" si="71"/>
        <v/>
      </c>
      <c r="R353" s="19" t="str">
        <f>IF(C353="","",IF(ISNA(MATCH(B353,'Registru oferte'!$B$5:$B$504,0)),"Oferta nu există în registru",IF(N(F353)&lt;=0,"Lipsește cantitatea",IF(AND(ISNUMBER(Q353),Q353&lt;MarjaMin),"Marjă sub minim ("&amp;TEXT(Q353*100,"0")&amp;"%)",""))))</f>
        <v/>
      </c>
      <c r="S353" s="1" t="str">
        <f>IF(B353="","",B353&amp;"|"&amp;COUNTIF($B$5:B353,B353))</f>
        <v/>
      </c>
    </row>
    <row r="354" spans="2:19" x14ac:dyDescent="0.2">
      <c r="B354" s="11"/>
      <c r="C354" s="11"/>
      <c r="D354" s="10" t="str">
        <f t="shared" si="60"/>
        <v/>
      </c>
      <c r="E354" s="15" t="str">
        <f t="shared" si="61"/>
        <v/>
      </c>
      <c r="F354" s="11"/>
      <c r="G354" s="16" t="str">
        <f t="shared" si="62"/>
        <v/>
      </c>
      <c r="H354" s="17"/>
      <c r="I354" s="16" t="str">
        <f t="shared" si="63"/>
        <v/>
      </c>
      <c r="J354" s="16" t="str">
        <f t="shared" si="64"/>
        <v/>
      </c>
      <c r="K354" s="18" t="str">
        <f t="shared" si="65"/>
        <v/>
      </c>
      <c r="L354" s="16" t="str">
        <f t="shared" si="66"/>
        <v/>
      </c>
      <c r="M354" s="16" t="str">
        <f t="shared" si="67"/>
        <v/>
      </c>
      <c r="N354" s="16" t="str">
        <f t="shared" si="68"/>
        <v/>
      </c>
      <c r="O354" s="16" t="str">
        <f t="shared" si="69"/>
        <v/>
      </c>
      <c r="P354" s="16" t="str">
        <f t="shared" si="70"/>
        <v/>
      </c>
      <c r="Q354" s="18" t="str">
        <f t="shared" si="71"/>
        <v/>
      </c>
      <c r="R354" s="19" t="str">
        <f>IF(C354="","",IF(ISNA(MATCH(B354,'Registru oferte'!$B$5:$B$504,0)),"Oferta nu există în registru",IF(N(F354)&lt;=0,"Lipsește cantitatea",IF(AND(ISNUMBER(Q354),Q354&lt;MarjaMin),"Marjă sub minim ("&amp;TEXT(Q354*100,"0")&amp;"%)",""))))</f>
        <v/>
      </c>
      <c r="S354" s="1" t="str">
        <f>IF(B354="","",B354&amp;"|"&amp;COUNTIF($B$5:B354,B354))</f>
        <v/>
      </c>
    </row>
    <row r="355" spans="2:19" x14ac:dyDescent="0.2">
      <c r="B355" s="11"/>
      <c r="C355" s="11"/>
      <c r="D355" s="10" t="str">
        <f t="shared" si="60"/>
        <v/>
      </c>
      <c r="E355" s="15" t="str">
        <f t="shared" si="61"/>
        <v/>
      </c>
      <c r="F355" s="11"/>
      <c r="G355" s="16" t="str">
        <f t="shared" si="62"/>
        <v/>
      </c>
      <c r="H355" s="17"/>
      <c r="I355" s="16" t="str">
        <f t="shared" si="63"/>
        <v/>
      </c>
      <c r="J355" s="16" t="str">
        <f t="shared" si="64"/>
        <v/>
      </c>
      <c r="K355" s="18" t="str">
        <f t="shared" si="65"/>
        <v/>
      </c>
      <c r="L355" s="16" t="str">
        <f t="shared" si="66"/>
        <v/>
      </c>
      <c r="M355" s="16" t="str">
        <f t="shared" si="67"/>
        <v/>
      </c>
      <c r="N355" s="16" t="str">
        <f t="shared" si="68"/>
        <v/>
      </c>
      <c r="O355" s="16" t="str">
        <f t="shared" si="69"/>
        <v/>
      </c>
      <c r="P355" s="16" t="str">
        <f t="shared" si="70"/>
        <v/>
      </c>
      <c r="Q355" s="18" t="str">
        <f t="shared" si="71"/>
        <v/>
      </c>
      <c r="R355" s="19" t="str">
        <f>IF(C355="","",IF(ISNA(MATCH(B355,'Registru oferte'!$B$5:$B$504,0)),"Oferta nu există în registru",IF(N(F355)&lt;=0,"Lipsește cantitatea",IF(AND(ISNUMBER(Q355),Q355&lt;MarjaMin),"Marjă sub minim ("&amp;TEXT(Q355*100,"0")&amp;"%)",""))))</f>
        <v/>
      </c>
      <c r="S355" s="1" t="str">
        <f>IF(B355="","",B355&amp;"|"&amp;COUNTIF($B$5:B355,B355))</f>
        <v/>
      </c>
    </row>
    <row r="356" spans="2:19" x14ac:dyDescent="0.2">
      <c r="B356" s="11"/>
      <c r="C356" s="11"/>
      <c r="D356" s="10" t="str">
        <f t="shared" si="60"/>
        <v/>
      </c>
      <c r="E356" s="15" t="str">
        <f t="shared" si="61"/>
        <v/>
      </c>
      <c r="F356" s="11"/>
      <c r="G356" s="16" t="str">
        <f t="shared" si="62"/>
        <v/>
      </c>
      <c r="H356" s="17"/>
      <c r="I356" s="16" t="str">
        <f t="shared" si="63"/>
        <v/>
      </c>
      <c r="J356" s="16" t="str">
        <f t="shared" si="64"/>
        <v/>
      </c>
      <c r="K356" s="18" t="str">
        <f t="shared" si="65"/>
        <v/>
      </c>
      <c r="L356" s="16" t="str">
        <f t="shared" si="66"/>
        <v/>
      </c>
      <c r="M356" s="16" t="str">
        <f t="shared" si="67"/>
        <v/>
      </c>
      <c r="N356" s="16" t="str">
        <f t="shared" si="68"/>
        <v/>
      </c>
      <c r="O356" s="16" t="str">
        <f t="shared" si="69"/>
        <v/>
      </c>
      <c r="P356" s="16" t="str">
        <f t="shared" si="70"/>
        <v/>
      </c>
      <c r="Q356" s="18" t="str">
        <f t="shared" si="71"/>
        <v/>
      </c>
      <c r="R356" s="19" t="str">
        <f>IF(C356="","",IF(ISNA(MATCH(B356,'Registru oferte'!$B$5:$B$504,0)),"Oferta nu există în registru",IF(N(F356)&lt;=0,"Lipsește cantitatea",IF(AND(ISNUMBER(Q356),Q356&lt;MarjaMin),"Marjă sub minim ("&amp;TEXT(Q356*100,"0")&amp;"%)",""))))</f>
        <v/>
      </c>
      <c r="S356" s="1" t="str">
        <f>IF(B356="","",B356&amp;"|"&amp;COUNTIF($B$5:B356,B356))</f>
        <v/>
      </c>
    </row>
    <row r="357" spans="2:19" x14ac:dyDescent="0.2">
      <c r="B357" s="11"/>
      <c r="C357" s="11"/>
      <c r="D357" s="10" t="str">
        <f t="shared" si="60"/>
        <v/>
      </c>
      <c r="E357" s="15" t="str">
        <f t="shared" si="61"/>
        <v/>
      </c>
      <c r="F357" s="11"/>
      <c r="G357" s="16" t="str">
        <f t="shared" si="62"/>
        <v/>
      </c>
      <c r="H357" s="17"/>
      <c r="I357" s="16" t="str">
        <f t="shared" si="63"/>
        <v/>
      </c>
      <c r="J357" s="16" t="str">
        <f t="shared" si="64"/>
        <v/>
      </c>
      <c r="K357" s="18" t="str">
        <f t="shared" si="65"/>
        <v/>
      </c>
      <c r="L357" s="16" t="str">
        <f t="shared" si="66"/>
        <v/>
      </c>
      <c r="M357" s="16" t="str">
        <f t="shared" si="67"/>
        <v/>
      </c>
      <c r="N357" s="16" t="str">
        <f t="shared" si="68"/>
        <v/>
      </c>
      <c r="O357" s="16" t="str">
        <f t="shared" si="69"/>
        <v/>
      </c>
      <c r="P357" s="16" t="str">
        <f t="shared" si="70"/>
        <v/>
      </c>
      <c r="Q357" s="18" t="str">
        <f t="shared" si="71"/>
        <v/>
      </c>
      <c r="R357" s="19" t="str">
        <f>IF(C357="","",IF(ISNA(MATCH(B357,'Registru oferte'!$B$5:$B$504,0)),"Oferta nu există în registru",IF(N(F357)&lt;=0,"Lipsește cantitatea",IF(AND(ISNUMBER(Q357),Q357&lt;MarjaMin),"Marjă sub minim ("&amp;TEXT(Q357*100,"0")&amp;"%)",""))))</f>
        <v/>
      </c>
      <c r="S357" s="1" t="str">
        <f>IF(B357="","",B357&amp;"|"&amp;COUNTIF($B$5:B357,B357))</f>
        <v/>
      </c>
    </row>
    <row r="358" spans="2:19" x14ac:dyDescent="0.2">
      <c r="B358" s="11"/>
      <c r="C358" s="11"/>
      <c r="D358" s="10" t="str">
        <f t="shared" si="60"/>
        <v/>
      </c>
      <c r="E358" s="15" t="str">
        <f t="shared" si="61"/>
        <v/>
      </c>
      <c r="F358" s="11"/>
      <c r="G358" s="16" t="str">
        <f t="shared" si="62"/>
        <v/>
      </c>
      <c r="H358" s="17"/>
      <c r="I358" s="16" t="str">
        <f t="shared" si="63"/>
        <v/>
      </c>
      <c r="J358" s="16" t="str">
        <f t="shared" si="64"/>
        <v/>
      </c>
      <c r="K358" s="18" t="str">
        <f t="shared" si="65"/>
        <v/>
      </c>
      <c r="L358" s="16" t="str">
        <f t="shared" si="66"/>
        <v/>
      </c>
      <c r="M358" s="16" t="str">
        <f t="shared" si="67"/>
        <v/>
      </c>
      <c r="N358" s="16" t="str">
        <f t="shared" si="68"/>
        <v/>
      </c>
      <c r="O358" s="16" t="str">
        <f t="shared" si="69"/>
        <v/>
      </c>
      <c r="P358" s="16" t="str">
        <f t="shared" si="70"/>
        <v/>
      </c>
      <c r="Q358" s="18" t="str">
        <f t="shared" si="71"/>
        <v/>
      </c>
      <c r="R358" s="19" t="str">
        <f>IF(C358="","",IF(ISNA(MATCH(B358,'Registru oferte'!$B$5:$B$504,0)),"Oferta nu există în registru",IF(N(F358)&lt;=0,"Lipsește cantitatea",IF(AND(ISNUMBER(Q358),Q358&lt;MarjaMin),"Marjă sub minim ("&amp;TEXT(Q358*100,"0")&amp;"%)",""))))</f>
        <v/>
      </c>
      <c r="S358" s="1" t="str">
        <f>IF(B358="","",B358&amp;"|"&amp;COUNTIF($B$5:B358,B358))</f>
        <v/>
      </c>
    </row>
    <row r="359" spans="2:19" x14ac:dyDescent="0.2">
      <c r="B359" s="11"/>
      <c r="C359" s="11"/>
      <c r="D359" s="10" t="str">
        <f t="shared" si="60"/>
        <v/>
      </c>
      <c r="E359" s="15" t="str">
        <f t="shared" si="61"/>
        <v/>
      </c>
      <c r="F359" s="11"/>
      <c r="G359" s="16" t="str">
        <f t="shared" si="62"/>
        <v/>
      </c>
      <c r="H359" s="17"/>
      <c r="I359" s="16" t="str">
        <f t="shared" si="63"/>
        <v/>
      </c>
      <c r="J359" s="16" t="str">
        <f t="shared" si="64"/>
        <v/>
      </c>
      <c r="K359" s="18" t="str">
        <f t="shared" si="65"/>
        <v/>
      </c>
      <c r="L359" s="16" t="str">
        <f t="shared" si="66"/>
        <v/>
      </c>
      <c r="M359" s="16" t="str">
        <f t="shared" si="67"/>
        <v/>
      </c>
      <c r="N359" s="16" t="str">
        <f t="shared" si="68"/>
        <v/>
      </c>
      <c r="O359" s="16" t="str">
        <f t="shared" si="69"/>
        <v/>
      </c>
      <c r="P359" s="16" t="str">
        <f t="shared" si="70"/>
        <v/>
      </c>
      <c r="Q359" s="18" t="str">
        <f t="shared" si="71"/>
        <v/>
      </c>
      <c r="R359" s="19" t="str">
        <f>IF(C359="","",IF(ISNA(MATCH(B359,'Registru oferte'!$B$5:$B$504,0)),"Oferta nu există în registru",IF(N(F359)&lt;=0,"Lipsește cantitatea",IF(AND(ISNUMBER(Q359),Q359&lt;MarjaMin),"Marjă sub minim ("&amp;TEXT(Q359*100,"0")&amp;"%)",""))))</f>
        <v/>
      </c>
      <c r="S359" s="1" t="str">
        <f>IF(B359="","",B359&amp;"|"&amp;COUNTIF($B$5:B359,B359))</f>
        <v/>
      </c>
    </row>
    <row r="360" spans="2:19" x14ac:dyDescent="0.2">
      <c r="B360" s="11"/>
      <c r="C360" s="11"/>
      <c r="D360" s="10" t="str">
        <f t="shared" si="60"/>
        <v/>
      </c>
      <c r="E360" s="15" t="str">
        <f t="shared" si="61"/>
        <v/>
      </c>
      <c r="F360" s="11"/>
      <c r="G360" s="16" t="str">
        <f t="shared" si="62"/>
        <v/>
      </c>
      <c r="H360" s="17"/>
      <c r="I360" s="16" t="str">
        <f t="shared" si="63"/>
        <v/>
      </c>
      <c r="J360" s="16" t="str">
        <f t="shared" si="64"/>
        <v/>
      </c>
      <c r="K360" s="18" t="str">
        <f t="shared" si="65"/>
        <v/>
      </c>
      <c r="L360" s="16" t="str">
        <f t="shared" si="66"/>
        <v/>
      </c>
      <c r="M360" s="16" t="str">
        <f t="shared" si="67"/>
        <v/>
      </c>
      <c r="N360" s="16" t="str">
        <f t="shared" si="68"/>
        <v/>
      </c>
      <c r="O360" s="16" t="str">
        <f t="shared" si="69"/>
        <v/>
      </c>
      <c r="P360" s="16" t="str">
        <f t="shared" si="70"/>
        <v/>
      </c>
      <c r="Q360" s="18" t="str">
        <f t="shared" si="71"/>
        <v/>
      </c>
      <c r="R360" s="19" t="str">
        <f>IF(C360="","",IF(ISNA(MATCH(B360,'Registru oferte'!$B$5:$B$504,0)),"Oferta nu există în registru",IF(N(F360)&lt;=0,"Lipsește cantitatea",IF(AND(ISNUMBER(Q360),Q360&lt;MarjaMin),"Marjă sub minim ("&amp;TEXT(Q360*100,"0")&amp;"%)",""))))</f>
        <v/>
      </c>
      <c r="S360" s="1" t="str">
        <f>IF(B360="","",B360&amp;"|"&amp;COUNTIF($B$5:B360,B360))</f>
        <v/>
      </c>
    </row>
    <row r="361" spans="2:19" x14ac:dyDescent="0.2">
      <c r="B361" s="11"/>
      <c r="C361" s="11"/>
      <c r="D361" s="10" t="str">
        <f t="shared" si="60"/>
        <v/>
      </c>
      <c r="E361" s="15" t="str">
        <f t="shared" si="61"/>
        <v/>
      </c>
      <c r="F361" s="11"/>
      <c r="G361" s="16" t="str">
        <f t="shared" si="62"/>
        <v/>
      </c>
      <c r="H361" s="17"/>
      <c r="I361" s="16" t="str">
        <f t="shared" si="63"/>
        <v/>
      </c>
      <c r="J361" s="16" t="str">
        <f t="shared" si="64"/>
        <v/>
      </c>
      <c r="K361" s="18" t="str">
        <f t="shared" si="65"/>
        <v/>
      </c>
      <c r="L361" s="16" t="str">
        <f t="shared" si="66"/>
        <v/>
      </c>
      <c r="M361" s="16" t="str">
        <f t="shared" si="67"/>
        <v/>
      </c>
      <c r="N361" s="16" t="str">
        <f t="shared" si="68"/>
        <v/>
      </c>
      <c r="O361" s="16" t="str">
        <f t="shared" si="69"/>
        <v/>
      </c>
      <c r="P361" s="16" t="str">
        <f t="shared" si="70"/>
        <v/>
      </c>
      <c r="Q361" s="18" t="str">
        <f t="shared" si="71"/>
        <v/>
      </c>
      <c r="R361" s="19" t="str">
        <f>IF(C361="","",IF(ISNA(MATCH(B361,'Registru oferte'!$B$5:$B$504,0)),"Oferta nu există în registru",IF(N(F361)&lt;=0,"Lipsește cantitatea",IF(AND(ISNUMBER(Q361),Q361&lt;MarjaMin),"Marjă sub minim ("&amp;TEXT(Q361*100,"0")&amp;"%)",""))))</f>
        <v/>
      </c>
      <c r="S361" s="1" t="str">
        <f>IF(B361="","",B361&amp;"|"&amp;COUNTIF($B$5:B361,B361))</f>
        <v/>
      </c>
    </row>
    <row r="362" spans="2:19" x14ac:dyDescent="0.2">
      <c r="B362" s="11"/>
      <c r="C362" s="11"/>
      <c r="D362" s="10" t="str">
        <f t="shared" si="60"/>
        <v/>
      </c>
      <c r="E362" s="15" t="str">
        <f t="shared" si="61"/>
        <v/>
      </c>
      <c r="F362" s="11"/>
      <c r="G362" s="16" t="str">
        <f t="shared" si="62"/>
        <v/>
      </c>
      <c r="H362" s="17"/>
      <c r="I362" s="16" t="str">
        <f t="shared" si="63"/>
        <v/>
      </c>
      <c r="J362" s="16" t="str">
        <f t="shared" si="64"/>
        <v/>
      </c>
      <c r="K362" s="18" t="str">
        <f t="shared" si="65"/>
        <v/>
      </c>
      <c r="L362" s="16" t="str">
        <f t="shared" si="66"/>
        <v/>
      </c>
      <c r="M362" s="16" t="str">
        <f t="shared" si="67"/>
        <v/>
      </c>
      <c r="N362" s="16" t="str">
        <f t="shared" si="68"/>
        <v/>
      </c>
      <c r="O362" s="16" t="str">
        <f t="shared" si="69"/>
        <v/>
      </c>
      <c r="P362" s="16" t="str">
        <f t="shared" si="70"/>
        <v/>
      </c>
      <c r="Q362" s="18" t="str">
        <f t="shared" si="71"/>
        <v/>
      </c>
      <c r="R362" s="19" t="str">
        <f>IF(C362="","",IF(ISNA(MATCH(B362,'Registru oferte'!$B$5:$B$504,0)),"Oferta nu există în registru",IF(N(F362)&lt;=0,"Lipsește cantitatea",IF(AND(ISNUMBER(Q362),Q362&lt;MarjaMin),"Marjă sub minim ("&amp;TEXT(Q362*100,"0")&amp;"%)",""))))</f>
        <v/>
      </c>
      <c r="S362" s="1" t="str">
        <f>IF(B362="","",B362&amp;"|"&amp;COUNTIF($B$5:B362,B362))</f>
        <v/>
      </c>
    </row>
    <row r="363" spans="2:19" x14ac:dyDescent="0.2">
      <c r="B363" s="11"/>
      <c r="C363" s="11"/>
      <c r="D363" s="10" t="str">
        <f t="shared" si="60"/>
        <v/>
      </c>
      <c r="E363" s="15" t="str">
        <f t="shared" si="61"/>
        <v/>
      </c>
      <c r="F363" s="11"/>
      <c r="G363" s="16" t="str">
        <f t="shared" si="62"/>
        <v/>
      </c>
      <c r="H363" s="17"/>
      <c r="I363" s="16" t="str">
        <f t="shared" si="63"/>
        <v/>
      </c>
      <c r="J363" s="16" t="str">
        <f t="shared" si="64"/>
        <v/>
      </c>
      <c r="K363" s="18" t="str">
        <f t="shared" si="65"/>
        <v/>
      </c>
      <c r="L363" s="16" t="str">
        <f t="shared" si="66"/>
        <v/>
      </c>
      <c r="M363" s="16" t="str">
        <f t="shared" si="67"/>
        <v/>
      </c>
      <c r="N363" s="16" t="str">
        <f t="shared" si="68"/>
        <v/>
      </c>
      <c r="O363" s="16" t="str">
        <f t="shared" si="69"/>
        <v/>
      </c>
      <c r="P363" s="16" t="str">
        <f t="shared" si="70"/>
        <v/>
      </c>
      <c r="Q363" s="18" t="str">
        <f t="shared" si="71"/>
        <v/>
      </c>
      <c r="R363" s="19" t="str">
        <f>IF(C363="","",IF(ISNA(MATCH(B363,'Registru oferte'!$B$5:$B$504,0)),"Oferta nu există în registru",IF(N(F363)&lt;=0,"Lipsește cantitatea",IF(AND(ISNUMBER(Q363),Q363&lt;MarjaMin),"Marjă sub minim ("&amp;TEXT(Q363*100,"0")&amp;"%)",""))))</f>
        <v/>
      </c>
      <c r="S363" s="1" t="str">
        <f>IF(B363="","",B363&amp;"|"&amp;COUNTIF($B$5:B363,B363))</f>
        <v/>
      </c>
    </row>
    <row r="364" spans="2:19" x14ac:dyDescent="0.2">
      <c r="B364" s="11"/>
      <c r="C364" s="11"/>
      <c r="D364" s="10" t="str">
        <f t="shared" si="60"/>
        <v/>
      </c>
      <c r="E364" s="15" t="str">
        <f t="shared" si="61"/>
        <v/>
      </c>
      <c r="F364" s="11"/>
      <c r="G364" s="16" t="str">
        <f t="shared" si="62"/>
        <v/>
      </c>
      <c r="H364" s="17"/>
      <c r="I364" s="16" t="str">
        <f t="shared" si="63"/>
        <v/>
      </c>
      <c r="J364" s="16" t="str">
        <f t="shared" si="64"/>
        <v/>
      </c>
      <c r="K364" s="18" t="str">
        <f t="shared" si="65"/>
        <v/>
      </c>
      <c r="L364" s="16" t="str">
        <f t="shared" si="66"/>
        <v/>
      </c>
      <c r="M364" s="16" t="str">
        <f t="shared" si="67"/>
        <v/>
      </c>
      <c r="N364" s="16" t="str">
        <f t="shared" si="68"/>
        <v/>
      </c>
      <c r="O364" s="16" t="str">
        <f t="shared" si="69"/>
        <v/>
      </c>
      <c r="P364" s="16" t="str">
        <f t="shared" si="70"/>
        <v/>
      </c>
      <c r="Q364" s="18" t="str">
        <f t="shared" si="71"/>
        <v/>
      </c>
      <c r="R364" s="19" t="str">
        <f>IF(C364="","",IF(ISNA(MATCH(B364,'Registru oferte'!$B$5:$B$504,0)),"Oferta nu există în registru",IF(N(F364)&lt;=0,"Lipsește cantitatea",IF(AND(ISNUMBER(Q364),Q364&lt;MarjaMin),"Marjă sub minim ("&amp;TEXT(Q364*100,"0")&amp;"%)",""))))</f>
        <v/>
      </c>
      <c r="S364" s="1" t="str">
        <f>IF(B364="","",B364&amp;"|"&amp;COUNTIF($B$5:B364,B364))</f>
        <v/>
      </c>
    </row>
    <row r="365" spans="2:19" x14ac:dyDescent="0.2">
      <c r="B365" s="11"/>
      <c r="C365" s="11"/>
      <c r="D365" s="10" t="str">
        <f t="shared" si="60"/>
        <v/>
      </c>
      <c r="E365" s="15" t="str">
        <f t="shared" si="61"/>
        <v/>
      </c>
      <c r="F365" s="11"/>
      <c r="G365" s="16" t="str">
        <f t="shared" si="62"/>
        <v/>
      </c>
      <c r="H365" s="17"/>
      <c r="I365" s="16" t="str">
        <f t="shared" si="63"/>
        <v/>
      </c>
      <c r="J365" s="16" t="str">
        <f t="shared" si="64"/>
        <v/>
      </c>
      <c r="K365" s="18" t="str">
        <f t="shared" si="65"/>
        <v/>
      </c>
      <c r="L365" s="16" t="str">
        <f t="shared" si="66"/>
        <v/>
      </c>
      <c r="M365" s="16" t="str">
        <f t="shared" si="67"/>
        <v/>
      </c>
      <c r="N365" s="16" t="str">
        <f t="shared" si="68"/>
        <v/>
      </c>
      <c r="O365" s="16" t="str">
        <f t="shared" si="69"/>
        <v/>
      </c>
      <c r="P365" s="16" t="str">
        <f t="shared" si="70"/>
        <v/>
      </c>
      <c r="Q365" s="18" t="str">
        <f t="shared" si="71"/>
        <v/>
      </c>
      <c r="R365" s="19" t="str">
        <f>IF(C365="","",IF(ISNA(MATCH(B365,'Registru oferte'!$B$5:$B$504,0)),"Oferta nu există în registru",IF(N(F365)&lt;=0,"Lipsește cantitatea",IF(AND(ISNUMBER(Q365),Q365&lt;MarjaMin),"Marjă sub minim ("&amp;TEXT(Q365*100,"0")&amp;"%)",""))))</f>
        <v/>
      </c>
      <c r="S365" s="1" t="str">
        <f>IF(B365="","",B365&amp;"|"&amp;COUNTIF($B$5:B365,B365))</f>
        <v/>
      </c>
    </row>
    <row r="366" spans="2:19" x14ac:dyDescent="0.2">
      <c r="B366" s="11"/>
      <c r="C366" s="11"/>
      <c r="D366" s="10" t="str">
        <f t="shared" si="60"/>
        <v/>
      </c>
      <c r="E366" s="15" t="str">
        <f t="shared" si="61"/>
        <v/>
      </c>
      <c r="F366" s="11"/>
      <c r="G366" s="16" t="str">
        <f t="shared" si="62"/>
        <v/>
      </c>
      <c r="H366" s="17"/>
      <c r="I366" s="16" t="str">
        <f t="shared" si="63"/>
        <v/>
      </c>
      <c r="J366" s="16" t="str">
        <f t="shared" si="64"/>
        <v/>
      </c>
      <c r="K366" s="18" t="str">
        <f t="shared" si="65"/>
        <v/>
      </c>
      <c r="L366" s="16" t="str">
        <f t="shared" si="66"/>
        <v/>
      </c>
      <c r="M366" s="16" t="str">
        <f t="shared" si="67"/>
        <v/>
      </c>
      <c r="N366" s="16" t="str">
        <f t="shared" si="68"/>
        <v/>
      </c>
      <c r="O366" s="16" t="str">
        <f t="shared" si="69"/>
        <v/>
      </c>
      <c r="P366" s="16" t="str">
        <f t="shared" si="70"/>
        <v/>
      </c>
      <c r="Q366" s="18" t="str">
        <f t="shared" si="71"/>
        <v/>
      </c>
      <c r="R366" s="19" t="str">
        <f>IF(C366="","",IF(ISNA(MATCH(B366,'Registru oferte'!$B$5:$B$504,0)),"Oferta nu există în registru",IF(N(F366)&lt;=0,"Lipsește cantitatea",IF(AND(ISNUMBER(Q366),Q366&lt;MarjaMin),"Marjă sub minim ("&amp;TEXT(Q366*100,"0")&amp;"%)",""))))</f>
        <v/>
      </c>
      <c r="S366" s="1" t="str">
        <f>IF(B366="","",B366&amp;"|"&amp;COUNTIF($B$5:B366,B366))</f>
        <v/>
      </c>
    </row>
    <row r="367" spans="2:19" x14ac:dyDescent="0.2">
      <c r="B367" s="11"/>
      <c r="C367" s="11"/>
      <c r="D367" s="10" t="str">
        <f t="shared" si="60"/>
        <v/>
      </c>
      <c r="E367" s="15" t="str">
        <f t="shared" si="61"/>
        <v/>
      </c>
      <c r="F367" s="11"/>
      <c r="G367" s="16" t="str">
        <f t="shared" si="62"/>
        <v/>
      </c>
      <c r="H367" s="17"/>
      <c r="I367" s="16" t="str">
        <f t="shared" si="63"/>
        <v/>
      </c>
      <c r="J367" s="16" t="str">
        <f t="shared" si="64"/>
        <v/>
      </c>
      <c r="K367" s="18" t="str">
        <f t="shared" si="65"/>
        <v/>
      </c>
      <c r="L367" s="16" t="str">
        <f t="shared" si="66"/>
        <v/>
      </c>
      <c r="M367" s="16" t="str">
        <f t="shared" si="67"/>
        <v/>
      </c>
      <c r="N367" s="16" t="str">
        <f t="shared" si="68"/>
        <v/>
      </c>
      <c r="O367" s="16" t="str">
        <f t="shared" si="69"/>
        <v/>
      </c>
      <c r="P367" s="16" t="str">
        <f t="shared" si="70"/>
        <v/>
      </c>
      <c r="Q367" s="18" t="str">
        <f t="shared" si="71"/>
        <v/>
      </c>
      <c r="R367" s="19" t="str">
        <f>IF(C367="","",IF(ISNA(MATCH(B367,'Registru oferte'!$B$5:$B$504,0)),"Oferta nu există în registru",IF(N(F367)&lt;=0,"Lipsește cantitatea",IF(AND(ISNUMBER(Q367),Q367&lt;MarjaMin),"Marjă sub minim ("&amp;TEXT(Q367*100,"0")&amp;"%)",""))))</f>
        <v/>
      </c>
      <c r="S367" s="1" t="str">
        <f>IF(B367="","",B367&amp;"|"&amp;COUNTIF($B$5:B367,B367))</f>
        <v/>
      </c>
    </row>
    <row r="368" spans="2:19" x14ac:dyDescent="0.2">
      <c r="B368" s="11"/>
      <c r="C368" s="11"/>
      <c r="D368" s="10" t="str">
        <f t="shared" si="60"/>
        <v/>
      </c>
      <c r="E368" s="15" t="str">
        <f t="shared" si="61"/>
        <v/>
      </c>
      <c r="F368" s="11"/>
      <c r="G368" s="16" t="str">
        <f t="shared" si="62"/>
        <v/>
      </c>
      <c r="H368" s="17"/>
      <c r="I368" s="16" t="str">
        <f t="shared" si="63"/>
        <v/>
      </c>
      <c r="J368" s="16" t="str">
        <f t="shared" si="64"/>
        <v/>
      </c>
      <c r="K368" s="18" t="str">
        <f t="shared" si="65"/>
        <v/>
      </c>
      <c r="L368" s="16" t="str">
        <f t="shared" si="66"/>
        <v/>
      </c>
      <c r="M368" s="16" t="str">
        <f t="shared" si="67"/>
        <v/>
      </c>
      <c r="N368" s="16" t="str">
        <f t="shared" si="68"/>
        <v/>
      </c>
      <c r="O368" s="16" t="str">
        <f t="shared" si="69"/>
        <v/>
      </c>
      <c r="P368" s="16" t="str">
        <f t="shared" si="70"/>
        <v/>
      </c>
      <c r="Q368" s="18" t="str">
        <f t="shared" si="71"/>
        <v/>
      </c>
      <c r="R368" s="19" t="str">
        <f>IF(C368="","",IF(ISNA(MATCH(B368,'Registru oferte'!$B$5:$B$504,0)),"Oferta nu există în registru",IF(N(F368)&lt;=0,"Lipsește cantitatea",IF(AND(ISNUMBER(Q368),Q368&lt;MarjaMin),"Marjă sub minim ("&amp;TEXT(Q368*100,"0")&amp;"%)",""))))</f>
        <v/>
      </c>
      <c r="S368" s="1" t="str">
        <f>IF(B368="","",B368&amp;"|"&amp;COUNTIF($B$5:B368,B368))</f>
        <v/>
      </c>
    </row>
    <row r="369" spans="2:19" x14ac:dyDescent="0.2">
      <c r="B369" s="11"/>
      <c r="C369" s="11"/>
      <c r="D369" s="10" t="str">
        <f t="shared" si="60"/>
        <v/>
      </c>
      <c r="E369" s="15" t="str">
        <f t="shared" si="61"/>
        <v/>
      </c>
      <c r="F369" s="11"/>
      <c r="G369" s="16" t="str">
        <f t="shared" si="62"/>
        <v/>
      </c>
      <c r="H369" s="17"/>
      <c r="I369" s="16" t="str">
        <f t="shared" si="63"/>
        <v/>
      </c>
      <c r="J369" s="16" t="str">
        <f t="shared" si="64"/>
        <v/>
      </c>
      <c r="K369" s="18" t="str">
        <f t="shared" si="65"/>
        <v/>
      </c>
      <c r="L369" s="16" t="str">
        <f t="shared" si="66"/>
        <v/>
      </c>
      <c r="M369" s="16" t="str">
        <f t="shared" si="67"/>
        <v/>
      </c>
      <c r="N369" s="16" t="str">
        <f t="shared" si="68"/>
        <v/>
      </c>
      <c r="O369" s="16" t="str">
        <f t="shared" si="69"/>
        <v/>
      </c>
      <c r="P369" s="16" t="str">
        <f t="shared" si="70"/>
        <v/>
      </c>
      <c r="Q369" s="18" t="str">
        <f t="shared" si="71"/>
        <v/>
      </c>
      <c r="R369" s="19" t="str">
        <f>IF(C369="","",IF(ISNA(MATCH(B369,'Registru oferte'!$B$5:$B$504,0)),"Oferta nu există în registru",IF(N(F369)&lt;=0,"Lipsește cantitatea",IF(AND(ISNUMBER(Q369),Q369&lt;MarjaMin),"Marjă sub minim ("&amp;TEXT(Q369*100,"0")&amp;"%)",""))))</f>
        <v/>
      </c>
      <c r="S369" s="1" t="str">
        <f>IF(B369="","",B369&amp;"|"&amp;COUNTIF($B$5:B369,B369))</f>
        <v/>
      </c>
    </row>
    <row r="370" spans="2:19" x14ac:dyDescent="0.2">
      <c r="B370" s="11"/>
      <c r="C370" s="11"/>
      <c r="D370" s="10" t="str">
        <f t="shared" si="60"/>
        <v/>
      </c>
      <c r="E370" s="15" t="str">
        <f t="shared" si="61"/>
        <v/>
      </c>
      <c r="F370" s="11"/>
      <c r="G370" s="16" t="str">
        <f t="shared" si="62"/>
        <v/>
      </c>
      <c r="H370" s="17"/>
      <c r="I370" s="16" t="str">
        <f t="shared" si="63"/>
        <v/>
      </c>
      <c r="J370" s="16" t="str">
        <f t="shared" si="64"/>
        <v/>
      </c>
      <c r="K370" s="18" t="str">
        <f t="shared" si="65"/>
        <v/>
      </c>
      <c r="L370" s="16" t="str">
        <f t="shared" si="66"/>
        <v/>
      </c>
      <c r="M370" s="16" t="str">
        <f t="shared" si="67"/>
        <v/>
      </c>
      <c r="N370" s="16" t="str">
        <f t="shared" si="68"/>
        <v/>
      </c>
      <c r="O370" s="16" t="str">
        <f t="shared" si="69"/>
        <v/>
      </c>
      <c r="P370" s="16" t="str">
        <f t="shared" si="70"/>
        <v/>
      </c>
      <c r="Q370" s="18" t="str">
        <f t="shared" si="71"/>
        <v/>
      </c>
      <c r="R370" s="19" t="str">
        <f>IF(C370="","",IF(ISNA(MATCH(B370,'Registru oferte'!$B$5:$B$504,0)),"Oferta nu există în registru",IF(N(F370)&lt;=0,"Lipsește cantitatea",IF(AND(ISNUMBER(Q370),Q370&lt;MarjaMin),"Marjă sub minim ("&amp;TEXT(Q370*100,"0")&amp;"%)",""))))</f>
        <v/>
      </c>
      <c r="S370" s="1" t="str">
        <f>IF(B370="","",B370&amp;"|"&amp;COUNTIF($B$5:B370,B370))</f>
        <v/>
      </c>
    </row>
    <row r="371" spans="2:19" x14ac:dyDescent="0.2">
      <c r="B371" s="11"/>
      <c r="C371" s="11"/>
      <c r="D371" s="10" t="str">
        <f t="shared" si="60"/>
        <v/>
      </c>
      <c r="E371" s="15" t="str">
        <f t="shared" si="61"/>
        <v/>
      </c>
      <c r="F371" s="11"/>
      <c r="G371" s="16" t="str">
        <f t="shared" si="62"/>
        <v/>
      </c>
      <c r="H371" s="17"/>
      <c r="I371" s="16" t="str">
        <f t="shared" si="63"/>
        <v/>
      </c>
      <c r="J371" s="16" t="str">
        <f t="shared" si="64"/>
        <v/>
      </c>
      <c r="K371" s="18" t="str">
        <f t="shared" si="65"/>
        <v/>
      </c>
      <c r="L371" s="16" t="str">
        <f t="shared" si="66"/>
        <v/>
      </c>
      <c r="M371" s="16" t="str">
        <f t="shared" si="67"/>
        <v/>
      </c>
      <c r="N371" s="16" t="str">
        <f t="shared" si="68"/>
        <v/>
      </c>
      <c r="O371" s="16" t="str">
        <f t="shared" si="69"/>
        <v/>
      </c>
      <c r="P371" s="16" t="str">
        <f t="shared" si="70"/>
        <v/>
      </c>
      <c r="Q371" s="18" t="str">
        <f t="shared" si="71"/>
        <v/>
      </c>
      <c r="R371" s="19" t="str">
        <f>IF(C371="","",IF(ISNA(MATCH(B371,'Registru oferte'!$B$5:$B$504,0)),"Oferta nu există în registru",IF(N(F371)&lt;=0,"Lipsește cantitatea",IF(AND(ISNUMBER(Q371),Q371&lt;MarjaMin),"Marjă sub minim ("&amp;TEXT(Q371*100,"0")&amp;"%)",""))))</f>
        <v/>
      </c>
      <c r="S371" s="1" t="str">
        <f>IF(B371="","",B371&amp;"|"&amp;COUNTIF($B$5:B371,B371))</f>
        <v/>
      </c>
    </row>
    <row r="372" spans="2:19" x14ac:dyDescent="0.2">
      <c r="B372" s="11"/>
      <c r="C372" s="11"/>
      <c r="D372" s="10" t="str">
        <f t="shared" si="60"/>
        <v/>
      </c>
      <c r="E372" s="15" t="str">
        <f t="shared" si="61"/>
        <v/>
      </c>
      <c r="F372" s="11"/>
      <c r="G372" s="16" t="str">
        <f t="shared" si="62"/>
        <v/>
      </c>
      <c r="H372" s="17"/>
      <c r="I372" s="16" t="str">
        <f t="shared" si="63"/>
        <v/>
      </c>
      <c r="J372" s="16" t="str">
        <f t="shared" si="64"/>
        <v/>
      </c>
      <c r="K372" s="18" t="str">
        <f t="shared" si="65"/>
        <v/>
      </c>
      <c r="L372" s="16" t="str">
        <f t="shared" si="66"/>
        <v/>
      </c>
      <c r="M372" s="16" t="str">
        <f t="shared" si="67"/>
        <v/>
      </c>
      <c r="N372" s="16" t="str">
        <f t="shared" si="68"/>
        <v/>
      </c>
      <c r="O372" s="16" t="str">
        <f t="shared" si="69"/>
        <v/>
      </c>
      <c r="P372" s="16" t="str">
        <f t="shared" si="70"/>
        <v/>
      </c>
      <c r="Q372" s="18" t="str">
        <f t="shared" si="71"/>
        <v/>
      </c>
      <c r="R372" s="19" t="str">
        <f>IF(C372="","",IF(ISNA(MATCH(B372,'Registru oferte'!$B$5:$B$504,0)),"Oferta nu există în registru",IF(N(F372)&lt;=0,"Lipsește cantitatea",IF(AND(ISNUMBER(Q372),Q372&lt;MarjaMin),"Marjă sub minim ("&amp;TEXT(Q372*100,"0")&amp;"%)",""))))</f>
        <v/>
      </c>
      <c r="S372" s="1" t="str">
        <f>IF(B372="","",B372&amp;"|"&amp;COUNTIF($B$5:B372,B372))</f>
        <v/>
      </c>
    </row>
    <row r="373" spans="2:19" x14ac:dyDescent="0.2">
      <c r="B373" s="11"/>
      <c r="C373" s="11"/>
      <c r="D373" s="10" t="str">
        <f t="shared" si="60"/>
        <v/>
      </c>
      <c r="E373" s="15" t="str">
        <f t="shared" si="61"/>
        <v/>
      </c>
      <c r="F373" s="11"/>
      <c r="G373" s="16" t="str">
        <f t="shared" si="62"/>
        <v/>
      </c>
      <c r="H373" s="17"/>
      <c r="I373" s="16" t="str">
        <f t="shared" si="63"/>
        <v/>
      </c>
      <c r="J373" s="16" t="str">
        <f t="shared" si="64"/>
        <v/>
      </c>
      <c r="K373" s="18" t="str">
        <f t="shared" si="65"/>
        <v/>
      </c>
      <c r="L373" s="16" t="str">
        <f t="shared" si="66"/>
        <v/>
      </c>
      <c r="M373" s="16" t="str">
        <f t="shared" si="67"/>
        <v/>
      </c>
      <c r="N373" s="16" t="str">
        <f t="shared" si="68"/>
        <v/>
      </c>
      <c r="O373" s="16" t="str">
        <f t="shared" si="69"/>
        <v/>
      </c>
      <c r="P373" s="16" t="str">
        <f t="shared" si="70"/>
        <v/>
      </c>
      <c r="Q373" s="18" t="str">
        <f t="shared" si="71"/>
        <v/>
      </c>
      <c r="R373" s="19" t="str">
        <f>IF(C373="","",IF(ISNA(MATCH(B373,'Registru oferte'!$B$5:$B$504,0)),"Oferta nu există în registru",IF(N(F373)&lt;=0,"Lipsește cantitatea",IF(AND(ISNUMBER(Q373),Q373&lt;MarjaMin),"Marjă sub minim ("&amp;TEXT(Q373*100,"0")&amp;"%)",""))))</f>
        <v/>
      </c>
      <c r="S373" s="1" t="str">
        <f>IF(B373="","",B373&amp;"|"&amp;COUNTIF($B$5:B373,B373))</f>
        <v/>
      </c>
    </row>
    <row r="374" spans="2:19" x14ac:dyDescent="0.2">
      <c r="B374" s="11"/>
      <c r="C374" s="11"/>
      <c r="D374" s="10" t="str">
        <f t="shared" si="60"/>
        <v/>
      </c>
      <c r="E374" s="15" t="str">
        <f t="shared" si="61"/>
        <v/>
      </c>
      <c r="F374" s="11"/>
      <c r="G374" s="16" t="str">
        <f t="shared" si="62"/>
        <v/>
      </c>
      <c r="H374" s="17"/>
      <c r="I374" s="16" t="str">
        <f t="shared" si="63"/>
        <v/>
      </c>
      <c r="J374" s="16" t="str">
        <f t="shared" si="64"/>
        <v/>
      </c>
      <c r="K374" s="18" t="str">
        <f t="shared" si="65"/>
        <v/>
      </c>
      <c r="L374" s="16" t="str">
        <f t="shared" si="66"/>
        <v/>
      </c>
      <c r="M374" s="16" t="str">
        <f t="shared" si="67"/>
        <v/>
      </c>
      <c r="N374" s="16" t="str">
        <f t="shared" si="68"/>
        <v/>
      </c>
      <c r="O374" s="16" t="str">
        <f t="shared" si="69"/>
        <v/>
      </c>
      <c r="P374" s="16" t="str">
        <f t="shared" si="70"/>
        <v/>
      </c>
      <c r="Q374" s="18" t="str">
        <f t="shared" si="71"/>
        <v/>
      </c>
      <c r="R374" s="19" t="str">
        <f>IF(C374="","",IF(ISNA(MATCH(B374,'Registru oferte'!$B$5:$B$504,0)),"Oferta nu există în registru",IF(N(F374)&lt;=0,"Lipsește cantitatea",IF(AND(ISNUMBER(Q374),Q374&lt;MarjaMin),"Marjă sub minim ("&amp;TEXT(Q374*100,"0")&amp;"%)",""))))</f>
        <v/>
      </c>
      <c r="S374" s="1" t="str">
        <f>IF(B374="","",B374&amp;"|"&amp;COUNTIF($B$5:B374,B374))</f>
        <v/>
      </c>
    </row>
    <row r="375" spans="2:19" x14ac:dyDescent="0.2">
      <c r="B375" s="11"/>
      <c r="C375" s="11"/>
      <c r="D375" s="10" t="str">
        <f t="shared" si="60"/>
        <v/>
      </c>
      <c r="E375" s="15" t="str">
        <f t="shared" si="61"/>
        <v/>
      </c>
      <c r="F375" s="11"/>
      <c r="G375" s="16" t="str">
        <f t="shared" si="62"/>
        <v/>
      </c>
      <c r="H375" s="17"/>
      <c r="I375" s="16" t="str">
        <f t="shared" si="63"/>
        <v/>
      </c>
      <c r="J375" s="16" t="str">
        <f t="shared" si="64"/>
        <v/>
      </c>
      <c r="K375" s="18" t="str">
        <f t="shared" si="65"/>
        <v/>
      </c>
      <c r="L375" s="16" t="str">
        <f t="shared" si="66"/>
        <v/>
      </c>
      <c r="M375" s="16" t="str">
        <f t="shared" si="67"/>
        <v/>
      </c>
      <c r="N375" s="16" t="str">
        <f t="shared" si="68"/>
        <v/>
      </c>
      <c r="O375" s="16" t="str">
        <f t="shared" si="69"/>
        <v/>
      </c>
      <c r="P375" s="16" t="str">
        <f t="shared" si="70"/>
        <v/>
      </c>
      <c r="Q375" s="18" t="str">
        <f t="shared" si="71"/>
        <v/>
      </c>
      <c r="R375" s="19" t="str">
        <f>IF(C375="","",IF(ISNA(MATCH(B375,'Registru oferte'!$B$5:$B$504,0)),"Oferta nu există în registru",IF(N(F375)&lt;=0,"Lipsește cantitatea",IF(AND(ISNUMBER(Q375),Q375&lt;MarjaMin),"Marjă sub minim ("&amp;TEXT(Q375*100,"0")&amp;"%)",""))))</f>
        <v/>
      </c>
      <c r="S375" s="1" t="str">
        <f>IF(B375="","",B375&amp;"|"&amp;COUNTIF($B$5:B375,B375))</f>
        <v/>
      </c>
    </row>
    <row r="376" spans="2:19" x14ac:dyDescent="0.2">
      <c r="B376" s="11"/>
      <c r="C376" s="11"/>
      <c r="D376" s="10" t="str">
        <f t="shared" si="60"/>
        <v/>
      </c>
      <c r="E376" s="15" t="str">
        <f t="shared" si="61"/>
        <v/>
      </c>
      <c r="F376" s="11"/>
      <c r="G376" s="16" t="str">
        <f t="shared" si="62"/>
        <v/>
      </c>
      <c r="H376" s="17"/>
      <c r="I376" s="16" t="str">
        <f t="shared" si="63"/>
        <v/>
      </c>
      <c r="J376" s="16" t="str">
        <f t="shared" si="64"/>
        <v/>
      </c>
      <c r="K376" s="18" t="str">
        <f t="shared" si="65"/>
        <v/>
      </c>
      <c r="L376" s="16" t="str">
        <f t="shared" si="66"/>
        <v/>
      </c>
      <c r="M376" s="16" t="str">
        <f t="shared" si="67"/>
        <v/>
      </c>
      <c r="N376" s="16" t="str">
        <f t="shared" si="68"/>
        <v/>
      </c>
      <c r="O376" s="16" t="str">
        <f t="shared" si="69"/>
        <v/>
      </c>
      <c r="P376" s="16" t="str">
        <f t="shared" si="70"/>
        <v/>
      </c>
      <c r="Q376" s="18" t="str">
        <f t="shared" si="71"/>
        <v/>
      </c>
      <c r="R376" s="19" t="str">
        <f>IF(C376="","",IF(ISNA(MATCH(B376,'Registru oferte'!$B$5:$B$504,0)),"Oferta nu există în registru",IF(N(F376)&lt;=0,"Lipsește cantitatea",IF(AND(ISNUMBER(Q376),Q376&lt;MarjaMin),"Marjă sub minim ("&amp;TEXT(Q376*100,"0")&amp;"%)",""))))</f>
        <v/>
      </c>
      <c r="S376" s="1" t="str">
        <f>IF(B376="","",B376&amp;"|"&amp;COUNTIF($B$5:B376,B376))</f>
        <v/>
      </c>
    </row>
    <row r="377" spans="2:19" x14ac:dyDescent="0.2">
      <c r="B377" s="11"/>
      <c r="C377" s="11"/>
      <c r="D377" s="10" t="str">
        <f t="shared" si="60"/>
        <v/>
      </c>
      <c r="E377" s="15" t="str">
        <f t="shared" si="61"/>
        <v/>
      </c>
      <c r="F377" s="11"/>
      <c r="G377" s="16" t="str">
        <f t="shared" si="62"/>
        <v/>
      </c>
      <c r="H377" s="17"/>
      <c r="I377" s="16" t="str">
        <f t="shared" si="63"/>
        <v/>
      </c>
      <c r="J377" s="16" t="str">
        <f t="shared" si="64"/>
        <v/>
      </c>
      <c r="K377" s="18" t="str">
        <f t="shared" si="65"/>
        <v/>
      </c>
      <c r="L377" s="16" t="str">
        <f t="shared" si="66"/>
        <v/>
      </c>
      <c r="M377" s="16" t="str">
        <f t="shared" si="67"/>
        <v/>
      </c>
      <c r="N377" s="16" t="str">
        <f t="shared" si="68"/>
        <v/>
      </c>
      <c r="O377" s="16" t="str">
        <f t="shared" si="69"/>
        <v/>
      </c>
      <c r="P377" s="16" t="str">
        <f t="shared" si="70"/>
        <v/>
      </c>
      <c r="Q377" s="18" t="str">
        <f t="shared" si="71"/>
        <v/>
      </c>
      <c r="R377" s="19" t="str">
        <f>IF(C377="","",IF(ISNA(MATCH(B377,'Registru oferte'!$B$5:$B$504,0)),"Oferta nu există în registru",IF(N(F377)&lt;=0,"Lipsește cantitatea",IF(AND(ISNUMBER(Q377),Q377&lt;MarjaMin),"Marjă sub minim ("&amp;TEXT(Q377*100,"0")&amp;"%)",""))))</f>
        <v/>
      </c>
      <c r="S377" s="1" t="str">
        <f>IF(B377="","",B377&amp;"|"&amp;COUNTIF($B$5:B377,B377))</f>
        <v/>
      </c>
    </row>
    <row r="378" spans="2:19" x14ac:dyDescent="0.2">
      <c r="B378" s="11"/>
      <c r="C378" s="11"/>
      <c r="D378" s="10" t="str">
        <f t="shared" si="60"/>
        <v/>
      </c>
      <c r="E378" s="15" t="str">
        <f t="shared" si="61"/>
        <v/>
      </c>
      <c r="F378" s="11"/>
      <c r="G378" s="16" t="str">
        <f t="shared" si="62"/>
        <v/>
      </c>
      <c r="H378" s="17"/>
      <c r="I378" s="16" t="str">
        <f t="shared" si="63"/>
        <v/>
      </c>
      <c r="J378" s="16" t="str">
        <f t="shared" si="64"/>
        <v/>
      </c>
      <c r="K378" s="18" t="str">
        <f t="shared" si="65"/>
        <v/>
      </c>
      <c r="L378" s="16" t="str">
        <f t="shared" si="66"/>
        <v/>
      </c>
      <c r="M378" s="16" t="str">
        <f t="shared" si="67"/>
        <v/>
      </c>
      <c r="N378" s="16" t="str">
        <f t="shared" si="68"/>
        <v/>
      </c>
      <c r="O378" s="16" t="str">
        <f t="shared" si="69"/>
        <v/>
      </c>
      <c r="P378" s="16" t="str">
        <f t="shared" si="70"/>
        <v/>
      </c>
      <c r="Q378" s="18" t="str">
        <f t="shared" si="71"/>
        <v/>
      </c>
      <c r="R378" s="19" t="str">
        <f>IF(C378="","",IF(ISNA(MATCH(B378,'Registru oferte'!$B$5:$B$504,0)),"Oferta nu există în registru",IF(N(F378)&lt;=0,"Lipsește cantitatea",IF(AND(ISNUMBER(Q378),Q378&lt;MarjaMin),"Marjă sub minim ("&amp;TEXT(Q378*100,"0")&amp;"%)",""))))</f>
        <v/>
      </c>
      <c r="S378" s="1" t="str">
        <f>IF(B378="","",B378&amp;"|"&amp;COUNTIF($B$5:B378,B378))</f>
        <v/>
      </c>
    </row>
    <row r="379" spans="2:19" x14ac:dyDescent="0.2">
      <c r="B379" s="11"/>
      <c r="C379" s="11"/>
      <c r="D379" s="10" t="str">
        <f t="shared" si="60"/>
        <v/>
      </c>
      <c r="E379" s="15" t="str">
        <f t="shared" si="61"/>
        <v/>
      </c>
      <c r="F379" s="11"/>
      <c r="G379" s="16" t="str">
        <f t="shared" si="62"/>
        <v/>
      </c>
      <c r="H379" s="17"/>
      <c r="I379" s="16" t="str">
        <f t="shared" si="63"/>
        <v/>
      </c>
      <c r="J379" s="16" t="str">
        <f t="shared" si="64"/>
        <v/>
      </c>
      <c r="K379" s="18" t="str">
        <f t="shared" si="65"/>
        <v/>
      </c>
      <c r="L379" s="16" t="str">
        <f t="shared" si="66"/>
        <v/>
      </c>
      <c r="M379" s="16" t="str">
        <f t="shared" si="67"/>
        <v/>
      </c>
      <c r="N379" s="16" t="str">
        <f t="shared" si="68"/>
        <v/>
      </c>
      <c r="O379" s="16" t="str">
        <f t="shared" si="69"/>
        <v/>
      </c>
      <c r="P379" s="16" t="str">
        <f t="shared" si="70"/>
        <v/>
      </c>
      <c r="Q379" s="18" t="str">
        <f t="shared" si="71"/>
        <v/>
      </c>
      <c r="R379" s="19" t="str">
        <f>IF(C379="","",IF(ISNA(MATCH(B379,'Registru oferte'!$B$5:$B$504,0)),"Oferta nu există în registru",IF(N(F379)&lt;=0,"Lipsește cantitatea",IF(AND(ISNUMBER(Q379),Q379&lt;MarjaMin),"Marjă sub minim ("&amp;TEXT(Q379*100,"0")&amp;"%)",""))))</f>
        <v/>
      </c>
      <c r="S379" s="1" t="str">
        <f>IF(B379="","",B379&amp;"|"&amp;COUNTIF($B$5:B379,B379))</f>
        <v/>
      </c>
    </row>
    <row r="380" spans="2:19" x14ac:dyDescent="0.2">
      <c r="B380" s="11"/>
      <c r="C380" s="11"/>
      <c r="D380" s="10" t="str">
        <f t="shared" si="60"/>
        <v/>
      </c>
      <c r="E380" s="15" t="str">
        <f t="shared" si="61"/>
        <v/>
      </c>
      <c r="F380" s="11"/>
      <c r="G380" s="16" t="str">
        <f t="shared" si="62"/>
        <v/>
      </c>
      <c r="H380" s="17"/>
      <c r="I380" s="16" t="str">
        <f t="shared" si="63"/>
        <v/>
      </c>
      <c r="J380" s="16" t="str">
        <f t="shared" si="64"/>
        <v/>
      </c>
      <c r="K380" s="18" t="str">
        <f t="shared" si="65"/>
        <v/>
      </c>
      <c r="L380" s="16" t="str">
        <f t="shared" si="66"/>
        <v/>
      </c>
      <c r="M380" s="16" t="str">
        <f t="shared" si="67"/>
        <v/>
      </c>
      <c r="N380" s="16" t="str">
        <f t="shared" si="68"/>
        <v/>
      </c>
      <c r="O380" s="16" t="str">
        <f t="shared" si="69"/>
        <v/>
      </c>
      <c r="P380" s="16" t="str">
        <f t="shared" si="70"/>
        <v/>
      </c>
      <c r="Q380" s="18" t="str">
        <f t="shared" si="71"/>
        <v/>
      </c>
      <c r="R380" s="19" t="str">
        <f>IF(C380="","",IF(ISNA(MATCH(B380,'Registru oferte'!$B$5:$B$504,0)),"Oferta nu există în registru",IF(N(F380)&lt;=0,"Lipsește cantitatea",IF(AND(ISNUMBER(Q380),Q380&lt;MarjaMin),"Marjă sub minim ("&amp;TEXT(Q380*100,"0")&amp;"%)",""))))</f>
        <v/>
      </c>
      <c r="S380" s="1" t="str">
        <f>IF(B380="","",B380&amp;"|"&amp;COUNTIF($B$5:B380,B380))</f>
        <v/>
      </c>
    </row>
    <row r="381" spans="2:19" x14ac:dyDescent="0.2">
      <c r="B381" s="11"/>
      <c r="C381" s="11"/>
      <c r="D381" s="10" t="str">
        <f t="shared" si="60"/>
        <v/>
      </c>
      <c r="E381" s="15" t="str">
        <f t="shared" si="61"/>
        <v/>
      </c>
      <c r="F381" s="11"/>
      <c r="G381" s="16" t="str">
        <f t="shared" si="62"/>
        <v/>
      </c>
      <c r="H381" s="17"/>
      <c r="I381" s="16" t="str">
        <f t="shared" si="63"/>
        <v/>
      </c>
      <c r="J381" s="16" t="str">
        <f t="shared" si="64"/>
        <v/>
      </c>
      <c r="K381" s="18" t="str">
        <f t="shared" si="65"/>
        <v/>
      </c>
      <c r="L381" s="16" t="str">
        <f t="shared" si="66"/>
        <v/>
      </c>
      <c r="M381" s="16" t="str">
        <f t="shared" si="67"/>
        <v/>
      </c>
      <c r="N381" s="16" t="str">
        <f t="shared" si="68"/>
        <v/>
      </c>
      <c r="O381" s="16" t="str">
        <f t="shared" si="69"/>
        <v/>
      </c>
      <c r="P381" s="16" t="str">
        <f t="shared" si="70"/>
        <v/>
      </c>
      <c r="Q381" s="18" t="str">
        <f t="shared" si="71"/>
        <v/>
      </c>
      <c r="R381" s="19" t="str">
        <f>IF(C381="","",IF(ISNA(MATCH(B381,'Registru oferte'!$B$5:$B$504,0)),"Oferta nu există în registru",IF(N(F381)&lt;=0,"Lipsește cantitatea",IF(AND(ISNUMBER(Q381),Q381&lt;MarjaMin),"Marjă sub minim ("&amp;TEXT(Q381*100,"0")&amp;"%)",""))))</f>
        <v/>
      </c>
      <c r="S381" s="1" t="str">
        <f>IF(B381="","",B381&amp;"|"&amp;COUNTIF($B$5:B381,B381))</f>
        <v/>
      </c>
    </row>
    <row r="382" spans="2:19" x14ac:dyDescent="0.2">
      <c r="B382" s="11"/>
      <c r="C382" s="11"/>
      <c r="D382" s="10" t="str">
        <f t="shared" si="60"/>
        <v/>
      </c>
      <c r="E382" s="15" t="str">
        <f t="shared" si="61"/>
        <v/>
      </c>
      <c r="F382" s="11"/>
      <c r="G382" s="16" t="str">
        <f t="shared" si="62"/>
        <v/>
      </c>
      <c r="H382" s="17"/>
      <c r="I382" s="16" t="str">
        <f t="shared" si="63"/>
        <v/>
      </c>
      <c r="J382" s="16" t="str">
        <f t="shared" si="64"/>
        <v/>
      </c>
      <c r="K382" s="18" t="str">
        <f t="shared" si="65"/>
        <v/>
      </c>
      <c r="L382" s="16" t="str">
        <f t="shared" si="66"/>
        <v/>
      </c>
      <c r="M382" s="16" t="str">
        <f t="shared" si="67"/>
        <v/>
      </c>
      <c r="N382" s="16" t="str">
        <f t="shared" si="68"/>
        <v/>
      </c>
      <c r="O382" s="16" t="str">
        <f t="shared" si="69"/>
        <v/>
      </c>
      <c r="P382" s="16" t="str">
        <f t="shared" si="70"/>
        <v/>
      </c>
      <c r="Q382" s="18" t="str">
        <f t="shared" si="71"/>
        <v/>
      </c>
      <c r="R382" s="19" t="str">
        <f>IF(C382="","",IF(ISNA(MATCH(B382,'Registru oferte'!$B$5:$B$504,0)),"Oferta nu există în registru",IF(N(F382)&lt;=0,"Lipsește cantitatea",IF(AND(ISNUMBER(Q382),Q382&lt;MarjaMin),"Marjă sub minim ("&amp;TEXT(Q382*100,"0")&amp;"%)",""))))</f>
        <v/>
      </c>
      <c r="S382" s="1" t="str">
        <f>IF(B382="","",B382&amp;"|"&amp;COUNTIF($B$5:B382,B382))</f>
        <v/>
      </c>
    </row>
    <row r="383" spans="2:19" x14ac:dyDescent="0.2">
      <c r="B383" s="11"/>
      <c r="C383" s="11"/>
      <c r="D383" s="10" t="str">
        <f t="shared" si="60"/>
        <v/>
      </c>
      <c r="E383" s="15" t="str">
        <f t="shared" si="61"/>
        <v/>
      </c>
      <c r="F383" s="11"/>
      <c r="G383" s="16" t="str">
        <f t="shared" si="62"/>
        <v/>
      </c>
      <c r="H383" s="17"/>
      <c r="I383" s="16" t="str">
        <f t="shared" si="63"/>
        <v/>
      </c>
      <c r="J383" s="16" t="str">
        <f t="shared" si="64"/>
        <v/>
      </c>
      <c r="K383" s="18" t="str">
        <f t="shared" si="65"/>
        <v/>
      </c>
      <c r="L383" s="16" t="str">
        <f t="shared" si="66"/>
        <v/>
      </c>
      <c r="M383" s="16" t="str">
        <f t="shared" si="67"/>
        <v/>
      </c>
      <c r="N383" s="16" t="str">
        <f t="shared" si="68"/>
        <v/>
      </c>
      <c r="O383" s="16" t="str">
        <f t="shared" si="69"/>
        <v/>
      </c>
      <c r="P383" s="16" t="str">
        <f t="shared" si="70"/>
        <v/>
      </c>
      <c r="Q383" s="18" t="str">
        <f t="shared" si="71"/>
        <v/>
      </c>
      <c r="R383" s="19" t="str">
        <f>IF(C383="","",IF(ISNA(MATCH(B383,'Registru oferte'!$B$5:$B$504,0)),"Oferta nu există în registru",IF(N(F383)&lt;=0,"Lipsește cantitatea",IF(AND(ISNUMBER(Q383),Q383&lt;MarjaMin),"Marjă sub minim ("&amp;TEXT(Q383*100,"0")&amp;"%)",""))))</f>
        <v/>
      </c>
      <c r="S383" s="1" t="str">
        <f>IF(B383="","",B383&amp;"|"&amp;COUNTIF($B$5:B383,B383))</f>
        <v/>
      </c>
    </row>
    <row r="384" spans="2:19" x14ac:dyDescent="0.2">
      <c r="B384" s="11"/>
      <c r="C384" s="11"/>
      <c r="D384" s="10" t="str">
        <f t="shared" si="60"/>
        <v/>
      </c>
      <c r="E384" s="15" t="str">
        <f t="shared" si="61"/>
        <v/>
      </c>
      <c r="F384" s="11"/>
      <c r="G384" s="16" t="str">
        <f t="shared" si="62"/>
        <v/>
      </c>
      <c r="H384" s="17"/>
      <c r="I384" s="16" t="str">
        <f t="shared" si="63"/>
        <v/>
      </c>
      <c r="J384" s="16" t="str">
        <f t="shared" si="64"/>
        <v/>
      </c>
      <c r="K384" s="18" t="str">
        <f t="shared" si="65"/>
        <v/>
      </c>
      <c r="L384" s="16" t="str">
        <f t="shared" si="66"/>
        <v/>
      </c>
      <c r="M384" s="16" t="str">
        <f t="shared" si="67"/>
        <v/>
      </c>
      <c r="N384" s="16" t="str">
        <f t="shared" si="68"/>
        <v/>
      </c>
      <c r="O384" s="16" t="str">
        <f t="shared" si="69"/>
        <v/>
      </c>
      <c r="P384" s="16" t="str">
        <f t="shared" si="70"/>
        <v/>
      </c>
      <c r="Q384" s="18" t="str">
        <f t="shared" si="71"/>
        <v/>
      </c>
      <c r="R384" s="19" t="str">
        <f>IF(C384="","",IF(ISNA(MATCH(B384,'Registru oferte'!$B$5:$B$504,0)),"Oferta nu există în registru",IF(N(F384)&lt;=0,"Lipsește cantitatea",IF(AND(ISNUMBER(Q384),Q384&lt;MarjaMin),"Marjă sub minim ("&amp;TEXT(Q384*100,"0")&amp;"%)",""))))</f>
        <v/>
      </c>
      <c r="S384" s="1" t="str">
        <f>IF(B384="","",B384&amp;"|"&amp;COUNTIF($B$5:B384,B384))</f>
        <v/>
      </c>
    </row>
    <row r="385" spans="2:19" x14ac:dyDescent="0.2">
      <c r="B385" s="11"/>
      <c r="C385" s="11"/>
      <c r="D385" s="10" t="str">
        <f t="shared" si="60"/>
        <v/>
      </c>
      <c r="E385" s="15" t="str">
        <f t="shared" si="61"/>
        <v/>
      </c>
      <c r="F385" s="11"/>
      <c r="G385" s="16" t="str">
        <f t="shared" si="62"/>
        <v/>
      </c>
      <c r="H385" s="17"/>
      <c r="I385" s="16" t="str">
        <f t="shared" si="63"/>
        <v/>
      </c>
      <c r="J385" s="16" t="str">
        <f t="shared" si="64"/>
        <v/>
      </c>
      <c r="K385" s="18" t="str">
        <f t="shared" si="65"/>
        <v/>
      </c>
      <c r="L385" s="16" t="str">
        <f t="shared" si="66"/>
        <v/>
      </c>
      <c r="M385" s="16" t="str">
        <f t="shared" si="67"/>
        <v/>
      </c>
      <c r="N385" s="16" t="str">
        <f t="shared" si="68"/>
        <v/>
      </c>
      <c r="O385" s="16" t="str">
        <f t="shared" si="69"/>
        <v/>
      </c>
      <c r="P385" s="16" t="str">
        <f t="shared" si="70"/>
        <v/>
      </c>
      <c r="Q385" s="18" t="str">
        <f t="shared" si="71"/>
        <v/>
      </c>
      <c r="R385" s="19" t="str">
        <f>IF(C385="","",IF(ISNA(MATCH(B385,'Registru oferte'!$B$5:$B$504,0)),"Oferta nu există în registru",IF(N(F385)&lt;=0,"Lipsește cantitatea",IF(AND(ISNUMBER(Q385),Q385&lt;MarjaMin),"Marjă sub minim ("&amp;TEXT(Q385*100,"0")&amp;"%)",""))))</f>
        <v/>
      </c>
      <c r="S385" s="1" t="str">
        <f>IF(B385="","",B385&amp;"|"&amp;COUNTIF($B$5:B385,B385))</f>
        <v/>
      </c>
    </row>
    <row r="386" spans="2:19" x14ac:dyDescent="0.2">
      <c r="B386" s="11"/>
      <c r="C386" s="11"/>
      <c r="D386" s="10" t="str">
        <f t="shared" si="60"/>
        <v/>
      </c>
      <c r="E386" s="15" t="str">
        <f t="shared" si="61"/>
        <v/>
      </c>
      <c r="F386" s="11"/>
      <c r="G386" s="16" t="str">
        <f t="shared" si="62"/>
        <v/>
      </c>
      <c r="H386" s="17"/>
      <c r="I386" s="16" t="str">
        <f t="shared" si="63"/>
        <v/>
      </c>
      <c r="J386" s="16" t="str">
        <f t="shared" si="64"/>
        <v/>
      </c>
      <c r="K386" s="18" t="str">
        <f t="shared" si="65"/>
        <v/>
      </c>
      <c r="L386" s="16" t="str">
        <f t="shared" si="66"/>
        <v/>
      </c>
      <c r="M386" s="16" t="str">
        <f t="shared" si="67"/>
        <v/>
      </c>
      <c r="N386" s="16" t="str">
        <f t="shared" si="68"/>
        <v/>
      </c>
      <c r="O386" s="16" t="str">
        <f t="shared" si="69"/>
        <v/>
      </c>
      <c r="P386" s="16" t="str">
        <f t="shared" si="70"/>
        <v/>
      </c>
      <c r="Q386" s="18" t="str">
        <f t="shared" si="71"/>
        <v/>
      </c>
      <c r="R386" s="19" t="str">
        <f>IF(C386="","",IF(ISNA(MATCH(B386,'Registru oferte'!$B$5:$B$504,0)),"Oferta nu există în registru",IF(N(F386)&lt;=0,"Lipsește cantitatea",IF(AND(ISNUMBER(Q386),Q386&lt;MarjaMin),"Marjă sub minim ("&amp;TEXT(Q386*100,"0")&amp;"%)",""))))</f>
        <v/>
      </c>
      <c r="S386" s="1" t="str">
        <f>IF(B386="","",B386&amp;"|"&amp;COUNTIF($B$5:B386,B386))</f>
        <v/>
      </c>
    </row>
    <row r="387" spans="2:19" x14ac:dyDescent="0.2">
      <c r="B387" s="11"/>
      <c r="C387" s="11"/>
      <c r="D387" s="10" t="str">
        <f t="shared" si="60"/>
        <v/>
      </c>
      <c r="E387" s="15" t="str">
        <f t="shared" si="61"/>
        <v/>
      </c>
      <c r="F387" s="11"/>
      <c r="G387" s="16" t="str">
        <f t="shared" si="62"/>
        <v/>
      </c>
      <c r="H387" s="17"/>
      <c r="I387" s="16" t="str">
        <f t="shared" si="63"/>
        <v/>
      </c>
      <c r="J387" s="16" t="str">
        <f t="shared" si="64"/>
        <v/>
      </c>
      <c r="K387" s="18" t="str">
        <f t="shared" si="65"/>
        <v/>
      </c>
      <c r="L387" s="16" t="str">
        <f t="shared" si="66"/>
        <v/>
      </c>
      <c r="M387" s="16" t="str">
        <f t="shared" si="67"/>
        <v/>
      </c>
      <c r="N387" s="16" t="str">
        <f t="shared" si="68"/>
        <v/>
      </c>
      <c r="O387" s="16" t="str">
        <f t="shared" si="69"/>
        <v/>
      </c>
      <c r="P387" s="16" t="str">
        <f t="shared" si="70"/>
        <v/>
      </c>
      <c r="Q387" s="18" t="str">
        <f t="shared" si="71"/>
        <v/>
      </c>
      <c r="R387" s="19" t="str">
        <f>IF(C387="","",IF(ISNA(MATCH(B387,'Registru oferte'!$B$5:$B$504,0)),"Oferta nu există în registru",IF(N(F387)&lt;=0,"Lipsește cantitatea",IF(AND(ISNUMBER(Q387),Q387&lt;MarjaMin),"Marjă sub minim ("&amp;TEXT(Q387*100,"0")&amp;"%)",""))))</f>
        <v/>
      </c>
      <c r="S387" s="1" t="str">
        <f>IF(B387="","",B387&amp;"|"&amp;COUNTIF($B$5:B387,B387))</f>
        <v/>
      </c>
    </row>
    <row r="388" spans="2:19" x14ac:dyDescent="0.2">
      <c r="B388" s="11"/>
      <c r="C388" s="11"/>
      <c r="D388" s="10" t="str">
        <f t="shared" si="60"/>
        <v/>
      </c>
      <c r="E388" s="15" t="str">
        <f t="shared" si="61"/>
        <v/>
      </c>
      <c r="F388" s="11"/>
      <c r="G388" s="16" t="str">
        <f t="shared" si="62"/>
        <v/>
      </c>
      <c r="H388" s="17"/>
      <c r="I388" s="16" t="str">
        <f t="shared" si="63"/>
        <v/>
      </c>
      <c r="J388" s="16" t="str">
        <f t="shared" si="64"/>
        <v/>
      </c>
      <c r="K388" s="18" t="str">
        <f t="shared" si="65"/>
        <v/>
      </c>
      <c r="L388" s="16" t="str">
        <f t="shared" si="66"/>
        <v/>
      </c>
      <c r="M388" s="16" t="str">
        <f t="shared" si="67"/>
        <v/>
      </c>
      <c r="N388" s="16" t="str">
        <f t="shared" si="68"/>
        <v/>
      </c>
      <c r="O388" s="16" t="str">
        <f t="shared" si="69"/>
        <v/>
      </c>
      <c r="P388" s="16" t="str">
        <f t="shared" si="70"/>
        <v/>
      </c>
      <c r="Q388" s="18" t="str">
        <f t="shared" si="71"/>
        <v/>
      </c>
      <c r="R388" s="19" t="str">
        <f>IF(C388="","",IF(ISNA(MATCH(B388,'Registru oferte'!$B$5:$B$504,0)),"Oferta nu există în registru",IF(N(F388)&lt;=0,"Lipsește cantitatea",IF(AND(ISNUMBER(Q388),Q388&lt;MarjaMin),"Marjă sub minim ("&amp;TEXT(Q388*100,"0")&amp;"%)",""))))</f>
        <v/>
      </c>
      <c r="S388" s="1" t="str">
        <f>IF(B388="","",B388&amp;"|"&amp;COUNTIF($B$5:B388,B388))</f>
        <v/>
      </c>
    </row>
    <row r="389" spans="2:19" x14ac:dyDescent="0.2">
      <c r="B389" s="11"/>
      <c r="C389" s="11"/>
      <c r="D389" s="10" t="str">
        <f t="shared" ref="D389:D452" si="72">IF(C389="","",IFERROR(VLOOKUP(C389,TabCat,2,FALSE),"Cod inexistent"))</f>
        <v/>
      </c>
      <c r="E389" s="15" t="str">
        <f t="shared" ref="E389:E452" si="73">IF(C389="","",IFERROR(VLOOKUP(C389,TabCat,3,FALSE),""))</f>
        <v/>
      </c>
      <c r="F389" s="11"/>
      <c r="G389" s="16" t="str">
        <f t="shared" ref="G389:G452" si="74">IF(C389="","",IFERROR(VLOOKUP(C389,TabCat,4,FALSE),0))</f>
        <v/>
      </c>
      <c r="H389" s="17"/>
      <c r="I389" s="16" t="str">
        <f t="shared" ref="I389:I452" si="75">IF(C389="","",ROUND(G389*(1-N(H389)),2))</f>
        <v/>
      </c>
      <c r="J389" s="16" t="str">
        <f t="shared" ref="J389:J452" si="76">IF(C389="","",ROUND(I389*N(F389),2))</f>
        <v/>
      </c>
      <c r="K389" s="18" t="str">
        <f t="shared" ref="K389:K452" si="77">IF(C389="","",IFERROR(VLOOKUP(C389,TabCat,6,FALSE),0))</f>
        <v/>
      </c>
      <c r="L389" s="16" t="str">
        <f t="shared" ref="L389:L452" si="78">IF(C389="","",ROUND(J389*K389,2))</f>
        <v/>
      </c>
      <c r="M389" s="16" t="str">
        <f t="shared" ref="M389:M452" si="79">IF(C389="","",J389+L389)</f>
        <v/>
      </c>
      <c r="N389" s="16" t="str">
        <f t="shared" ref="N389:N452" si="80">IF(C389="","",IFERROR(VLOOKUP(C389,TabCat,5,FALSE),0))</f>
        <v/>
      </c>
      <c r="O389" s="16" t="str">
        <f t="shared" ref="O389:O452" si="81">IF(C389="","",ROUND(N389*N(F389),2))</f>
        <v/>
      </c>
      <c r="P389" s="16" t="str">
        <f t="shared" ref="P389:P452" si="82">IF(C389="","",J389-O389)</f>
        <v/>
      </c>
      <c r="Q389" s="18" t="str">
        <f t="shared" ref="Q389:Q452" si="83">IF(OR(C389="",N(J389)=0),"",P389/J389)</f>
        <v/>
      </c>
      <c r="R389" s="19" t="str">
        <f>IF(C389="","",IF(ISNA(MATCH(B389,'Registru oferte'!$B$5:$B$504,0)),"Oferta nu există în registru",IF(N(F389)&lt;=0,"Lipsește cantitatea",IF(AND(ISNUMBER(Q389),Q389&lt;MarjaMin),"Marjă sub minim ("&amp;TEXT(Q389*100,"0")&amp;"%)",""))))</f>
        <v/>
      </c>
      <c r="S389" s="1" t="str">
        <f>IF(B389="","",B389&amp;"|"&amp;COUNTIF($B$5:B389,B389))</f>
        <v/>
      </c>
    </row>
    <row r="390" spans="2:19" x14ac:dyDescent="0.2">
      <c r="B390" s="11"/>
      <c r="C390" s="11"/>
      <c r="D390" s="10" t="str">
        <f t="shared" si="72"/>
        <v/>
      </c>
      <c r="E390" s="15" t="str">
        <f t="shared" si="73"/>
        <v/>
      </c>
      <c r="F390" s="11"/>
      <c r="G390" s="16" t="str">
        <f t="shared" si="74"/>
        <v/>
      </c>
      <c r="H390" s="17"/>
      <c r="I390" s="16" t="str">
        <f t="shared" si="75"/>
        <v/>
      </c>
      <c r="J390" s="16" t="str">
        <f t="shared" si="76"/>
        <v/>
      </c>
      <c r="K390" s="18" t="str">
        <f t="shared" si="77"/>
        <v/>
      </c>
      <c r="L390" s="16" t="str">
        <f t="shared" si="78"/>
        <v/>
      </c>
      <c r="M390" s="16" t="str">
        <f t="shared" si="79"/>
        <v/>
      </c>
      <c r="N390" s="16" t="str">
        <f t="shared" si="80"/>
        <v/>
      </c>
      <c r="O390" s="16" t="str">
        <f t="shared" si="81"/>
        <v/>
      </c>
      <c r="P390" s="16" t="str">
        <f t="shared" si="82"/>
        <v/>
      </c>
      <c r="Q390" s="18" t="str">
        <f t="shared" si="83"/>
        <v/>
      </c>
      <c r="R390" s="19" t="str">
        <f>IF(C390="","",IF(ISNA(MATCH(B390,'Registru oferte'!$B$5:$B$504,0)),"Oferta nu există în registru",IF(N(F390)&lt;=0,"Lipsește cantitatea",IF(AND(ISNUMBER(Q390),Q390&lt;MarjaMin),"Marjă sub minim ("&amp;TEXT(Q390*100,"0")&amp;"%)",""))))</f>
        <v/>
      </c>
      <c r="S390" s="1" t="str">
        <f>IF(B390="","",B390&amp;"|"&amp;COUNTIF($B$5:B390,B390))</f>
        <v/>
      </c>
    </row>
    <row r="391" spans="2:19" x14ac:dyDescent="0.2">
      <c r="B391" s="11"/>
      <c r="C391" s="11"/>
      <c r="D391" s="10" t="str">
        <f t="shared" si="72"/>
        <v/>
      </c>
      <c r="E391" s="15" t="str">
        <f t="shared" si="73"/>
        <v/>
      </c>
      <c r="F391" s="11"/>
      <c r="G391" s="16" t="str">
        <f t="shared" si="74"/>
        <v/>
      </c>
      <c r="H391" s="17"/>
      <c r="I391" s="16" t="str">
        <f t="shared" si="75"/>
        <v/>
      </c>
      <c r="J391" s="16" t="str">
        <f t="shared" si="76"/>
        <v/>
      </c>
      <c r="K391" s="18" t="str">
        <f t="shared" si="77"/>
        <v/>
      </c>
      <c r="L391" s="16" t="str">
        <f t="shared" si="78"/>
        <v/>
      </c>
      <c r="M391" s="16" t="str">
        <f t="shared" si="79"/>
        <v/>
      </c>
      <c r="N391" s="16" t="str">
        <f t="shared" si="80"/>
        <v/>
      </c>
      <c r="O391" s="16" t="str">
        <f t="shared" si="81"/>
        <v/>
      </c>
      <c r="P391" s="16" t="str">
        <f t="shared" si="82"/>
        <v/>
      </c>
      <c r="Q391" s="18" t="str">
        <f t="shared" si="83"/>
        <v/>
      </c>
      <c r="R391" s="19" t="str">
        <f>IF(C391="","",IF(ISNA(MATCH(B391,'Registru oferte'!$B$5:$B$504,0)),"Oferta nu există în registru",IF(N(F391)&lt;=0,"Lipsește cantitatea",IF(AND(ISNUMBER(Q391),Q391&lt;MarjaMin),"Marjă sub minim ("&amp;TEXT(Q391*100,"0")&amp;"%)",""))))</f>
        <v/>
      </c>
      <c r="S391" s="1" t="str">
        <f>IF(B391="","",B391&amp;"|"&amp;COUNTIF($B$5:B391,B391))</f>
        <v/>
      </c>
    </row>
    <row r="392" spans="2:19" x14ac:dyDescent="0.2">
      <c r="B392" s="11"/>
      <c r="C392" s="11"/>
      <c r="D392" s="10" t="str">
        <f t="shared" si="72"/>
        <v/>
      </c>
      <c r="E392" s="15" t="str">
        <f t="shared" si="73"/>
        <v/>
      </c>
      <c r="F392" s="11"/>
      <c r="G392" s="16" t="str">
        <f t="shared" si="74"/>
        <v/>
      </c>
      <c r="H392" s="17"/>
      <c r="I392" s="16" t="str">
        <f t="shared" si="75"/>
        <v/>
      </c>
      <c r="J392" s="16" t="str">
        <f t="shared" si="76"/>
        <v/>
      </c>
      <c r="K392" s="18" t="str">
        <f t="shared" si="77"/>
        <v/>
      </c>
      <c r="L392" s="16" t="str">
        <f t="shared" si="78"/>
        <v/>
      </c>
      <c r="M392" s="16" t="str">
        <f t="shared" si="79"/>
        <v/>
      </c>
      <c r="N392" s="16" t="str">
        <f t="shared" si="80"/>
        <v/>
      </c>
      <c r="O392" s="16" t="str">
        <f t="shared" si="81"/>
        <v/>
      </c>
      <c r="P392" s="16" t="str">
        <f t="shared" si="82"/>
        <v/>
      </c>
      <c r="Q392" s="18" t="str">
        <f t="shared" si="83"/>
        <v/>
      </c>
      <c r="R392" s="19" t="str">
        <f>IF(C392="","",IF(ISNA(MATCH(B392,'Registru oferte'!$B$5:$B$504,0)),"Oferta nu există în registru",IF(N(F392)&lt;=0,"Lipsește cantitatea",IF(AND(ISNUMBER(Q392),Q392&lt;MarjaMin),"Marjă sub minim ("&amp;TEXT(Q392*100,"0")&amp;"%)",""))))</f>
        <v/>
      </c>
      <c r="S392" s="1" t="str">
        <f>IF(B392="","",B392&amp;"|"&amp;COUNTIF($B$5:B392,B392))</f>
        <v/>
      </c>
    </row>
    <row r="393" spans="2:19" x14ac:dyDescent="0.2">
      <c r="B393" s="11"/>
      <c r="C393" s="11"/>
      <c r="D393" s="10" t="str">
        <f t="shared" si="72"/>
        <v/>
      </c>
      <c r="E393" s="15" t="str">
        <f t="shared" si="73"/>
        <v/>
      </c>
      <c r="F393" s="11"/>
      <c r="G393" s="16" t="str">
        <f t="shared" si="74"/>
        <v/>
      </c>
      <c r="H393" s="17"/>
      <c r="I393" s="16" t="str">
        <f t="shared" si="75"/>
        <v/>
      </c>
      <c r="J393" s="16" t="str">
        <f t="shared" si="76"/>
        <v/>
      </c>
      <c r="K393" s="18" t="str">
        <f t="shared" si="77"/>
        <v/>
      </c>
      <c r="L393" s="16" t="str">
        <f t="shared" si="78"/>
        <v/>
      </c>
      <c r="M393" s="16" t="str">
        <f t="shared" si="79"/>
        <v/>
      </c>
      <c r="N393" s="16" t="str">
        <f t="shared" si="80"/>
        <v/>
      </c>
      <c r="O393" s="16" t="str">
        <f t="shared" si="81"/>
        <v/>
      </c>
      <c r="P393" s="16" t="str">
        <f t="shared" si="82"/>
        <v/>
      </c>
      <c r="Q393" s="18" t="str">
        <f t="shared" si="83"/>
        <v/>
      </c>
      <c r="R393" s="19" t="str">
        <f>IF(C393="","",IF(ISNA(MATCH(B393,'Registru oferte'!$B$5:$B$504,0)),"Oferta nu există în registru",IF(N(F393)&lt;=0,"Lipsește cantitatea",IF(AND(ISNUMBER(Q393),Q393&lt;MarjaMin),"Marjă sub minim ("&amp;TEXT(Q393*100,"0")&amp;"%)",""))))</f>
        <v/>
      </c>
      <c r="S393" s="1" t="str">
        <f>IF(B393="","",B393&amp;"|"&amp;COUNTIF($B$5:B393,B393))</f>
        <v/>
      </c>
    </row>
    <row r="394" spans="2:19" x14ac:dyDescent="0.2">
      <c r="B394" s="11"/>
      <c r="C394" s="11"/>
      <c r="D394" s="10" t="str">
        <f t="shared" si="72"/>
        <v/>
      </c>
      <c r="E394" s="15" t="str">
        <f t="shared" si="73"/>
        <v/>
      </c>
      <c r="F394" s="11"/>
      <c r="G394" s="16" t="str">
        <f t="shared" si="74"/>
        <v/>
      </c>
      <c r="H394" s="17"/>
      <c r="I394" s="16" t="str">
        <f t="shared" si="75"/>
        <v/>
      </c>
      <c r="J394" s="16" t="str">
        <f t="shared" si="76"/>
        <v/>
      </c>
      <c r="K394" s="18" t="str">
        <f t="shared" si="77"/>
        <v/>
      </c>
      <c r="L394" s="16" t="str">
        <f t="shared" si="78"/>
        <v/>
      </c>
      <c r="M394" s="16" t="str">
        <f t="shared" si="79"/>
        <v/>
      </c>
      <c r="N394" s="16" t="str">
        <f t="shared" si="80"/>
        <v/>
      </c>
      <c r="O394" s="16" t="str">
        <f t="shared" si="81"/>
        <v/>
      </c>
      <c r="P394" s="16" t="str">
        <f t="shared" si="82"/>
        <v/>
      </c>
      <c r="Q394" s="18" t="str">
        <f t="shared" si="83"/>
        <v/>
      </c>
      <c r="R394" s="19" t="str">
        <f>IF(C394="","",IF(ISNA(MATCH(B394,'Registru oferte'!$B$5:$B$504,0)),"Oferta nu există în registru",IF(N(F394)&lt;=0,"Lipsește cantitatea",IF(AND(ISNUMBER(Q394),Q394&lt;MarjaMin),"Marjă sub minim ("&amp;TEXT(Q394*100,"0")&amp;"%)",""))))</f>
        <v/>
      </c>
      <c r="S394" s="1" t="str">
        <f>IF(B394="","",B394&amp;"|"&amp;COUNTIF($B$5:B394,B394))</f>
        <v/>
      </c>
    </row>
    <row r="395" spans="2:19" x14ac:dyDescent="0.2">
      <c r="B395" s="11"/>
      <c r="C395" s="11"/>
      <c r="D395" s="10" t="str">
        <f t="shared" si="72"/>
        <v/>
      </c>
      <c r="E395" s="15" t="str">
        <f t="shared" si="73"/>
        <v/>
      </c>
      <c r="F395" s="11"/>
      <c r="G395" s="16" t="str">
        <f t="shared" si="74"/>
        <v/>
      </c>
      <c r="H395" s="17"/>
      <c r="I395" s="16" t="str">
        <f t="shared" si="75"/>
        <v/>
      </c>
      <c r="J395" s="16" t="str">
        <f t="shared" si="76"/>
        <v/>
      </c>
      <c r="K395" s="18" t="str">
        <f t="shared" si="77"/>
        <v/>
      </c>
      <c r="L395" s="16" t="str">
        <f t="shared" si="78"/>
        <v/>
      </c>
      <c r="M395" s="16" t="str">
        <f t="shared" si="79"/>
        <v/>
      </c>
      <c r="N395" s="16" t="str">
        <f t="shared" si="80"/>
        <v/>
      </c>
      <c r="O395" s="16" t="str">
        <f t="shared" si="81"/>
        <v/>
      </c>
      <c r="P395" s="16" t="str">
        <f t="shared" si="82"/>
        <v/>
      </c>
      <c r="Q395" s="18" t="str">
        <f t="shared" si="83"/>
        <v/>
      </c>
      <c r="R395" s="19" t="str">
        <f>IF(C395="","",IF(ISNA(MATCH(B395,'Registru oferte'!$B$5:$B$504,0)),"Oferta nu există în registru",IF(N(F395)&lt;=0,"Lipsește cantitatea",IF(AND(ISNUMBER(Q395),Q395&lt;MarjaMin),"Marjă sub minim ("&amp;TEXT(Q395*100,"0")&amp;"%)",""))))</f>
        <v/>
      </c>
      <c r="S395" s="1" t="str">
        <f>IF(B395="","",B395&amp;"|"&amp;COUNTIF($B$5:B395,B395))</f>
        <v/>
      </c>
    </row>
    <row r="396" spans="2:19" x14ac:dyDescent="0.2">
      <c r="B396" s="11"/>
      <c r="C396" s="11"/>
      <c r="D396" s="10" t="str">
        <f t="shared" si="72"/>
        <v/>
      </c>
      <c r="E396" s="15" t="str">
        <f t="shared" si="73"/>
        <v/>
      </c>
      <c r="F396" s="11"/>
      <c r="G396" s="16" t="str">
        <f t="shared" si="74"/>
        <v/>
      </c>
      <c r="H396" s="17"/>
      <c r="I396" s="16" t="str">
        <f t="shared" si="75"/>
        <v/>
      </c>
      <c r="J396" s="16" t="str">
        <f t="shared" si="76"/>
        <v/>
      </c>
      <c r="K396" s="18" t="str">
        <f t="shared" si="77"/>
        <v/>
      </c>
      <c r="L396" s="16" t="str">
        <f t="shared" si="78"/>
        <v/>
      </c>
      <c r="M396" s="16" t="str">
        <f t="shared" si="79"/>
        <v/>
      </c>
      <c r="N396" s="16" t="str">
        <f t="shared" si="80"/>
        <v/>
      </c>
      <c r="O396" s="16" t="str">
        <f t="shared" si="81"/>
        <v/>
      </c>
      <c r="P396" s="16" t="str">
        <f t="shared" si="82"/>
        <v/>
      </c>
      <c r="Q396" s="18" t="str">
        <f t="shared" si="83"/>
        <v/>
      </c>
      <c r="R396" s="19" t="str">
        <f>IF(C396="","",IF(ISNA(MATCH(B396,'Registru oferte'!$B$5:$B$504,0)),"Oferta nu există în registru",IF(N(F396)&lt;=0,"Lipsește cantitatea",IF(AND(ISNUMBER(Q396),Q396&lt;MarjaMin),"Marjă sub minim ("&amp;TEXT(Q396*100,"0")&amp;"%)",""))))</f>
        <v/>
      </c>
      <c r="S396" s="1" t="str">
        <f>IF(B396="","",B396&amp;"|"&amp;COUNTIF($B$5:B396,B396))</f>
        <v/>
      </c>
    </row>
    <row r="397" spans="2:19" x14ac:dyDescent="0.2">
      <c r="B397" s="11"/>
      <c r="C397" s="11"/>
      <c r="D397" s="10" t="str">
        <f t="shared" si="72"/>
        <v/>
      </c>
      <c r="E397" s="15" t="str">
        <f t="shared" si="73"/>
        <v/>
      </c>
      <c r="F397" s="11"/>
      <c r="G397" s="16" t="str">
        <f t="shared" si="74"/>
        <v/>
      </c>
      <c r="H397" s="17"/>
      <c r="I397" s="16" t="str">
        <f t="shared" si="75"/>
        <v/>
      </c>
      <c r="J397" s="16" t="str">
        <f t="shared" si="76"/>
        <v/>
      </c>
      <c r="K397" s="18" t="str">
        <f t="shared" si="77"/>
        <v/>
      </c>
      <c r="L397" s="16" t="str">
        <f t="shared" si="78"/>
        <v/>
      </c>
      <c r="M397" s="16" t="str">
        <f t="shared" si="79"/>
        <v/>
      </c>
      <c r="N397" s="16" t="str">
        <f t="shared" si="80"/>
        <v/>
      </c>
      <c r="O397" s="16" t="str">
        <f t="shared" si="81"/>
        <v/>
      </c>
      <c r="P397" s="16" t="str">
        <f t="shared" si="82"/>
        <v/>
      </c>
      <c r="Q397" s="18" t="str">
        <f t="shared" si="83"/>
        <v/>
      </c>
      <c r="R397" s="19" t="str">
        <f>IF(C397="","",IF(ISNA(MATCH(B397,'Registru oferte'!$B$5:$B$504,0)),"Oferta nu există în registru",IF(N(F397)&lt;=0,"Lipsește cantitatea",IF(AND(ISNUMBER(Q397),Q397&lt;MarjaMin),"Marjă sub minim ("&amp;TEXT(Q397*100,"0")&amp;"%)",""))))</f>
        <v/>
      </c>
      <c r="S397" s="1" t="str">
        <f>IF(B397="","",B397&amp;"|"&amp;COUNTIF($B$5:B397,B397))</f>
        <v/>
      </c>
    </row>
    <row r="398" spans="2:19" x14ac:dyDescent="0.2">
      <c r="B398" s="11"/>
      <c r="C398" s="11"/>
      <c r="D398" s="10" t="str">
        <f t="shared" si="72"/>
        <v/>
      </c>
      <c r="E398" s="15" t="str">
        <f t="shared" si="73"/>
        <v/>
      </c>
      <c r="F398" s="11"/>
      <c r="G398" s="16" t="str">
        <f t="shared" si="74"/>
        <v/>
      </c>
      <c r="H398" s="17"/>
      <c r="I398" s="16" t="str">
        <f t="shared" si="75"/>
        <v/>
      </c>
      <c r="J398" s="16" t="str">
        <f t="shared" si="76"/>
        <v/>
      </c>
      <c r="K398" s="18" t="str">
        <f t="shared" si="77"/>
        <v/>
      </c>
      <c r="L398" s="16" t="str">
        <f t="shared" si="78"/>
        <v/>
      </c>
      <c r="M398" s="16" t="str">
        <f t="shared" si="79"/>
        <v/>
      </c>
      <c r="N398" s="16" t="str">
        <f t="shared" si="80"/>
        <v/>
      </c>
      <c r="O398" s="16" t="str">
        <f t="shared" si="81"/>
        <v/>
      </c>
      <c r="P398" s="16" t="str">
        <f t="shared" si="82"/>
        <v/>
      </c>
      <c r="Q398" s="18" t="str">
        <f t="shared" si="83"/>
        <v/>
      </c>
      <c r="R398" s="19" t="str">
        <f>IF(C398="","",IF(ISNA(MATCH(B398,'Registru oferte'!$B$5:$B$504,0)),"Oferta nu există în registru",IF(N(F398)&lt;=0,"Lipsește cantitatea",IF(AND(ISNUMBER(Q398),Q398&lt;MarjaMin),"Marjă sub minim ("&amp;TEXT(Q398*100,"0")&amp;"%)",""))))</f>
        <v/>
      </c>
      <c r="S398" s="1" t="str">
        <f>IF(B398="","",B398&amp;"|"&amp;COUNTIF($B$5:B398,B398))</f>
        <v/>
      </c>
    </row>
    <row r="399" spans="2:19" x14ac:dyDescent="0.2">
      <c r="B399" s="11"/>
      <c r="C399" s="11"/>
      <c r="D399" s="10" t="str">
        <f t="shared" si="72"/>
        <v/>
      </c>
      <c r="E399" s="15" t="str">
        <f t="shared" si="73"/>
        <v/>
      </c>
      <c r="F399" s="11"/>
      <c r="G399" s="16" t="str">
        <f t="shared" si="74"/>
        <v/>
      </c>
      <c r="H399" s="17"/>
      <c r="I399" s="16" t="str">
        <f t="shared" si="75"/>
        <v/>
      </c>
      <c r="J399" s="16" t="str">
        <f t="shared" si="76"/>
        <v/>
      </c>
      <c r="K399" s="18" t="str">
        <f t="shared" si="77"/>
        <v/>
      </c>
      <c r="L399" s="16" t="str">
        <f t="shared" si="78"/>
        <v/>
      </c>
      <c r="M399" s="16" t="str">
        <f t="shared" si="79"/>
        <v/>
      </c>
      <c r="N399" s="16" t="str">
        <f t="shared" si="80"/>
        <v/>
      </c>
      <c r="O399" s="16" t="str">
        <f t="shared" si="81"/>
        <v/>
      </c>
      <c r="P399" s="16" t="str">
        <f t="shared" si="82"/>
        <v/>
      </c>
      <c r="Q399" s="18" t="str">
        <f t="shared" si="83"/>
        <v/>
      </c>
      <c r="R399" s="19" t="str">
        <f>IF(C399="","",IF(ISNA(MATCH(B399,'Registru oferte'!$B$5:$B$504,0)),"Oferta nu există în registru",IF(N(F399)&lt;=0,"Lipsește cantitatea",IF(AND(ISNUMBER(Q399),Q399&lt;MarjaMin),"Marjă sub minim ("&amp;TEXT(Q399*100,"0")&amp;"%)",""))))</f>
        <v/>
      </c>
      <c r="S399" s="1" t="str">
        <f>IF(B399="","",B399&amp;"|"&amp;COUNTIF($B$5:B399,B399))</f>
        <v/>
      </c>
    </row>
    <row r="400" spans="2:19" x14ac:dyDescent="0.2">
      <c r="B400" s="11"/>
      <c r="C400" s="11"/>
      <c r="D400" s="10" t="str">
        <f t="shared" si="72"/>
        <v/>
      </c>
      <c r="E400" s="15" t="str">
        <f t="shared" si="73"/>
        <v/>
      </c>
      <c r="F400" s="11"/>
      <c r="G400" s="16" t="str">
        <f t="shared" si="74"/>
        <v/>
      </c>
      <c r="H400" s="17"/>
      <c r="I400" s="16" t="str">
        <f t="shared" si="75"/>
        <v/>
      </c>
      <c r="J400" s="16" t="str">
        <f t="shared" si="76"/>
        <v/>
      </c>
      <c r="K400" s="18" t="str">
        <f t="shared" si="77"/>
        <v/>
      </c>
      <c r="L400" s="16" t="str">
        <f t="shared" si="78"/>
        <v/>
      </c>
      <c r="M400" s="16" t="str">
        <f t="shared" si="79"/>
        <v/>
      </c>
      <c r="N400" s="16" t="str">
        <f t="shared" si="80"/>
        <v/>
      </c>
      <c r="O400" s="16" t="str">
        <f t="shared" si="81"/>
        <v/>
      </c>
      <c r="P400" s="16" t="str">
        <f t="shared" si="82"/>
        <v/>
      </c>
      <c r="Q400" s="18" t="str">
        <f t="shared" si="83"/>
        <v/>
      </c>
      <c r="R400" s="19" t="str">
        <f>IF(C400="","",IF(ISNA(MATCH(B400,'Registru oferte'!$B$5:$B$504,0)),"Oferta nu există în registru",IF(N(F400)&lt;=0,"Lipsește cantitatea",IF(AND(ISNUMBER(Q400),Q400&lt;MarjaMin),"Marjă sub minim ("&amp;TEXT(Q400*100,"0")&amp;"%)",""))))</f>
        <v/>
      </c>
      <c r="S400" s="1" t="str">
        <f>IF(B400="","",B400&amp;"|"&amp;COUNTIF($B$5:B400,B400))</f>
        <v/>
      </c>
    </row>
    <row r="401" spans="2:19" x14ac:dyDescent="0.2">
      <c r="B401" s="11"/>
      <c r="C401" s="11"/>
      <c r="D401" s="10" t="str">
        <f t="shared" si="72"/>
        <v/>
      </c>
      <c r="E401" s="15" t="str">
        <f t="shared" si="73"/>
        <v/>
      </c>
      <c r="F401" s="11"/>
      <c r="G401" s="16" t="str">
        <f t="shared" si="74"/>
        <v/>
      </c>
      <c r="H401" s="17"/>
      <c r="I401" s="16" t="str">
        <f t="shared" si="75"/>
        <v/>
      </c>
      <c r="J401" s="16" t="str">
        <f t="shared" si="76"/>
        <v/>
      </c>
      <c r="K401" s="18" t="str">
        <f t="shared" si="77"/>
        <v/>
      </c>
      <c r="L401" s="16" t="str">
        <f t="shared" si="78"/>
        <v/>
      </c>
      <c r="M401" s="16" t="str">
        <f t="shared" si="79"/>
        <v/>
      </c>
      <c r="N401" s="16" t="str">
        <f t="shared" si="80"/>
        <v/>
      </c>
      <c r="O401" s="16" t="str">
        <f t="shared" si="81"/>
        <v/>
      </c>
      <c r="P401" s="16" t="str">
        <f t="shared" si="82"/>
        <v/>
      </c>
      <c r="Q401" s="18" t="str">
        <f t="shared" si="83"/>
        <v/>
      </c>
      <c r="R401" s="19" t="str">
        <f>IF(C401="","",IF(ISNA(MATCH(B401,'Registru oferte'!$B$5:$B$504,0)),"Oferta nu există în registru",IF(N(F401)&lt;=0,"Lipsește cantitatea",IF(AND(ISNUMBER(Q401),Q401&lt;MarjaMin),"Marjă sub minim ("&amp;TEXT(Q401*100,"0")&amp;"%)",""))))</f>
        <v/>
      </c>
      <c r="S401" s="1" t="str">
        <f>IF(B401="","",B401&amp;"|"&amp;COUNTIF($B$5:B401,B401))</f>
        <v/>
      </c>
    </row>
    <row r="402" spans="2:19" x14ac:dyDescent="0.2">
      <c r="B402" s="11"/>
      <c r="C402" s="11"/>
      <c r="D402" s="10" t="str">
        <f t="shared" si="72"/>
        <v/>
      </c>
      <c r="E402" s="15" t="str">
        <f t="shared" si="73"/>
        <v/>
      </c>
      <c r="F402" s="11"/>
      <c r="G402" s="16" t="str">
        <f t="shared" si="74"/>
        <v/>
      </c>
      <c r="H402" s="17"/>
      <c r="I402" s="16" t="str">
        <f t="shared" si="75"/>
        <v/>
      </c>
      <c r="J402" s="16" t="str">
        <f t="shared" si="76"/>
        <v/>
      </c>
      <c r="K402" s="18" t="str">
        <f t="shared" si="77"/>
        <v/>
      </c>
      <c r="L402" s="16" t="str">
        <f t="shared" si="78"/>
        <v/>
      </c>
      <c r="M402" s="16" t="str">
        <f t="shared" si="79"/>
        <v/>
      </c>
      <c r="N402" s="16" t="str">
        <f t="shared" si="80"/>
        <v/>
      </c>
      <c r="O402" s="16" t="str">
        <f t="shared" si="81"/>
        <v/>
      </c>
      <c r="P402" s="16" t="str">
        <f t="shared" si="82"/>
        <v/>
      </c>
      <c r="Q402" s="18" t="str">
        <f t="shared" si="83"/>
        <v/>
      </c>
      <c r="R402" s="19" t="str">
        <f>IF(C402="","",IF(ISNA(MATCH(B402,'Registru oferte'!$B$5:$B$504,0)),"Oferta nu există în registru",IF(N(F402)&lt;=0,"Lipsește cantitatea",IF(AND(ISNUMBER(Q402),Q402&lt;MarjaMin),"Marjă sub minim ("&amp;TEXT(Q402*100,"0")&amp;"%)",""))))</f>
        <v/>
      </c>
      <c r="S402" s="1" t="str">
        <f>IF(B402="","",B402&amp;"|"&amp;COUNTIF($B$5:B402,B402))</f>
        <v/>
      </c>
    </row>
    <row r="403" spans="2:19" x14ac:dyDescent="0.2">
      <c r="B403" s="11"/>
      <c r="C403" s="11"/>
      <c r="D403" s="10" t="str">
        <f t="shared" si="72"/>
        <v/>
      </c>
      <c r="E403" s="15" t="str">
        <f t="shared" si="73"/>
        <v/>
      </c>
      <c r="F403" s="11"/>
      <c r="G403" s="16" t="str">
        <f t="shared" si="74"/>
        <v/>
      </c>
      <c r="H403" s="17"/>
      <c r="I403" s="16" t="str">
        <f t="shared" si="75"/>
        <v/>
      </c>
      <c r="J403" s="16" t="str">
        <f t="shared" si="76"/>
        <v/>
      </c>
      <c r="K403" s="18" t="str">
        <f t="shared" si="77"/>
        <v/>
      </c>
      <c r="L403" s="16" t="str">
        <f t="shared" si="78"/>
        <v/>
      </c>
      <c r="M403" s="16" t="str">
        <f t="shared" si="79"/>
        <v/>
      </c>
      <c r="N403" s="16" t="str">
        <f t="shared" si="80"/>
        <v/>
      </c>
      <c r="O403" s="16" t="str">
        <f t="shared" si="81"/>
        <v/>
      </c>
      <c r="P403" s="16" t="str">
        <f t="shared" si="82"/>
        <v/>
      </c>
      <c r="Q403" s="18" t="str">
        <f t="shared" si="83"/>
        <v/>
      </c>
      <c r="R403" s="19" t="str">
        <f>IF(C403="","",IF(ISNA(MATCH(B403,'Registru oferte'!$B$5:$B$504,0)),"Oferta nu există în registru",IF(N(F403)&lt;=0,"Lipsește cantitatea",IF(AND(ISNUMBER(Q403),Q403&lt;MarjaMin),"Marjă sub minim ("&amp;TEXT(Q403*100,"0")&amp;"%)",""))))</f>
        <v/>
      </c>
      <c r="S403" s="1" t="str">
        <f>IF(B403="","",B403&amp;"|"&amp;COUNTIF($B$5:B403,B403))</f>
        <v/>
      </c>
    </row>
    <row r="404" spans="2:19" x14ac:dyDescent="0.2">
      <c r="B404" s="11"/>
      <c r="C404" s="11"/>
      <c r="D404" s="10" t="str">
        <f t="shared" si="72"/>
        <v/>
      </c>
      <c r="E404" s="15" t="str">
        <f t="shared" si="73"/>
        <v/>
      </c>
      <c r="F404" s="11"/>
      <c r="G404" s="16" t="str">
        <f t="shared" si="74"/>
        <v/>
      </c>
      <c r="H404" s="17"/>
      <c r="I404" s="16" t="str">
        <f t="shared" si="75"/>
        <v/>
      </c>
      <c r="J404" s="16" t="str">
        <f t="shared" si="76"/>
        <v/>
      </c>
      <c r="K404" s="18" t="str">
        <f t="shared" si="77"/>
        <v/>
      </c>
      <c r="L404" s="16" t="str">
        <f t="shared" si="78"/>
        <v/>
      </c>
      <c r="M404" s="16" t="str">
        <f t="shared" si="79"/>
        <v/>
      </c>
      <c r="N404" s="16" t="str">
        <f t="shared" si="80"/>
        <v/>
      </c>
      <c r="O404" s="16" t="str">
        <f t="shared" si="81"/>
        <v/>
      </c>
      <c r="P404" s="16" t="str">
        <f t="shared" si="82"/>
        <v/>
      </c>
      <c r="Q404" s="18" t="str">
        <f t="shared" si="83"/>
        <v/>
      </c>
      <c r="R404" s="19" t="str">
        <f>IF(C404="","",IF(ISNA(MATCH(B404,'Registru oferte'!$B$5:$B$504,0)),"Oferta nu există în registru",IF(N(F404)&lt;=0,"Lipsește cantitatea",IF(AND(ISNUMBER(Q404),Q404&lt;MarjaMin),"Marjă sub minim ("&amp;TEXT(Q404*100,"0")&amp;"%)",""))))</f>
        <v/>
      </c>
      <c r="S404" s="1" t="str">
        <f>IF(B404="","",B404&amp;"|"&amp;COUNTIF($B$5:B404,B404))</f>
        <v/>
      </c>
    </row>
    <row r="405" spans="2:19" x14ac:dyDescent="0.2">
      <c r="B405" s="11"/>
      <c r="C405" s="11"/>
      <c r="D405" s="10" t="str">
        <f t="shared" si="72"/>
        <v/>
      </c>
      <c r="E405" s="15" t="str">
        <f t="shared" si="73"/>
        <v/>
      </c>
      <c r="F405" s="11"/>
      <c r="G405" s="16" t="str">
        <f t="shared" si="74"/>
        <v/>
      </c>
      <c r="H405" s="17"/>
      <c r="I405" s="16" t="str">
        <f t="shared" si="75"/>
        <v/>
      </c>
      <c r="J405" s="16" t="str">
        <f t="shared" si="76"/>
        <v/>
      </c>
      <c r="K405" s="18" t="str">
        <f t="shared" si="77"/>
        <v/>
      </c>
      <c r="L405" s="16" t="str">
        <f t="shared" si="78"/>
        <v/>
      </c>
      <c r="M405" s="16" t="str">
        <f t="shared" si="79"/>
        <v/>
      </c>
      <c r="N405" s="16" t="str">
        <f t="shared" si="80"/>
        <v/>
      </c>
      <c r="O405" s="16" t="str">
        <f t="shared" si="81"/>
        <v/>
      </c>
      <c r="P405" s="16" t="str">
        <f t="shared" si="82"/>
        <v/>
      </c>
      <c r="Q405" s="18" t="str">
        <f t="shared" si="83"/>
        <v/>
      </c>
      <c r="R405" s="19" t="str">
        <f>IF(C405="","",IF(ISNA(MATCH(B405,'Registru oferte'!$B$5:$B$504,0)),"Oferta nu există în registru",IF(N(F405)&lt;=0,"Lipsește cantitatea",IF(AND(ISNUMBER(Q405),Q405&lt;MarjaMin),"Marjă sub minim ("&amp;TEXT(Q405*100,"0")&amp;"%)",""))))</f>
        <v/>
      </c>
      <c r="S405" s="1" t="str">
        <f>IF(B405="","",B405&amp;"|"&amp;COUNTIF($B$5:B405,B405))</f>
        <v/>
      </c>
    </row>
    <row r="406" spans="2:19" x14ac:dyDescent="0.2">
      <c r="B406" s="11"/>
      <c r="C406" s="11"/>
      <c r="D406" s="10" t="str">
        <f t="shared" si="72"/>
        <v/>
      </c>
      <c r="E406" s="15" t="str">
        <f t="shared" si="73"/>
        <v/>
      </c>
      <c r="F406" s="11"/>
      <c r="G406" s="16" t="str">
        <f t="shared" si="74"/>
        <v/>
      </c>
      <c r="H406" s="17"/>
      <c r="I406" s="16" t="str">
        <f t="shared" si="75"/>
        <v/>
      </c>
      <c r="J406" s="16" t="str">
        <f t="shared" si="76"/>
        <v/>
      </c>
      <c r="K406" s="18" t="str">
        <f t="shared" si="77"/>
        <v/>
      </c>
      <c r="L406" s="16" t="str">
        <f t="shared" si="78"/>
        <v/>
      </c>
      <c r="M406" s="16" t="str">
        <f t="shared" si="79"/>
        <v/>
      </c>
      <c r="N406" s="16" t="str">
        <f t="shared" si="80"/>
        <v/>
      </c>
      <c r="O406" s="16" t="str">
        <f t="shared" si="81"/>
        <v/>
      </c>
      <c r="P406" s="16" t="str">
        <f t="shared" si="82"/>
        <v/>
      </c>
      <c r="Q406" s="18" t="str">
        <f t="shared" si="83"/>
        <v/>
      </c>
      <c r="R406" s="19" t="str">
        <f>IF(C406="","",IF(ISNA(MATCH(B406,'Registru oferte'!$B$5:$B$504,0)),"Oferta nu există în registru",IF(N(F406)&lt;=0,"Lipsește cantitatea",IF(AND(ISNUMBER(Q406),Q406&lt;MarjaMin),"Marjă sub minim ("&amp;TEXT(Q406*100,"0")&amp;"%)",""))))</f>
        <v/>
      </c>
      <c r="S406" s="1" t="str">
        <f>IF(B406="","",B406&amp;"|"&amp;COUNTIF($B$5:B406,B406))</f>
        <v/>
      </c>
    </row>
    <row r="407" spans="2:19" x14ac:dyDescent="0.2">
      <c r="B407" s="11"/>
      <c r="C407" s="11"/>
      <c r="D407" s="10" t="str">
        <f t="shared" si="72"/>
        <v/>
      </c>
      <c r="E407" s="15" t="str">
        <f t="shared" si="73"/>
        <v/>
      </c>
      <c r="F407" s="11"/>
      <c r="G407" s="16" t="str">
        <f t="shared" si="74"/>
        <v/>
      </c>
      <c r="H407" s="17"/>
      <c r="I407" s="16" t="str">
        <f t="shared" si="75"/>
        <v/>
      </c>
      <c r="J407" s="16" t="str">
        <f t="shared" si="76"/>
        <v/>
      </c>
      <c r="K407" s="18" t="str">
        <f t="shared" si="77"/>
        <v/>
      </c>
      <c r="L407" s="16" t="str">
        <f t="shared" si="78"/>
        <v/>
      </c>
      <c r="M407" s="16" t="str">
        <f t="shared" si="79"/>
        <v/>
      </c>
      <c r="N407" s="16" t="str">
        <f t="shared" si="80"/>
        <v/>
      </c>
      <c r="O407" s="16" t="str">
        <f t="shared" si="81"/>
        <v/>
      </c>
      <c r="P407" s="16" t="str">
        <f t="shared" si="82"/>
        <v/>
      </c>
      <c r="Q407" s="18" t="str">
        <f t="shared" si="83"/>
        <v/>
      </c>
      <c r="R407" s="19" t="str">
        <f>IF(C407="","",IF(ISNA(MATCH(B407,'Registru oferte'!$B$5:$B$504,0)),"Oferta nu există în registru",IF(N(F407)&lt;=0,"Lipsește cantitatea",IF(AND(ISNUMBER(Q407),Q407&lt;MarjaMin),"Marjă sub minim ("&amp;TEXT(Q407*100,"0")&amp;"%)",""))))</f>
        <v/>
      </c>
      <c r="S407" s="1" t="str">
        <f>IF(B407="","",B407&amp;"|"&amp;COUNTIF($B$5:B407,B407))</f>
        <v/>
      </c>
    </row>
    <row r="408" spans="2:19" x14ac:dyDescent="0.2">
      <c r="B408" s="11"/>
      <c r="C408" s="11"/>
      <c r="D408" s="10" t="str">
        <f t="shared" si="72"/>
        <v/>
      </c>
      <c r="E408" s="15" t="str">
        <f t="shared" si="73"/>
        <v/>
      </c>
      <c r="F408" s="11"/>
      <c r="G408" s="16" t="str">
        <f t="shared" si="74"/>
        <v/>
      </c>
      <c r="H408" s="17"/>
      <c r="I408" s="16" t="str">
        <f t="shared" si="75"/>
        <v/>
      </c>
      <c r="J408" s="16" t="str">
        <f t="shared" si="76"/>
        <v/>
      </c>
      <c r="K408" s="18" t="str">
        <f t="shared" si="77"/>
        <v/>
      </c>
      <c r="L408" s="16" t="str">
        <f t="shared" si="78"/>
        <v/>
      </c>
      <c r="M408" s="16" t="str">
        <f t="shared" si="79"/>
        <v/>
      </c>
      <c r="N408" s="16" t="str">
        <f t="shared" si="80"/>
        <v/>
      </c>
      <c r="O408" s="16" t="str">
        <f t="shared" si="81"/>
        <v/>
      </c>
      <c r="P408" s="16" t="str">
        <f t="shared" si="82"/>
        <v/>
      </c>
      <c r="Q408" s="18" t="str">
        <f t="shared" si="83"/>
        <v/>
      </c>
      <c r="R408" s="19" t="str">
        <f>IF(C408="","",IF(ISNA(MATCH(B408,'Registru oferte'!$B$5:$B$504,0)),"Oferta nu există în registru",IF(N(F408)&lt;=0,"Lipsește cantitatea",IF(AND(ISNUMBER(Q408),Q408&lt;MarjaMin),"Marjă sub minim ("&amp;TEXT(Q408*100,"0")&amp;"%)",""))))</f>
        <v/>
      </c>
      <c r="S408" s="1" t="str">
        <f>IF(B408="","",B408&amp;"|"&amp;COUNTIF($B$5:B408,B408))</f>
        <v/>
      </c>
    </row>
    <row r="409" spans="2:19" x14ac:dyDescent="0.2">
      <c r="B409" s="11"/>
      <c r="C409" s="11"/>
      <c r="D409" s="10" t="str">
        <f t="shared" si="72"/>
        <v/>
      </c>
      <c r="E409" s="15" t="str">
        <f t="shared" si="73"/>
        <v/>
      </c>
      <c r="F409" s="11"/>
      <c r="G409" s="16" t="str">
        <f t="shared" si="74"/>
        <v/>
      </c>
      <c r="H409" s="17"/>
      <c r="I409" s="16" t="str">
        <f t="shared" si="75"/>
        <v/>
      </c>
      <c r="J409" s="16" t="str">
        <f t="shared" si="76"/>
        <v/>
      </c>
      <c r="K409" s="18" t="str">
        <f t="shared" si="77"/>
        <v/>
      </c>
      <c r="L409" s="16" t="str">
        <f t="shared" si="78"/>
        <v/>
      </c>
      <c r="M409" s="16" t="str">
        <f t="shared" si="79"/>
        <v/>
      </c>
      <c r="N409" s="16" t="str">
        <f t="shared" si="80"/>
        <v/>
      </c>
      <c r="O409" s="16" t="str">
        <f t="shared" si="81"/>
        <v/>
      </c>
      <c r="P409" s="16" t="str">
        <f t="shared" si="82"/>
        <v/>
      </c>
      <c r="Q409" s="18" t="str">
        <f t="shared" si="83"/>
        <v/>
      </c>
      <c r="R409" s="19" t="str">
        <f>IF(C409="","",IF(ISNA(MATCH(B409,'Registru oferte'!$B$5:$B$504,0)),"Oferta nu există în registru",IF(N(F409)&lt;=0,"Lipsește cantitatea",IF(AND(ISNUMBER(Q409),Q409&lt;MarjaMin),"Marjă sub minim ("&amp;TEXT(Q409*100,"0")&amp;"%)",""))))</f>
        <v/>
      </c>
      <c r="S409" s="1" t="str">
        <f>IF(B409="","",B409&amp;"|"&amp;COUNTIF($B$5:B409,B409))</f>
        <v/>
      </c>
    </row>
    <row r="410" spans="2:19" x14ac:dyDescent="0.2">
      <c r="B410" s="11"/>
      <c r="C410" s="11"/>
      <c r="D410" s="10" t="str">
        <f t="shared" si="72"/>
        <v/>
      </c>
      <c r="E410" s="15" t="str">
        <f t="shared" si="73"/>
        <v/>
      </c>
      <c r="F410" s="11"/>
      <c r="G410" s="16" t="str">
        <f t="shared" si="74"/>
        <v/>
      </c>
      <c r="H410" s="17"/>
      <c r="I410" s="16" t="str">
        <f t="shared" si="75"/>
        <v/>
      </c>
      <c r="J410" s="16" t="str">
        <f t="shared" si="76"/>
        <v/>
      </c>
      <c r="K410" s="18" t="str">
        <f t="shared" si="77"/>
        <v/>
      </c>
      <c r="L410" s="16" t="str">
        <f t="shared" si="78"/>
        <v/>
      </c>
      <c r="M410" s="16" t="str">
        <f t="shared" si="79"/>
        <v/>
      </c>
      <c r="N410" s="16" t="str">
        <f t="shared" si="80"/>
        <v/>
      </c>
      <c r="O410" s="16" t="str">
        <f t="shared" si="81"/>
        <v/>
      </c>
      <c r="P410" s="16" t="str">
        <f t="shared" si="82"/>
        <v/>
      </c>
      <c r="Q410" s="18" t="str">
        <f t="shared" si="83"/>
        <v/>
      </c>
      <c r="R410" s="19" t="str">
        <f>IF(C410="","",IF(ISNA(MATCH(B410,'Registru oferte'!$B$5:$B$504,0)),"Oferta nu există în registru",IF(N(F410)&lt;=0,"Lipsește cantitatea",IF(AND(ISNUMBER(Q410),Q410&lt;MarjaMin),"Marjă sub minim ("&amp;TEXT(Q410*100,"0")&amp;"%)",""))))</f>
        <v/>
      </c>
      <c r="S410" s="1" t="str">
        <f>IF(B410="","",B410&amp;"|"&amp;COUNTIF($B$5:B410,B410))</f>
        <v/>
      </c>
    </row>
    <row r="411" spans="2:19" x14ac:dyDescent="0.2">
      <c r="B411" s="11"/>
      <c r="C411" s="11"/>
      <c r="D411" s="10" t="str">
        <f t="shared" si="72"/>
        <v/>
      </c>
      <c r="E411" s="15" t="str">
        <f t="shared" si="73"/>
        <v/>
      </c>
      <c r="F411" s="11"/>
      <c r="G411" s="16" t="str">
        <f t="shared" si="74"/>
        <v/>
      </c>
      <c r="H411" s="17"/>
      <c r="I411" s="16" t="str">
        <f t="shared" si="75"/>
        <v/>
      </c>
      <c r="J411" s="16" t="str">
        <f t="shared" si="76"/>
        <v/>
      </c>
      <c r="K411" s="18" t="str">
        <f t="shared" si="77"/>
        <v/>
      </c>
      <c r="L411" s="16" t="str">
        <f t="shared" si="78"/>
        <v/>
      </c>
      <c r="M411" s="16" t="str">
        <f t="shared" si="79"/>
        <v/>
      </c>
      <c r="N411" s="16" t="str">
        <f t="shared" si="80"/>
        <v/>
      </c>
      <c r="O411" s="16" t="str">
        <f t="shared" si="81"/>
        <v/>
      </c>
      <c r="P411" s="16" t="str">
        <f t="shared" si="82"/>
        <v/>
      </c>
      <c r="Q411" s="18" t="str">
        <f t="shared" si="83"/>
        <v/>
      </c>
      <c r="R411" s="19" t="str">
        <f>IF(C411="","",IF(ISNA(MATCH(B411,'Registru oferte'!$B$5:$B$504,0)),"Oferta nu există în registru",IF(N(F411)&lt;=0,"Lipsește cantitatea",IF(AND(ISNUMBER(Q411),Q411&lt;MarjaMin),"Marjă sub minim ("&amp;TEXT(Q411*100,"0")&amp;"%)",""))))</f>
        <v/>
      </c>
      <c r="S411" s="1" t="str">
        <f>IF(B411="","",B411&amp;"|"&amp;COUNTIF($B$5:B411,B411))</f>
        <v/>
      </c>
    </row>
    <row r="412" spans="2:19" x14ac:dyDescent="0.2">
      <c r="B412" s="11"/>
      <c r="C412" s="11"/>
      <c r="D412" s="10" t="str">
        <f t="shared" si="72"/>
        <v/>
      </c>
      <c r="E412" s="15" t="str">
        <f t="shared" si="73"/>
        <v/>
      </c>
      <c r="F412" s="11"/>
      <c r="G412" s="16" t="str">
        <f t="shared" si="74"/>
        <v/>
      </c>
      <c r="H412" s="17"/>
      <c r="I412" s="16" t="str">
        <f t="shared" si="75"/>
        <v/>
      </c>
      <c r="J412" s="16" t="str">
        <f t="shared" si="76"/>
        <v/>
      </c>
      <c r="K412" s="18" t="str">
        <f t="shared" si="77"/>
        <v/>
      </c>
      <c r="L412" s="16" t="str">
        <f t="shared" si="78"/>
        <v/>
      </c>
      <c r="M412" s="16" t="str">
        <f t="shared" si="79"/>
        <v/>
      </c>
      <c r="N412" s="16" t="str">
        <f t="shared" si="80"/>
        <v/>
      </c>
      <c r="O412" s="16" t="str">
        <f t="shared" si="81"/>
        <v/>
      </c>
      <c r="P412" s="16" t="str">
        <f t="shared" si="82"/>
        <v/>
      </c>
      <c r="Q412" s="18" t="str">
        <f t="shared" si="83"/>
        <v/>
      </c>
      <c r="R412" s="19" t="str">
        <f>IF(C412="","",IF(ISNA(MATCH(B412,'Registru oferte'!$B$5:$B$504,0)),"Oferta nu există în registru",IF(N(F412)&lt;=0,"Lipsește cantitatea",IF(AND(ISNUMBER(Q412),Q412&lt;MarjaMin),"Marjă sub minim ("&amp;TEXT(Q412*100,"0")&amp;"%)",""))))</f>
        <v/>
      </c>
      <c r="S412" s="1" t="str">
        <f>IF(B412="","",B412&amp;"|"&amp;COUNTIF($B$5:B412,B412))</f>
        <v/>
      </c>
    </row>
    <row r="413" spans="2:19" x14ac:dyDescent="0.2">
      <c r="B413" s="11"/>
      <c r="C413" s="11"/>
      <c r="D413" s="10" t="str">
        <f t="shared" si="72"/>
        <v/>
      </c>
      <c r="E413" s="15" t="str">
        <f t="shared" si="73"/>
        <v/>
      </c>
      <c r="F413" s="11"/>
      <c r="G413" s="16" t="str">
        <f t="shared" si="74"/>
        <v/>
      </c>
      <c r="H413" s="17"/>
      <c r="I413" s="16" t="str">
        <f t="shared" si="75"/>
        <v/>
      </c>
      <c r="J413" s="16" t="str">
        <f t="shared" si="76"/>
        <v/>
      </c>
      <c r="K413" s="18" t="str">
        <f t="shared" si="77"/>
        <v/>
      </c>
      <c r="L413" s="16" t="str">
        <f t="shared" si="78"/>
        <v/>
      </c>
      <c r="M413" s="16" t="str">
        <f t="shared" si="79"/>
        <v/>
      </c>
      <c r="N413" s="16" t="str">
        <f t="shared" si="80"/>
        <v/>
      </c>
      <c r="O413" s="16" t="str">
        <f t="shared" si="81"/>
        <v/>
      </c>
      <c r="P413" s="16" t="str">
        <f t="shared" si="82"/>
        <v/>
      </c>
      <c r="Q413" s="18" t="str">
        <f t="shared" si="83"/>
        <v/>
      </c>
      <c r="R413" s="19" t="str">
        <f>IF(C413="","",IF(ISNA(MATCH(B413,'Registru oferte'!$B$5:$B$504,0)),"Oferta nu există în registru",IF(N(F413)&lt;=0,"Lipsește cantitatea",IF(AND(ISNUMBER(Q413),Q413&lt;MarjaMin),"Marjă sub minim ("&amp;TEXT(Q413*100,"0")&amp;"%)",""))))</f>
        <v/>
      </c>
      <c r="S413" s="1" t="str">
        <f>IF(B413="","",B413&amp;"|"&amp;COUNTIF($B$5:B413,B413))</f>
        <v/>
      </c>
    </row>
    <row r="414" spans="2:19" x14ac:dyDescent="0.2">
      <c r="B414" s="11"/>
      <c r="C414" s="11"/>
      <c r="D414" s="10" t="str">
        <f t="shared" si="72"/>
        <v/>
      </c>
      <c r="E414" s="15" t="str">
        <f t="shared" si="73"/>
        <v/>
      </c>
      <c r="F414" s="11"/>
      <c r="G414" s="16" t="str">
        <f t="shared" si="74"/>
        <v/>
      </c>
      <c r="H414" s="17"/>
      <c r="I414" s="16" t="str">
        <f t="shared" si="75"/>
        <v/>
      </c>
      <c r="J414" s="16" t="str">
        <f t="shared" si="76"/>
        <v/>
      </c>
      <c r="K414" s="18" t="str">
        <f t="shared" si="77"/>
        <v/>
      </c>
      <c r="L414" s="16" t="str">
        <f t="shared" si="78"/>
        <v/>
      </c>
      <c r="M414" s="16" t="str">
        <f t="shared" si="79"/>
        <v/>
      </c>
      <c r="N414" s="16" t="str">
        <f t="shared" si="80"/>
        <v/>
      </c>
      <c r="O414" s="16" t="str">
        <f t="shared" si="81"/>
        <v/>
      </c>
      <c r="P414" s="16" t="str">
        <f t="shared" si="82"/>
        <v/>
      </c>
      <c r="Q414" s="18" t="str">
        <f t="shared" si="83"/>
        <v/>
      </c>
      <c r="R414" s="19" t="str">
        <f>IF(C414="","",IF(ISNA(MATCH(B414,'Registru oferte'!$B$5:$B$504,0)),"Oferta nu există în registru",IF(N(F414)&lt;=0,"Lipsește cantitatea",IF(AND(ISNUMBER(Q414),Q414&lt;MarjaMin),"Marjă sub minim ("&amp;TEXT(Q414*100,"0")&amp;"%)",""))))</f>
        <v/>
      </c>
      <c r="S414" s="1" t="str">
        <f>IF(B414="","",B414&amp;"|"&amp;COUNTIF($B$5:B414,B414))</f>
        <v/>
      </c>
    </row>
    <row r="415" spans="2:19" x14ac:dyDescent="0.2">
      <c r="B415" s="11"/>
      <c r="C415" s="11"/>
      <c r="D415" s="10" t="str">
        <f t="shared" si="72"/>
        <v/>
      </c>
      <c r="E415" s="15" t="str">
        <f t="shared" si="73"/>
        <v/>
      </c>
      <c r="F415" s="11"/>
      <c r="G415" s="16" t="str">
        <f t="shared" si="74"/>
        <v/>
      </c>
      <c r="H415" s="17"/>
      <c r="I415" s="16" t="str">
        <f t="shared" si="75"/>
        <v/>
      </c>
      <c r="J415" s="16" t="str">
        <f t="shared" si="76"/>
        <v/>
      </c>
      <c r="K415" s="18" t="str">
        <f t="shared" si="77"/>
        <v/>
      </c>
      <c r="L415" s="16" t="str">
        <f t="shared" si="78"/>
        <v/>
      </c>
      <c r="M415" s="16" t="str">
        <f t="shared" si="79"/>
        <v/>
      </c>
      <c r="N415" s="16" t="str">
        <f t="shared" si="80"/>
        <v/>
      </c>
      <c r="O415" s="16" t="str">
        <f t="shared" si="81"/>
        <v/>
      </c>
      <c r="P415" s="16" t="str">
        <f t="shared" si="82"/>
        <v/>
      </c>
      <c r="Q415" s="18" t="str">
        <f t="shared" si="83"/>
        <v/>
      </c>
      <c r="R415" s="19" t="str">
        <f>IF(C415="","",IF(ISNA(MATCH(B415,'Registru oferte'!$B$5:$B$504,0)),"Oferta nu există în registru",IF(N(F415)&lt;=0,"Lipsește cantitatea",IF(AND(ISNUMBER(Q415),Q415&lt;MarjaMin),"Marjă sub minim ("&amp;TEXT(Q415*100,"0")&amp;"%)",""))))</f>
        <v/>
      </c>
      <c r="S415" s="1" t="str">
        <f>IF(B415="","",B415&amp;"|"&amp;COUNTIF($B$5:B415,B415))</f>
        <v/>
      </c>
    </row>
    <row r="416" spans="2:19" x14ac:dyDescent="0.2">
      <c r="B416" s="11"/>
      <c r="C416" s="11"/>
      <c r="D416" s="10" t="str">
        <f t="shared" si="72"/>
        <v/>
      </c>
      <c r="E416" s="15" t="str">
        <f t="shared" si="73"/>
        <v/>
      </c>
      <c r="F416" s="11"/>
      <c r="G416" s="16" t="str">
        <f t="shared" si="74"/>
        <v/>
      </c>
      <c r="H416" s="17"/>
      <c r="I416" s="16" t="str">
        <f t="shared" si="75"/>
        <v/>
      </c>
      <c r="J416" s="16" t="str">
        <f t="shared" si="76"/>
        <v/>
      </c>
      <c r="K416" s="18" t="str">
        <f t="shared" si="77"/>
        <v/>
      </c>
      <c r="L416" s="16" t="str">
        <f t="shared" si="78"/>
        <v/>
      </c>
      <c r="M416" s="16" t="str">
        <f t="shared" si="79"/>
        <v/>
      </c>
      <c r="N416" s="16" t="str">
        <f t="shared" si="80"/>
        <v/>
      </c>
      <c r="O416" s="16" t="str">
        <f t="shared" si="81"/>
        <v/>
      </c>
      <c r="P416" s="16" t="str">
        <f t="shared" si="82"/>
        <v/>
      </c>
      <c r="Q416" s="18" t="str">
        <f t="shared" si="83"/>
        <v/>
      </c>
      <c r="R416" s="19" t="str">
        <f>IF(C416="","",IF(ISNA(MATCH(B416,'Registru oferte'!$B$5:$B$504,0)),"Oferta nu există în registru",IF(N(F416)&lt;=0,"Lipsește cantitatea",IF(AND(ISNUMBER(Q416),Q416&lt;MarjaMin),"Marjă sub minim ("&amp;TEXT(Q416*100,"0")&amp;"%)",""))))</f>
        <v/>
      </c>
      <c r="S416" s="1" t="str">
        <f>IF(B416="","",B416&amp;"|"&amp;COUNTIF($B$5:B416,B416))</f>
        <v/>
      </c>
    </row>
    <row r="417" spans="2:19" x14ac:dyDescent="0.2">
      <c r="B417" s="11"/>
      <c r="C417" s="11"/>
      <c r="D417" s="10" t="str">
        <f t="shared" si="72"/>
        <v/>
      </c>
      <c r="E417" s="15" t="str">
        <f t="shared" si="73"/>
        <v/>
      </c>
      <c r="F417" s="11"/>
      <c r="G417" s="16" t="str">
        <f t="shared" si="74"/>
        <v/>
      </c>
      <c r="H417" s="17"/>
      <c r="I417" s="16" t="str">
        <f t="shared" si="75"/>
        <v/>
      </c>
      <c r="J417" s="16" t="str">
        <f t="shared" si="76"/>
        <v/>
      </c>
      <c r="K417" s="18" t="str">
        <f t="shared" si="77"/>
        <v/>
      </c>
      <c r="L417" s="16" t="str">
        <f t="shared" si="78"/>
        <v/>
      </c>
      <c r="M417" s="16" t="str">
        <f t="shared" si="79"/>
        <v/>
      </c>
      <c r="N417" s="16" t="str">
        <f t="shared" si="80"/>
        <v/>
      </c>
      <c r="O417" s="16" t="str">
        <f t="shared" si="81"/>
        <v/>
      </c>
      <c r="P417" s="16" t="str">
        <f t="shared" si="82"/>
        <v/>
      </c>
      <c r="Q417" s="18" t="str">
        <f t="shared" si="83"/>
        <v/>
      </c>
      <c r="R417" s="19" t="str">
        <f>IF(C417="","",IF(ISNA(MATCH(B417,'Registru oferte'!$B$5:$B$504,0)),"Oferta nu există în registru",IF(N(F417)&lt;=0,"Lipsește cantitatea",IF(AND(ISNUMBER(Q417),Q417&lt;MarjaMin),"Marjă sub minim ("&amp;TEXT(Q417*100,"0")&amp;"%)",""))))</f>
        <v/>
      </c>
      <c r="S417" s="1" t="str">
        <f>IF(B417="","",B417&amp;"|"&amp;COUNTIF($B$5:B417,B417))</f>
        <v/>
      </c>
    </row>
    <row r="418" spans="2:19" x14ac:dyDescent="0.2">
      <c r="B418" s="11"/>
      <c r="C418" s="11"/>
      <c r="D418" s="10" t="str">
        <f t="shared" si="72"/>
        <v/>
      </c>
      <c r="E418" s="15" t="str">
        <f t="shared" si="73"/>
        <v/>
      </c>
      <c r="F418" s="11"/>
      <c r="G418" s="16" t="str">
        <f t="shared" si="74"/>
        <v/>
      </c>
      <c r="H418" s="17"/>
      <c r="I418" s="16" t="str">
        <f t="shared" si="75"/>
        <v/>
      </c>
      <c r="J418" s="16" t="str">
        <f t="shared" si="76"/>
        <v/>
      </c>
      <c r="K418" s="18" t="str">
        <f t="shared" si="77"/>
        <v/>
      </c>
      <c r="L418" s="16" t="str">
        <f t="shared" si="78"/>
        <v/>
      </c>
      <c r="M418" s="16" t="str">
        <f t="shared" si="79"/>
        <v/>
      </c>
      <c r="N418" s="16" t="str">
        <f t="shared" si="80"/>
        <v/>
      </c>
      <c r="O418" s="16" t="str">
        <f t="shared" si="81"/>
        <v/>
      </c>
      <c r="P418" s="16" t="str">
        <f t="shared" si="82"/>
        <v/>
      </c>
      <c r="Q418" s="18" t="str">
        <f t="shared" si="83"/>
        <v/>
      </c>
      <c r="R418" s="19" t="str">
        <f>IF(C418="","",IF(ISNA(MATCH(B418,'Registru oferte'!$B$5:$B$504,0)),"Oferta nu există în registru",IF(N(F418)&lt;=0,"Lipsește cantitatea",IF(AND(ISNUMBER(Q418),Q418&lt;MarjaMin),"Marjă sub minim ("&amp;TEXT(Q418*100,"0")&amp;"%)",""))))</f>
        <v/>
      </c>
      <c r="S418" s="1" t="str">
        <f>IF(B418="","",B418&amp;"|"&amp;COUNTIF($B$5:B418,B418))</f>
        <v/>
      </c>
    </row>
    <row r="419" spans="2:19" x14ac:dyDescent="0.2">
      <c r="B419" s="11"/>
      <c r="C419" s="11"/>
      <c r="D419" s="10" t="str">
        <f t="shared" si="72"/>
        <v/>
      </c>
      <c r="E419" s="15" t="str">
        <f t="shared" si="73"/>
        <v/>
      </c>
      <c r="F419" s="11"/>
      <c r="G419" s="16" t="str">
        <f t="shared" si="74"/>
        <v/>
      </c>
      <c r="H419" s="17"/>
      <c r="I419" s="16" t="str">
        <f t="shared" si="75"/>
        <v/>
      </c>
      <c r="J419" s="16" t="str">
        <f t="shared" si="76"/>
        <v/>
      </c>
      <c r="K419" s="18" t="str">
        <f t="shared" si="77"/>
        <v/>
      </c>
      <c r="L419" s="16" t="str">
        <f t="shared" si="78"/>
        <v/>
      </c>
      <c r="M419" s="16" t="str">
        <f t="shared" si="79"/>
        <v/>
      </c>
      <c r="N419" s="16" t="str">
        <f t="shared" si="80"/>
        <v/>
      </c>
      <c r="O419" s="16" t="str">
        <f t="shared" si="81"/>
        <v/>
      </c>
      <c r="P419" s="16" t="str">
        <f t="shared" si="82"/>
        <v/>
      </c>
      <c r="Q419" s="18" t="str">
        <f t="shared" si="83"/>
        <v/>
      </c>
      <c r="R419" s="19" t="str">
        <f>IF(C419="","",IF(ISNA(MATCH(B419,'Registru oferte'!$B$5:$B$504,0)),"Oferta nu există în registru",IF(N(F419)&lt;=0,"Lipsește cantitatea",IF(AND(ISNUMBER(Q419),Q419&lt;MarjaMin),"Marjă sub minim ("&amp;TEXT(Q419*100,"0")&amp;"%)",""))))</f>
        <v/>
      </c>
      <c r="S419" s="1" t="str">
        <f>IF(B419="","",B419&amp;"|"&amp;COUNTIF($B$5:B419,B419))</f>
        <v/>
      </c>
    </row>
    <row r="420" spans="2:19" x14ac:dyDescent="0.2">
      <c r="B420" s="11"/>
      <c r="C420" s="11"/>
      <c r="D420" s="10" t="str">
        <f t="shared" si="72"/>
        <v/>
      </c>
      <c r="E420" s="15" t="str">
        <f t="shared" si="73"/>
        <v/>
      </c>
      <c r="F420" s="11"/>
      <c r="G420" s="16" t="str">
        <f t="shared" si="74"/>
        <v/>
      </c>
      <c r="H420" s="17"/>
      <c r="I420" s="16" t="str">
        <f t="shared" si="75"/>
        <v/>
      </c>
      <c r="J420" s="16" t="str">
        <f t="shared" si="76"/>
        <v/>
      </c>
      <c r="K420" s="18" t="str">
        <f t="shared" si="77"/>
        <v/>
      </c>
      <c r="L420" s="16" t="str">
        <f t="shared" si="78"/>
        <v/>
      </c>
      <c r="M420" s="16" t="str">
        <f t="shared" si="79"/>
        <v/>
      </c>
      <c r="N420" s="16" t="str">
        <f t="shared" si="80"/>
        <v/>
      </c>
      <c r="O420" s="16" t="str">
        <f t="shared" si="81"/>
        <v/>
      </c>
      <c r="P420" s="16" t="str">
        <f t="shared" si="82"/>
        <v/>
      </c>
      <c r="Q420" s="18" t="str">
        <f t="shared" si="83"/>
        <v/>
      </c>
      <c r="R420" s="19" t="str">
        <f>IF(C420="","",IF(ISNA(MATCH(B420,'Registru oferte'!$B$5:$B$504,0)),"Oferta nu există în registru",IF(N(F420)&lt;=0,"Lipsește cantitatea",IF(AND(ISNUMBER(Q420),Q420&lt;MarjaMin),"Marjă sub minim ("&amp;TEXT(Q420*100,"0")&amp;"%)",""))))</f>
        <v/>
      </c>
      <c r="S420" s="1" t="str">
        <f>IF(B420="","",B420&amp;"|"&amp;COUNTIF($B$5:B420,B420))</f>
        <v/>
      </c>
    </row>
    <row r="421" spans="2:19" x14ac:dyDescent="0.2">
      <c r="B421" s="11"/>
      <c r="C421" s="11"/>
      <c r="D421" s="10" t="str">
        <f t="shared" si="72"/>
        <v/>
      </c>
      <c r="E421" s="15" t="str">
        <f t="shared" si="73"/>
        <v/>
      </c>
      <c r="F421" s="11"/>
      <c r="G421" s="16" t="str">
        <f t="shared" si="74"/>
        <v/>
      </c>
      <c r="H421" s="17"/>
      <c r="I421" s="16" t="str">
        <f t="shared" si="75"/>
        <v/>
      </c>
      <c r="J421" s="16" t="str">
        <f t="shared" si="76"/>
        <v/>
      </c>
      <c r="K421" s="18" t="str">
        <f t="shared" si="77"/>
        <v/>
      </c>
      <c r="L421" s="16" t="str">
        <f t="shared" si="78"/>
        <v/>
      </c>
      <c r="M421" s="16" t="str">
        <f t="shared" si="79"/>
        <v/>
      </c>
      <c r="N421" s="16" t="str">
        <f t="shared" si="80"/>
        <v/>
      </c>
      <c r="O421" s="16" t="str">
        <f t="shared" si="81"/>
        <v/>
      </c>
      <c r="P421" s="16" t="str">
        <f t="shared" si="82"/>
        <v/>
      </c>
      <c r="Q421" s="18" t="str">
        <f t="shared" si="83"/>
        <v/>
      </c>
      <c r="R421" s="19" t="str">
        <f>IF(C421="","",IF(ISNA(MATCH(B421,'Registru oferte'!$B$5:$B$504,0)),"Oferta nu există în registru",IF(N(F421)&lt;=0,"Lipsește cantitatea",IF(AND(ISNUMBER(Q421),Q421&lt;MarjaMin),"Marjă sub minim ("&amp;TEXT(Q421*100,"0")&amp;"%)",""))))</f>
        <v/>
      </c>
      <c r="S421" s="1" t="str">
        <f>IF(B421="","",B421&amp;"|"&amp;COUNTIF($B$5:B421,B421))</f>
        <v/>
      </c>
    </row>
    <row r="422" spans="2:19" x14ac:dyDescent="0.2">
      <c r="B422" s="11"/>
      <c r="C422" s="11"/>
      <c r="D422" s="10" t="str">
        <f t="shared" si="72"/>
        <v/>
      </c>
      <c r="E422" s="15" t="str">
        <f t="shared" si="73"/>
        <v/>
      </c>
      <c r="F422" s="11"/>
      <c r="G422" s="16" t="str">
        <f t="shared" si="74"/>
        <v/>
      </c>
      <c r="H422" s="17"/>
      <c r="I422" s="16" t="str">
        <f t="shared" si="75"/>
        <v/>
      </c>
      <c r="J422" s="16" t="str">
        <f t="shared" si="76"/>
        <v/>
      </c>
      <c r="K422" s="18" t="str">
        <f t="shared" si="77"/>
        <v/>
      </c>
      <c r="L422" s="16" t="str">
        <f t="shared" si="78"/>
        <v/>
      </c>
      <c r="M422" s="16" t="str">
        <f t="shared" si="79"/>
        <v/>
      </c>
      <c r="N422" s="16" t="str">
        <f t="shared" si="80"/>
        <v/>
      </c>
      <c r="O422" s="16" t="str">
        <f t="shared" si="81"/>
        <v/>
      </c>
      <c r="P422" s="16" t="str">
        <f t="shared" si="82"/>
        <v/>
      </c>
      <c r="Q422" s="18" t="str">
        <f t="shared" si="83"/>
        <v/>
      </c>
      <c r="R422" s="19" t="str">
        <f>IF(C422="","",IF(ISNA(MATCH(B422,'Registru oferte'!$B$5:$B$504,0)),"Oferta nu există în registru",IF(N(F422)&lt;=0,"Lipsește cantitatea",IF(AND(ISNUMBER(Q422),Q422&lt;MarjaMin),"Marjă sub minim ("&amp;TEXT(Q422*100,"0")&amp;"%)",""))))</f>
        <v/>
      </c>
      <c r="S422" s="1" t="str">
        <f>IF(B422="","",B422&amp;"|"&amp;COUNTIF($B$5:B422,B422))</f>
        <v/>
      </c>
    </row>
    <row r="423" spans="2:19" x14ac:dyDescent="0.2">
      <c r="B423" s="11"/>
      <c r="C423" s="11"/>
      <c r="D423" s="10" t="str">
        <f t="shared" si="72"/>
        <v/>
      </c>
      <c r="E423" s="15" t="str">
        <f t="shared" si="73"/>
        <v/>
      </c>
      <c r="F423" s="11"/>
      <c r="G423" s="16" t="str">
        <f t="shared" si="74"/>
        <v/>
      </c>
      <c r="H423" s="17"/>
      <c r="I423" s="16" t="str">
        <f t="shared" si="75"/>
        <v/>
      </c>
      <c r="J423" s="16" t="str">
        <f t="shared" si="76"/>
        <v/>
      </c>
      <c r="K423" s="18" t="str">
        <f t="shared" si="77"/>
        <v/>
      </c>
      <c r="L423" s="16" t="str">
        <f t="shared" si="78"/>
        <v/>
      </c>
      <c r="M423" s="16" t="str">
        <f t="shared" si="79"/>
        <v/>
      </c>
      <c r="N423" s="16" t="str">
        <f t="shared" si="80"/>
        <v/>
      </c>
      <c r="O423" s="16" t="str">
        <f t="shared" si="81"/>
        <v/>
      </c>
      <c r="P423" s="16" t="str">
        <f t="shared" si="82"/>
        <v/>
      </c>
      <c r="Q423" s="18" t="str">
        <f t="shared" si="83"/>
        <v/>
      </c>
      <c r="R423" s="19" t="str">
        <f>IF(C423="","",IF(ISNA(MATCH(B423,'Registru oferte'!$B$5:$B$504,0)),"Oferta nu există în registru",IF(N(F423)&lt;=0,"Lipsește cantitatea",IF(AND(ISNUMBER(Q423),Q423&lt;MarjaMin),"Marjă sub minim ("&amp;TEXT(Q423*100,"0")&amp;"%)",""))))</f>
        <v/>
      </c>
      <c r="S423" s="1" t="str">
        <f>IF(B423="","",B423&amp;"|"&amp;COUNTIF($B$5:B423,B423))</f>
        <v/>
      </c>
    </row>
    <row r="424" spans="2:19" x14ac:dyDescent="0.2">
      <c r="B424" s="11"/>
      <c r="C424" s="11"/>
      <c r="D424" s="10" t="str">
        <f t="shared" si="72"/>
        <v/>
      </c>
      <c r="E424" s="15" t="str">
        <f t="shared" si="73"/>
        <v/>
      </c>
      <c r="F424" s="11"/>
      <c r="G424" s="16" t="str">
        <f t="shared" si="74"/>
        <v/>
      </c>
      <c r="H424" s="17"/>
      <c r="I424" s="16" t="str">
        <f t="shared" si="75"/>
        <v/>
      </c>
      <c r="J424" s="16" t="str">
        <f t="shared" si="76"/>
        <v/>
      </c>
      <c r="K424" s="18" t="str">
        <f t="shared" si="77"/>
        <v/>
      </c>
      <c r="L424" s="16" t="str">
        <f t="shared" si="78"/>
        <v/>
      </c>
      <c r="M424" s="16" t="str">
        <f t="shared" si="79"/>
        <v/>
      </c>
      <c r="N424" s="16" t="str">
        <f t="shared" si="80"/>
        <v/>
      </c>
      <c r="O424" s="16" t="str">
        <f t="shared" si="81"/>
        <v/>
      </c>
      <c r="P424" s="16" t="str">
        <f t="shared" si="82"/>
        <v/>
      </c>
      <c r="Q424" s="18" t="str">
        <f t="shared" si="83"/>
        <v/>
      </c>
      <c r="R424" s="19" t="str">
        <f>IF(C424="","",IF(ISNA(MATCH(B424,'Registru oferte'!$B$5:$B$504,0)),"Oferta nu există în registru",IF(N(F424)&lt;=0,"Lipsește cantitatea",IF(AND(ISNUMBER(Q424),Q424&lt;MarjaMin),"Marjă sub minim ("&amp;TEXT(Q424*100,"0")&amp;"%)",""))))</f>
        <v/>
      </c>
      <c r="S424" s="1" t="str">
        <f>IF(B424="","",B424&amp;"|"&amp;COUNTIF($B$5:B424,B424))</f>
        <v/>
      </c>
    </row>
    <row r="425" spans="2:19" x14ac:dyDescent="0.2">
      <c r="B425" s="11"/>
      <c r="C425" s="11"/>
      <c r="D425" s="10" t="str">
        <f t="shared" si="72"/>
        <v/>
      </c>
      <c r="E425" s="15" t="str">
        <f t="shared" si="73"/>
        <v/>
      </c>
      <c r="F425" s="11"/>
      <c r="G425" s="16" t="str">
        <f t="shared" si="74"/>
        <v/>
      </c>
      <c r="H425" s="17"/>
      <c r="I425" s="16" t="str">
        <f t="shared" si="75"/>
        <v/>
      </c>
      <c r="J425" s="16" t="str">
        <f t="shared" si="76"/>
        <v/>
      </c>
      <c r="K425" s="18" t="str">
        <f t="shared" si="77"/>
        <v/>
      </c>
      <c r="L425" s="16" t="str">
        <f t="shared" si="78"/>
        <v/>
      </c>
      <c r="M425" s="16" t="str">
        <f t="shared" si="79"/>
        <v/>
      </c>
      <c r="N425" s="16" t="str">
        <f t="shared" si="80"/>
        <v/>
      </c>
      <c r="O425" s="16" t="str">
        <f t="shared" si="81"/>
        <v/>
      </c>
      <c r="P425" s="16" t="str">
        <f t="shared" si="82"/>
        <v/>
      </c>
      <c r="Q425" s="18" t="str">
        <f t="shared" si="83"/>
        <v/>
      </c>
      <c r="R425" s="19" t="str">
        <f>IF(C425="","",IF(ISNA(MATCH(B425,'Registru oferte'!$B$5:$B$504,0)),"Oferta nu există în registru",IF(N(F425)&lt;=0,"Lipsește cantitatea",IF(AND(ISNUMBER(Q425),Q425&lt;MarjaMin),"Marjă sub minim ("&amp;TEXT(Q425*100,"0")&amp;"%)",""))))</f>
        <v/>
      </c>
      <c r="S425" s="1" t="str">
        <f>IF(B425="","",B425&amp;"|"&amp;COUNTIF($B$5:B425,B425))</f>
        <v/>
      </c>
    </row>
    <row r="426" spans="2:19" x14ac:dyDescent="0.2">
      <c r="B426" s="11"/>
      <c r="C426" s="11"/>
      <c r="D426" s="10" t="str">
        <f t="shared" si="72"/>
        <v/>
      </c>
      <c r="E426" s="15" t="str">
        <f t="shared" si="73"/>
        <v/>
      </c>
      <c r="F426" s="11"/>
      <c r="G426" s="16" t="str">
        <f t="shared" si="74"/>
        <v/>
      </c>
      <c r="H426" s="17"/>
      <c r="I426" s="16" t="str">
        <f t="shared" si="75"/>
        <v/>
      </c>
      <c r="J426" s="16" t="str">
        <f t="shared" si="76"/>
        <v/>
      </c>
      <c r="K426" s="18" t="str">
        <f t="shared" si="77"/>
        <v/>
      </c>
      <c r="L426" s="16" t="str">
        <f t="shared" si="78"/>
        <v/>
      </c>
      <c r="M426" s="16" t="str">
        <f t="shared" si="79"/>
        <v/>
      </c>
      <c r="N426" s="16" t="str">
        <f t="shared" si="80"/>
        <v/>
      </c>
      <c r="O426" s="16" t="str">
        <f t="shared" si="81"/>
        <v/>
      </c>
      <c r="P426" s="16" t="str">
        <f t="shared" si="82"/>
        <v/>
      </c>
      <c r="Q426" s="18" t="str">
        <f t="shared" si="83"/>
        <v/>
      </c>
      <c r="R426" s="19" t="str">
        <f>IF(C426="","",IF(ISNA(MATCH(B426,'Registru oferte'!$B$5:$B$504,0)),"Oferta nu există în registru",IF(N(F426)&lt;=0,"Lipsește cantitatea",IF(AND(ISNUMBER(Q426),Q426&lt;MarjaMin),"Marjă sub minim ("&amp;TEXT(Q426*100,"0")&amp;"%)",""))))</f>
        <v/>
      </c>
      <c r="S426" s="1" t="str">
        <f>IF(B426="","",B426&amp;"|"&amp;COUNTIF($B$5:B426,B426))</f>
        <v/>
      </c>
    </row>
    <row r="427" spans="2:19" x14ac:dyDescent="0.2">
      <c r="B427" s="11"/>
      <c r="C427" s="11"/>
      <c r="D427" s="10" t="str">
        <f t="shared" si="72"/>
        <v/>
      </c>
      <c r="E427" s="15" t="str">
        <f t="shared" si="73"/>
        <v/>
      </c>
      <c r="F427" s="11"/>
      <c r="G427" s="16" t="str">
        <f t="shared" si="74"/>
        <v/>
      </c>
      <c r="H427" s="17"/>
      <c r="I427" s="16" t="str">
        <f t="shared" si="75"/>
        <v/>
      </c>
      <c r="J427" s="16" t="str">
        <f t="shared" si="76"/>
        <v/>
      </c>
      <c r="K427" s="18" t="str">
        <f t="shared" si="77"/>
        <v/>
      </c>
      <c r="L427" s="16" t="str">
        <f t="shared" si="78"/>
        <v/>
      </c>
      <c r="M427" s="16" t="str">
        <f t="shared" si="79"/>
        <v/>
      </c>
      <c r="N427" s="16" t="str">
        <f t="shared" si="80"/>
        <v/>
      </c>
      <c r="O427" s="16" t="str">
        <f t="shared" si="81"/>
        <v/>
      </c>
      <c r="P427" s="16" t="str">
        <f t="shared" si="82"/>
        <v/>
      </c>
      <c r="Q427" s="18" t="str">
        <f t="shared" si="83"/>
        <v/>
      </c>
      <c r="R427" s="19" t="str">
        <f>IF(C427="","",IF(ISNA(MATCH(B427,'Registru oferte'!$B$5:$B$504,0)),"Oferta nu există în registru",IF(N(F427)&lt;=0,"Lipsește cantitatea",IF(AND(ISNUMBER(Q427),Q427&lt;MarjaMin),"Marjă sub minim ("&amp;TEXT(Q427*100,"0")&amp;"%)",""))))</f>
        <v/>
      </c>
      <c r="S427" s="1" t="str">
        <f>IF(B427="","",B427&amp;"|"&amp;COUNTIF($B$5:B427,B427))</f>
        <v/>
      </c>
    </row>
    <row r="428" spans="2:19" x14ac:dyDescent="0.2">
      <c r="B428" s="11"/>
      <c r="C428" s="11"/>
      <c r="D428" s="10" t="str">
        <f t="shared" si="72"/>
        <v/>
      </c>
      <c r="E428" s="15" t="str">
        <f t="shared" si="73"/>
        <v/>
      </c>
      <c r="F428" s="11"/>
      <c r="G428" s="16" t="str">
        <f t="shared" si="74"/>
        <v/>
      </c>
      <c r="H428" s="17"/>
      <c r="I428" s="16" t="str">
        <f t="shared" si="75"/>
        <v/>
      </c>
      <c r="J428" s="16" t="str">
        <f t="shared" si="76"/>
        <v/>
      </c>
      <c r="K428" s="18" t="str">
        <f t="shared" si="77"/>
        <v/>
      </c>
      <c r="L428" s="16" t="str">
        <f t="shared" si="78"/>
        <v/>
      </c>
      <c r="M428" s="16" t="str">
        <f t="shared" si="79"/>
        <v/>
      </c>
      <c r="N428" s="16" t="str">
        <f t="shared" si="80"/>
        <v/>
      </c>
      <c r="O428" s="16" t="str">
        <f t="shared" si="81"/>
        <v/>
      </c>
      <c r="P428" s="16" t="str">
        <f t="shared" si="82"/>
        <v/>
      </c>
      <c r="Q428" s="18" t="str">
        <f t="shared" si="83"/>
        <v/>
      </c>
      <c r="R428" s="19" t="str">
        <f>IF(C428="","",IF(ISNA(MATCH(B428,'Registru oferte'!$B$5:$B$504,0)),"Oferta nu există în registru",IF(N(F428)&lt;=0,"Lipsește cantitatea",IF(AND(ISNUMBER(Q428),Q428&lt;MarjaMin),"Marjă sub minim ("&amp;TEXT(Q428*100,"0")&amp;"%)",""))))</f>
        <v/>
      </c>
      <c r="S428" s="1" t="str">
        <f>IF(B428="","",B428&amp;"|"&amp;COUNTIF($B$5:B428,B428))</f>
        <v/>
      </c>
    </row>
    <row r="429" spans="2:19" x14ac:dyDescent="0.2">
      <c r="B429" s="11"/>
      <c r="C429" s="11"/>
      <c r="D429" s="10" t="str">
        <f t="shared" si="72"/>
        <v/>
      </c>
      <c r="E429" s="15" t="str">
        <f t="shared" si="73"/>
        <v/>
      </c>
      <c r="F429" s="11"/>
      <c r="G429" s="16" t="str">
        <f t="shared" si="74"/>
        <v/>
      </c>
      <c r="H429" s="17"/>
      <c r="I429" s="16" t="str">
        <f t="shared" si="75"/>
        <v/>
      </c>
      <c r="J429" s="16" t="str">
        <f t="shared" si="76"/>
        <v/>
      </c>
      <c r="K429" s="18" t="str">
        <f t="shared" si="77"/>
        <v/>
      </c>
      <c r="L429" s="16" t="str">
        <f t="shared" si="78"/>
        <v/>
      </c>
      <c r="M429" s="16" t="str">
        <f t="shared" si="79"/>
        <v/>
      </c>
      <c r="N429" s="16" t="str">
        <f t="shared" si="80"/>
        <v/>
      </c>
      <c r="O429" s="16" t="str">
        <f t="shared" si="81"/>
        <v/>
      </c>
      <c r="P429" s="16" t="str">
        <f t="shared" si="82"/>
        <v/>
      </c>
      <c r="Q429" s="18" t="str">
        <f t="shared" si="83"/>
        <v/>
      </c>
      <c r="R429" s="19" t="str">
        <f>IF(C429="","",IF(ISNA(MATCH(B429,'Registru oferte'!$B$5:$B$504,0)),"Oferta nu există în registru",IF(N(F429)&lt;=0,"Lipsește cantitatea",IF(AND(ISNUMBER(Q429),Q429&lt;MarjaMin),"Marjă sub minim ("&amp;TEXT(Q429*100,"0")&amp;"%)",""))))</f>
        <v/>
      </c>
      <c r="S429" s="1" t="str">
        <f>IF(B429="","",B429&amp;"|"&amp;COUNTIF($B$5:B429,B429))</f>
        <v/>
      </c>
    </row>
    <row r="430" spans="2:19" x14ac:dyDescent="0.2">
      <c r="B430" s="11"/>
      <c r="C430" s="11"/>
      <c r="D430" s="10" t="str">
        <f t="shared" si="72"/>
        <v/>
      </c>
      <c r="E430" s="15" t="str">
        <f t="shared" si="73"/>
        <v/>
      </c>
      <c r="F430" s="11"/>
      <c r="G430" s="16" t="str">
        <f t="shared" si="74"/>
        <v/>
      </c>
      <c r="H430" s="17"/>
      <c r="I430" s="16" t="str">
        <f t="shared" si="75"/>
        <v/>
      </c>
      <c r="J430" s="16" t="str">
        <f t="shared" si="76"/>
        <v/>
      </c>
      <c r="K430" s="18" t="str">
        <f t="shared" si="77"/>
        <v/>
      </c>
      <c r="L430" s="16" t="str">
        <f t="shared" si="78"/>
        <v/>
      </c>
      <c r="M430" s="16" t="str">
        <f t="shared" si="79"/>
        <v/>
      </c>
      <c r="N430" s="16" t="str">
        <f t="shared" si="80"/>
        <v/>
      </c>
      <c r="O430" s="16" t="str">
        <f t="shared" si="81"/>
        <v/>
      </c>
      <c r="P430" s="16" t="str">
        <f t="shared" si="82"/>
        <v/>
      </c>
      <c r="Q430" s="18" t="str">
        <f t="shared" si="83"/>
        <v/>
      </c>
      <c r="R430" s="19" t="str">
        <f>IF(C430="","",IF(ISNA(MATCH(B430,'Registru oferte'!$B$5:$B$504,0)),"Oferta nu există în registru",IF(N(F430)&lt;=0,"Lipsește cantitatea",IF(AND(ISNUMBER(Q430),Q430&lt;MarjaMin),"Marjă sub minim ("&amp;TEXT(Q430*100,"0")&amp;"%)",""))))</f>
        <v/>
      </c>
      <c r="S430" s="1" t="str">
        <f>IF(B430="","",B430&amp;"|"&amp;COUNTIF($B$5:B430,B430))</f>
        <v/>
      </c>
    </row>
    <row r="431" spans="2:19" x14ac:dyDescent="0.2">
      <c r="B431" s="11"/>
      <c r="C431" s="11"/>
      <c r="D431" s="10" t="str">
        <f t="shared" si="72"/>
        <v/>
      </c>
      <c r="E431" s="15" t="str">
        <f t="shared" si="73"/>
        <v/>
      </c>
      <c r="F431" s="11"/>
      <c r="G431" s="16" t="str">
        <f t="shared" si="74"/>
        <v/>
      </c>
      <c r="H431" s="17"/>
      <c r="I431" s="16" t="str">
        <f t="shared" si="75"/>
        <v/>
      </c>
      <c r="J431" s="16" t="str">
        <f t="shared" si="76"/>
        <v/>
      </c>
      <c r="K431" s="18" t="str">
        <f t="shared" si="77"/>
        <v/>
      </c>
      <c r="L431" s="16" t="str">
        <f t="shared" si="78"/>
        <v/>
      </c>
      <c r="M431" s="16" t="str">
        <f t="shared" si="79"/>
        <v/>
      </c>
      <c r="N431" s="16" t="str">
        <f t="shared" si="80"/>
        <v/>
      </c>
      <c r="O431" s="16" t="str">
        <f t="shared" si="81"/>
        <v/>
      </c>
      <c r="P431" s="16" t="str">
        <f t="shared" si="82"/>
        <v/>
      </c>
      <c r="Q431" s="18" t="str">
        <f t="shared" si="83"/>
        <v/>
      </c>
      <c r="R431" s="19" t="str">
        <f>IF(C431="","",IF(ISNA(MATCH(B431,'Registru oferte'!$B$5:$B$504,0)),"Oferta nu există în registru",IF(N(F431)&lt;=0,"Lipsește cantitatea",IF(AND(ISNUMBER(Q431),Q431&lt;MarjaMin),"Marjă sub minim ("&amp;TEXT(Q431*100,"0")&amp;"%)",""))))</f>
        <v/>
      </c>
      <c r="S431" s="1" t="str">
        <f>IF(B431="","",B431&amp;"|"&amp;COUNTIF($B$5:B431,B431))</f>
        <v/>
      </c>
    </row>
    <row r="432" spans="2:19" x14ac:dyDescent="0.2">
      <c r="B432" s="11"/>
      <c r="C432" s="11"/>
      <c r="D432" s="10" t="str">
        <f t="shared" si="72"/>
        <v/>
      </c>
      <c r="E432" s="15" t="str">
        <f t="shared" si="73"/>
        <v/>
      </c>
      <c r="F432" s="11"/>
      <c r="G432" s="16" t="str">
        <f t="shared" si="74"/>
        <v/>
      </c>
      <c r="H432" s="17"/>
      <c r="I432" s="16" t="str">
        <f t="shared" si="75"/>
        <v/>
      </c>
      <c r="J432" s="16" t="str">
        <f t="shared" si="76"/>
        <v/>
      </c>
      <c r="K432" s="18" t="str">
        <f t="shared" si="77"/>
        <v/>
      </c>
      <c r="L432" s="16" t="str">
        <f t="shared" si="78"/>
        <v/>
      </c>
      <c r="M432" s="16" t="str">
        <f t="shared" si="79"/>
        <v/>
      </c>
      <c r="N432" s="16" t="str">
        <f t="shared" si="80"/>
        <v/>
      </c>
      <c r="O432" s="16" t="str">
        <f t="shared" si="81"/>
        <v/>
      </c>
      <c r="P432" s="16" t="str">
        <f t="shared" si="82"/>
        <v/>
      </c>
      <c r="Q432" s="18" t="str">
        <f t="shared" si="83"/>
        <v/>
      </c>
      <c r="R432" s="19" t="str">
        <f>IF(C432="","",IF(ISNA(MATCH(B432,'Registru oferte'!$B$5:$B$504,0)),"Oferta nu există în registru",IF(N(F432)&lt;=0,"Lipsește cantitatea",IF(AND(ISNUMBER(Q432),Q432&lt;MarjaMin),"Marjă sub minim ("&amp;TEXT(Q432*100,"0")&amp;"%)",""))))</f>
        <v/>
      </c>
      <c r="S432" s="1" t="str">
        <f>IF(B432="","",B432&amp;"|"&amp;COUNTIF($B$5:B432,B432))</f>
        <v/>
      </c>
    </row>
    <row r="433" spans="2:19" x14ac:dyDescent="0.2">
      <c r="B433" s="11"/>
      <c r="C433" s="11"/>
      <c r="D433" s="10" t="str">
        <f t="shared" si="72"/>
        <v/>
      </c>
      <c r="E433" s="15" t="str">
        <f t="shared" si="73"/>
        <v/>
      </c>
      <c r="F433" s="11"/>
      <c r="G433" s="16" t="str">
        <f t="shared" si="74"/>
        <v/>
      </c>
      <c r="H433" s="17"/>
      <c r="I433" s="16" t="str">
        <f t="shared" si="75"/>
        <v/>
      </c>
      <c r="J433" s="16" t="str">
        <f t="shared" si="76"/>
        <v/>
      </c>
      <c r="K433" s="18" t="str">
        <f t="shared" si="77"/>
        <v/>
      </c>
      <c r="L433" s="16" t="str">
        <f t="shared" si="78"/>
        <v/>
      </c>
      <c r="M433" s="16" t="str">
        <f t="shared" si="79"/>
        <v/>
      </c>
      <c r="N433" s="16" t="str">
        <f t="shared" si="80"/>
        <v/>
      </c>
      <c r="O433" s="16" t="str">
        <f t="shared" si="81"/>
        <v/>
      </c>
      <c r="P433" s="16" t="str">
        <f t="shared" si="82"/>
        <v/>
      </c>
      <c r="Q433" s="18" t="str">
        <f t="shared" si="83"/>
        <v/>
      </c>
      <c r="R433" s="19" t="str">
        <f>IF(C433="","",IF(ISNA(MATCH(B433,'Registru oferte'!$B$5:$B$504,0)),"Oferta nu există în registru",IF(N(F433)&lt;=0,"Lipsește cantitatea",IF(AND(ISNUMBER(Q433),Q433&lt;MarjaMin),"Marjă sub minim ("&amp;TEXT(Q433*100,"0")&amp;"%)",""))))</f>
        <v/>
      </c>
      <c r="S433" s="1" t="str">
        <f>IF(B433="","",B433&amp;"|"&amp;COUNTIF($B$5:B433,B433))</f>
        <v/>
      </c>
    </row>
    <row r="434" spans="2:19" x14ac:dyDescent="0.2">
      <c r="B434" s="11"/>
      <c r="C434" s="11"/>
      <c r="D434" s="10" t="str">
        <f t="shared" si="72"/>
        <v/>
      </c>
      <c r="E434" s="15" t="str">
        <f t="shared" si="73"/>
        <v/>
      </c>
      <c r="F434" s="11"/>
      <c r="G434" s="16" t="str">
        <f t="shared" si="74"/>
        <v/>
      </c>
      <c r="H434" s="17"/>
      <c r="I434" s="16" t="str">
        <f t="shared" si="75"/>
        <v/>
      </c>
      <c r="J434" s="16" t="str">
        <f t="shared" si="76"/>
        <v/>
      </c>
      <c r="K434" s="18" t="str">
        <f t="shared" si="77"/>
        <v/>
      </c>
      <c r="L434" s="16" t="str">
        <f t="shared" si="78"/>
        <v/>
      </c>
      <c r="M434" s="16" t="str">
        <f t="shared" si="79"/>
        <v/>
      </c>
      <c r="N434" s="16" t="str">
        <f t="shared" si="80"/>
        <v/>
      </c>
      <c r="O434" s="16" t="str">
        <f t="shared" si="81"/>
        <v/>
      </c>
      <c r="P434" s="16" t="str">
        <f t="shared" si="82"/>
        <v/>
      </c>
      <c r="Q434" s="18" t="str">
        <f t="shared" si="83"/>
        <v/>
      </c>
      <c r="R434" s="19" t="str">
        <f>IF(C434="","",IF(ISNA(MATCH(B434,'Registru oferte'!$B$5:$B$504,0)),"Oferta nu există în registru",IF(N(F434)&lt;=0,"Lipsește cantitatea",IF(AND(ISNUMBER(Q434),Q434&lt;MarjaMin),"Marjă sub minim ("&amp;TEXT(Q434*100,"0")&amp;"%)",""))))</f>
        <v/>
      </c>
      <c r="S434" s="1" t="str">
        <f>IF(B434="","",B434&amp;"|"&amp;COUNTIF($B$5:B434,B434))</f>
        <v/>
      </c>
    </row>
    <row r="435" spans="2:19" x14ac:dyDescent="0.2">
      <c r="B435" s="11"/>
      <c r="C435" s="11"/>
      <c r="D435" s="10" t="str">
        <f t="shared" si="72"/>
        <v/>
      </c>
      <c r="E435" s="15" t="str">
        <f t="shared" si="73"/>
        <v/>
      </c>
      <c r="F435" s="11"/>
      <c r="G435" s="16" t="str">
        <f t="shared" si="74"/>
        <v/>
      </c>
      <c r="H435" s="17"/>
      <c r="I435" s="16" t="str">
        <f t="shared" si="75"/>
        <v/>
      </c>
      <c r="J435" s="16" t="str">
        <f t="shared" si="76"/>
        <v/>
      </c>
      <c r="K435" s="18" t="str">
        <f t="shared" si="77"/>
        <v/>
      </c>
      <c r="L435" s="16" t="str">
        <f t="shared" si="78"/>
        <v/>
      </c>
      <c r="M435" s="16" t="str">
        <f t="shared" si="79"/>
        <v/>
      </c>
      <c r="N435" s="16" t="str">
        <f t="shared" si="80"/>
        <v/>
      </c>
      <c r="O435" s="16" t="str">
        <f t="shared" si="81"/>
        <v/>
      </c>
      <c r="P435" s="16" t="str">
        <f t="shared" si="82"/>
        <v/>
      </c>
      <c r="Q435" s="18" t="str">
        <f t="shared" si="83"/>
        <v/>
      </c>
      <c r="R435" s="19" t="str">
        <f>IF(C435="","",IF(ISNA(MATCH(B435,'Registru oferte'!$B$5:$B$504,0)),"Oferta nu există în registru",IF(N(F435)&lt;=0,"Lipsește cantitatea",IF(AND(ISNUMBER(Q435),Q435&lt;MarjaMin),"Marjă sub minim ("&amp;TEXT(Q435*100,"0")&amp;"%)",""))))</f>
        <v/>
      </c>
      <c r="S435" s="1" t="str">
        <f>IF(B435="","",B435&amp;"|"&amp;COUNTIF($B$5:B435,B435))</f>
        <v/>
      </c>
    </row>
    <row r="436" spans="2:19" x14ac:dyDescent="0.2">
      <c r="B436" s="11"/>
      <c r="C436" s="11"/>
      <c r="D436" s="10" t="str">
        <f t="shared" si="72"/>
        <v/>
      </c>
      <c r="E436" s="15" t="str">
        <f t="shared" si="73"/>
        <v/>
      </c>
      <c r="F436" s="11"/>
      <c r="G436" s="16" t="str">
        <f t="shared" si="74"/>
        <v/>
      </c>
      <c r="H436" s="17"/>
      <c r="I436" s="16" t="str">
        <f t="shared" si="75"/>
        <v/>
      </c>
      <c r="J436" s="16" t="str">
        <f t="shared" si="76"/>
        <v/>
      </c>
      <c r="K436" s="18" t="str">
        <f t="shared" si="77"/>
        <v/>
      </c>
      <c r="L436" s="16" t="str">
        <f t="shared" si="78"/>
        <v/>
      </c>
      <c r="M436" s="16" t="str">
        <f t="shared" si="79"/>
        <v/>
      </c>
      <c r="N436" s="16" t="str">
        <f t="shared" si="80"/>
        <v/>
      </c>
      <c r="O436" s="16" t="str">
        <f t="shared" si="81"/>
        <v/>
      </c>
      <c r="P436" s="16" t="str">
        <f t="shared" si="82"/>
        <v/>
      </c>
      <c r="Q436" s="18" t="str">
        <f t="shared" si="83"/>
        <v/>
      </c>
      <c r="R436" s="19" t="str">
        <f>IF(C436="","",IF(ISNA(MATCH(B436,'Registru oferte'!$B$5:$B$504,0)),"Oferta nu există în registru",IF(N(F436)&lt;=0,"Lipsește cantitatea",IF(AND(ISNUMBER(Q436),Q436&lt;MarjaMin),"Marjă sub minim ("&amp;TEXT(Q436*100,"0")&amp;"%)",""))))</f>
        <v/>
      </c>
      <c r="S436" s="1" t="str">
        <f>IF(B436="","",B436&amp;"|"&amp;COUNTIF($B$5:B436,B436))</f>
        <v/>
      </c>
    </row>
    <row r="437" spans="2:19" x14ac:dyDescent="0.2">
      <c r="B437" s="11"/>
      <c r="C437" s="11"/>
      <c r="D437" s="10" t="str">
        <f t="shared" si="72"/>
        <v/>
      </c>
      <c r="E437" s="15" t="str">
        <f t="shared" si="73"/>
        <v/>
      </c>
      <c r="F437" s="11"/>
      <c r="G437" s="16" t="str">
        <f t="shared" si="74"/>
        <v/>
      </c>
      <c r="H437" s="17"/>
      <c r="I437" s="16" t="str">
        <f t="shared" si="75"/>
        <v/>
      </c>
      <c r="J437" s="16" t="str">
        <f t="shared" si="76"/>
        <v/>
      </c>
      <c r="K437" s="18" t="str">
        <f t="shared" si="77"/>
        <v/>
      </c>
      <c r="L437" s="16" t="str">
        <f t="shared" si="78"/>
        <v/>
      </c>
      <c r="M437" s="16" t="str">
        <f t="shared" si="79"/>
        <v/>
      </c>
      <c r="N437" s="16" t="str">
        <f t="shared" si="80"/>
        <v/>
      </c>
      <c r="O437" s="16" t="str">
        <f t="shared" si="81"/>
        <v/>
      </c>
      <c r="P437" s="16" t="str">
        <f t="shared" si="82"/>
        <v/>
      </c>
      <c r="Q437" s="18" t="str">
        <f t="shared" si="83"/>
        <v/>
      </c>
      <c r="R437" s="19" t="str">
        <f>IF(C437="","",IF(ISNA(MATCH(B437,'Registru oferte'!$B$5:$B$504,0)),"Oferta nu există în registru",IF(N(F437)&lt;=0,"Lipsește cantitatea",IF(AND(ISNUMBER(Q437),Q437&lt;MarjaMin),"Marjă sub minim ("&amp;TEXT(Q437*100,"0")&amp;"%)",""))))</f>
        <v/>
      </c>
      <c r="S437" s="1" t="str">
        <f>IF(B437="","",B437&amp;"|"&amp;COUNTIF($B$5:B437,B437))</f>
        <v/>
      </c>
    </row>
    <row r="438" spans="2:19" x14ac:dyDescent="0.2">
      <c r="B438" s="11"/>
      <c r="C438" s="11"/>
      <c r="D438" s="10" t="str">
        <f t="shared" si="72"/>
        <v/>
      </c>
      <c r="E438" s="15" t="str">
        <f t="shared" si="73"/>
        <v/>
      </c>
      <c r="F438" s="11"/>
      <c r="G438" s="16" t="str">
        <f t="shared" si="74"/>
        <v/>
      </c>
      <c r="H438" s="17"/>
      <c r="I438" s="16" t="str">
        <f t="shared" si="75"/>
        <v/>
      </c>
      <c r="J438" s="16" t="str">
        <f t="shared" si="76"/>
        <v/>
      </c>
      <c r="K438" s="18" t="str">
        <f t="shared" si="77"/>
        <v/>
      </c>
      <c r="L438" s="16" t="str">
        <f t="shared" si="78"/>
        <v/>
      </c>
      <c r="M438" s="16" t="str">
        <f t="shared" si="79"/>
        <v/>
      </c>
      <c r="N438" s="16" t="str">
        <f t="shared" si="80"/>
        <v/>
      </c>
      <c r="O438" s="16" t="str">
        <f t="shared" si="81"/>
        <v/>
      </c>
      <c r="P438" s="16" t="str">
        <f t="shared" si="82"/>
        <v/>
      </c>
      <c r="Q438" s="18" t="str">
        <f t="shared" si="83"/>
        <v/>
      </c>
      <c r="R438" s="19" t="str">
        <f>IF(C438="","",IF(ISNA(MATCH(B438,'Registru oferte'!$B$5:$B$504,0)),"Oferta nu există în registru",IF(N(F438)&lt;=0,"Lipsește cantitatea",IF(AND(ISNUMBER(Q438),Q438&lt;MarjaMin),"Marjă sub minim ("&amp;TEXT(Q438*100,"0")&amp;"%)",""))))</f>
        <v/>
      </c>
      <c r="S438" s="1" t="str">
        <f>IF(B438="","",B438&amp;"|"&amp;COUNTIF($B$5:B438,B438))</f>
        <v/>
      </c>
    </row>
    <row r="439" spans="2:19" x14ac:dyDescent="0.2">
      <c r="B439" s="11"/>
      <c r="C439" s="11"/>
      <c r="D439" s="10" t="str">
        <f t="shared" si="72"/>
        <v/>
      </c>
      <c r="E439" s="15" t="str">
        <f t="shared" si="73"/>
        <v/>
      </c>
      <c r="F439" s="11"/>
      <c r="G439" s="16" t="str">
        <f t="shared" si="74"/>
        <v/>
      </c>
      <c r="H439" s="17"/>
      <c r="I439" s="16" t="str">
        <f t="shared" si="75"/>
        <v/>
      </c>
      <c r="J439" s="16" t="str">
        <f t="shared" si="76"/>
        <v/>
      </c>
      <c r="K439" s="18" t="str">
        <f t="shared" si="77"/>
        <v/>
      </c>
      <c r="L439" s="16" t="str">
        <f t="shared" si="78"/>
        <v/>
      </c>
      <c r="M439" s="16" t="str">
        <f t="shared" si="79"/>
        <v/>
      </c>
      <c r="N439" s="16" t="str">
        <f t="shared" si="80"/>
        <v/>
      </c>
      <c r="O439" s="16" t="str">
        <f t="shared" si="81"/>
        <v/>
      </c>
      <c r="P439" s="16" t="str">
        <f t="shared" si="82"/>
        <v/>
      </c>
      <c r="Q439" s="18" t="str">
        <f t="shared" si="83"/>
        <v/>
      </c>
      <c r="R439" s="19" t="str">
        <f>IF(C439="","",IF(ISNA(MATCH(B439,'Registru oferte'!$B$5:$B$504,0)),"Oferta nu există în registru",IF(N(F439)&lt;=0,"Lipsește cantitatea",IF(AND(ISNUMBER(Q439),Q439&lt;MarjaMin),"Marjă sub minim ("&amp;TEXT(Q439*100,"0")&amp;"%)",""))))</f>
        <v/>
      </c>
      <c r="S439" s="1" t="str">
        <f>IF(B439="","",B439&amp;"|"&amp;COUNTIF($B$5:B439,B439))</f>
        <v/>
      </c>
    </row>
    <row r="440" spans="2:19" x14ac:dyDescent="0.2">
      <c r="B440" s="11"/>
      <c r="C440" s="11"/>
      <c r="D440" s="10" t="str">
        <f t="shared" si="72"/>
        <v/>
      </c>
      <c r="E440" s="15" t="str">
        <f t="shared" si="73"/>
        <v/>
      </c>
      <c r="F440" s="11"/>
      <c r="G440" s="16" t="str">
        <f t="shared" si="74"/>
        <v/>
      </c>
      <c r="H440" s="17"/>
      <c r="I440" s="16" t="str">
        <f t="shared" si="75"/>
        <v/>
      </c>
      <c r="J440" s="16" t="str">
        <f t="shared" si="76"/>
        <v/>
      </c>
      <c r="K440" s="18" t="str">
        <f t="shared" si="77"/>
        <v/>
      </c>
      <c r="L440" s="16" t="str">
        <f t="shared" si="78"/>
        <v/>
      </c>
      <c r="M440" s="16" t="str">
        <f t="shared" si="79"/>
        <v/>
      </c>
      <c r="N440" s="16" t="str">
        <f t="shared" si="80"/>
        <v/>
      </c>
      <c r="O440" s="16" t="str">
        <f t="shared" si="81"/>
        <v/>
      </c>
      <c r="P440" s="16" t="str">
        <f t="shared" si="82"/>
        <v/>
      </c>
      <c r="Q440" s="18" t="str">
        <f t="shared" si="83"/>
        <v/>
      </c>
      <c r="R440" s="19" t="str">
        <f>IF(C440="","",IF(ISNA(MATCH(B440,'Registru oferte'!$B$5:$B$504,0)),"Oferta nu există în registru",IF(N(F440)&lt;=0,"Lipsește cantitatea",IF(AND(ISNUMBER(Q440),Q440&lt;MarjaMin),"Marjă sub minim ("&amp;TEXT(Q440*100,"0")&amp;"%)",""))))</f>
        <v/>
      </c>
      <c r="S440" s="1" t="str">
        <f>IF(B440="","",B440&amp;"|"&amp;COUNTIF($B$5:B440,B440))</f>
        <v/>
      </c>
    </row>
    <row r="441" spans="2:19" x14ac:dyDescent="0.2">
      <c r="B441" s="11"/>
      <c r="C441" s="11"/>
      <c r="D441" s="10" t="str">
        <f t="shared" si="72"/>
        <v/>
      </c>
      <c r="E441" s="15" t="str">
        <f t="shared" si="73"/>
        <v/>
      </c>
      <c r="F441" s="11"/>
      <c r="G441" s="16" t="str">
        <f t="shared" si="74"/>
        <v/>
      </c>
      <c r="H441" s="17"/>
      <c r="I441" s="16" t="str">
        <f t="shared" si="75"/>
        <v/>
      </c>
      <c r="J441" s="16" t="str">
        <f t="shared" si="76"/>
        <v/>
      </c>
      <c r="K441" s="18" t="str">
        <f t="shared" si="77"/>
        <v/>
      </c>
      <c r="L441" s="16" t="str">
        <f t="shared" si="78"/>
        <v/>
      </c>
      <c r="M441" s="16" t="str">
        <f t="shared" si="79"/>
        <v/>
      </c>
      <c r="N441" s="16" t="str">
        <f t="shared" si="80"/>
        <v/>
      </c>
      <c r="O441" s="16" t="str">
        <f t="shared" si="81"/>
        <v/>
      </c>
      <c r="P441" s="16" t="str">
        <f t="shared" si="82"/>
        <v/>
      </c>
      <c r="Q441" s="18" t="str">
        <f t="shared" si="83"/>
        <v/>
      </c>
      <c r="R441" s="19" t="str">
        <f>IF(C441="","",IF(ISNA(MATCH(B441,'Registru oferte'!$B$5:$B$504,0)),"Oferta nu există în registru",IF(N(F441)&lt;=0,"Lipsește cantitatea",IF(AND(ISNUMBER(Q441),Q441&lt;MarjaMin),"Marjă sub minim ("&amp;TEXT(Q441*100,"0")&amp;"%)",""))))</f>
        <v/>
      </c>
      <c r="S441" s="1" t="str">
        <f>IF(B441="","",B441&amp;"|"&amp;COUNTIF($B$5:B441,B441))</f>
        <v/>
      </c>
    </row>
    <row r="442" spans="2:19" x14ac:dyDescent="0.2">
      <c r="B442" s="11"/>
      <c r="C442" s="11"/>
      <c r="D442" s="10" t="str">
        <f t="shared" si="72"/>
        <v/>
      </c>
      <c r="E442" s="15" t="str">
        <f t="shared" si="73"/>
        <v/>
      </c>
      <c r="F442" s="11"/>
      <c r="G442" s="16" t="str">
        <f t="shared" si="74"/>
        <v/>
      </c>
      <c r="H442" s="17"/>
      <c r="I442" s="16" t="str">
        <f t="shared" si="75"/>
        <v/>
      </c>
      <c r="J442" s="16" t="str">
        <f t="shared" si="76"/>
        <v/>
      </c>
      <c r="K442" s="18" t="str">
        <f t="shared" si="77"/>
        <v/>
      </c>
      <c r="L442" s="16" t="str">
        <f t="shared" si="78"/>
        <v/>
      </c>
      <c r="M442" s="16" t="str">
        <f t="shared" si="79"/>
        <v/>
      </c>
      <c r="N442" s="16" t="str">
        <f t="shared" si="80"/>
        <v/>
      </c>
      <c r="O442" s="16" t="str">
        <f t="shared" si="81"/>
        <v/>
      </c>
      <c r="P442" s="16" t="str">
        <f t="shared" si="82"/>
        <v/>
      </c>
      <c r="Q442" s="18" t="str">
        <f t="shared" si="83"/>
        <v/>
      </c>
      <c r="R442" s="19" t="str">
        <f>IF(C442="","",IF(ISNA(MATCH(B442,'Registru oferte'!$B$5:$B$504,0)),"Oferta nu există în registru",IF(N(F442)&lt;=0,"Lipsește cantitatea",IF(AND(ISNUMBER(Q442),Q442&lt;MarjaMin),"Marjă sub minim ("&amp;TEXT(Q442*100,"0")&amp;"%)",""))))</f>
        <v/>
      </c>
      <c r="S442" s="1" t="str">
        <f>IF(B442="","",B442&amp;"|"&amp;COUNTIF($B$5:B442,B442))</f>
        <v/>
      </c>
    </row>
    <row r="443" spans="2:19" x14ac:dyDescent="0.2">
      <c r="B443" s="11"/>
      <c r="C443" s="11"/>
      <c r="D443" s="10" t="str">
        <f t="shared" si="72"/>
        <v/>
      </c>
      <c r="E443" s="15" t="str">
        <f t="shared" si="73"/>
        <v/>
      </c>
      <c r="F443" s="11"/>
      <c r="G443" s="16" t="str">
        <f t="shared" si="74"/>
        <v/>
      </c>
      <c r="H443" s="17"/>
      <c r="I443" s="16" t="str">
        <f t="shared" si="75"/>
        <v/>
      </c>
      <c r="J443" s="16" t="str">
        <f t="shared" si="76"/>
        <v/>
      </c>
      <c r="K443" s="18" t="str">
        <f t="shared" si="77"/>
        <v/>
      </c>
      <c r="L443" s="16" t="str">
        <f t="shared" si="78"/>
        <v/>
      </c>
      <c r="M443" s="16" t="str">
        <f t="shared" si="79"/>
        <v/>
      </c>
      <c r="N443" s="16" t="str">
        <f t="shared" si="80"/>
        <v/>
      </c>
      <c r="O443" s="16" t="str">
        <f t="shared" si="81"/>
        <v/>
      </c>
      <c r="P443" s="16" t="str">
        <f t="shared" si="82"/>
        <v/>
      </c>
      <c r="Q443" s="18" t="str">
        <f t="shared" si="83"/>
        <v/>
      </c>
      <c r="R443" s="19" t="str">
        <f>IF(C443="","",IF(ISNA(MATCH(B443,'Registru oferte'!$B$5:$B$504,0)),"Oferta nu există în registru",IF(N(F443)&lt;=0,"Lipsește cantitatea",IF(AND(ISNUMBER(Q443),Q443&lt;MarjaMin),"Marjă sub minim ("&amp;TEXT(Q443*100,"0")&amp;"%)",""))))</f>
        <v/>
      </c>
      <c r="S443" s="1" t="str">
        <f>IF(B443="","",B443&amp;"|"&amp;COUNTIF($B$5:B443,B443))</f>
        <v/>
      </c>
    </row>
    <row r="444" spans="2:19" x14ac:dyDescent="0.2">
      <c r="B444" s="11"/>
      <c r="C444" s="11"/>
      <c r="D444" s="10" t="str">
        <f t="shared" si="72"/>
        <v/>
      </c>
      <c r="E444" s="15" t="str">
        <f t="shared" si="73"/>
        <v/>
      </c>
      <c r="F444" s="11"/>
      <c r="G444" s="16" t="str">
        <f t="shared" si="74"/>
        <v/>
      </c>
      <c r="H444" s="17"/>
      <c r="I444" s="16" t="str">
        <f t="shared" si="75"/>
        <v/>
      </c>
      <c r="J444" s="16" t="str">
        <f t="shared" si="76"/>
        <v/>
      </c>
      <c r="K444" s="18" t="str">
        <f t="shared" si="77"/>
        <v/>
      </c>
      <c r="L444" s="16" t="str">
        <f t="shared" si="78"/>
        <v/>
      </c>
      <c r="M444" s="16" t="str">
        <f t="shared" si="79"/>
        <v/>
      </c>
      <c r="N444" s="16" t="str">
        <f t="shared" si="80"/>
        <v/>
      </c>
      <c r="O444" s="16" t="str">
        <f t="shared" si="81"/>
        <v/>
      </c>
      <c r="P444" s="16" t="str">
        <f t="shared" si="82"/>
        <v/>
      </c>
      <c r="Q444" s="18" t="str">
        <f t="shared" si="83"/>
        <v/>
      </c>
      <c r="R444" s="19" t="str">
        <f>IF(C444="","",IF(ISNA(MATCH(B444,'Registru oferte'!$B$5:$B$504,0)),"Oferta nu există în registru",IF(N(F444)&lt;=0,"Lipsește cantitatea",IF(AND(ISNUMBER(Q444),Q444&lt;MarjaMin),"Marjă sub minim ("&amp;TEXT(Q444*100,"0")&amp;"%)",""))))</f>
        <v/>
      </c>
      <c r="S444" s="1" t="str">
        <f>IF(B444="","",B444&amp;"|"&amp;COUNTIF($B$5:B444,B444))</f>
        <v/>
      </c>
    </row>
    <row r="445" spans="2:19" x14ac:dyDescent="0.2">
      <c r="B445" s="11"/>
      <c r="C445" s="11"/>
      <c r="D445" s="10" t="str">
        <f t="shared" si="72"/>
        <v/>
      </c>
      <c r="E445" s="15" t="str">
        <f t="shared" si="73"/>
        <v/>
      </c>
      <c r="F445" s="11"/>
      <c r="G445" s="16" t="str">
        <f t="shared" si="74"/>
        <v/>
      </c>
      <c r="H445" s="17"/>
      <c r="I445" s="16" t="str">
        <f t="shared" si="75"/>
        <v/>
      </c>
      <c r="J445" s="16" t="str">
        <f t="shared" si="76"/>
        <v/>
      </c>
      <c r="K445" s="18" t="str">
        <f t="shared" si="77"/>
        <v/>
      </c>
      <c r="L445" s="16" t="str">
        <f t="shared" si="78"/>
        <v/>
      </c>
      <c r="M445" s="16" t="str">
        <f t="shared" si="79"/>
        <v/>
      </c>
      <c r="N445" s="16" t="str">
        <f t="shared" si="80"/>
        <v/>
      </c>
      <c r="O445" s="16" t="str">
        <f t="shared" si="81"/>
        <v/>
      </c>
      <c r="P445" s="16" t="str">
        <f t="shared" si="82"/>
        <v/>
      </c>
      <c r="Q445" s="18" t="str">
        <f t="shared" si="83"/>
        <v/>
      </c>
      <c r="R445" s="19" t="str">
        <f>IF(C445="","",IF(ISNA(MATCH(B445,'Registru oferte'!$B$5:$B$504,0)),"Oferta nu există în registru",IF(N(F445)&lt;=0,"Lipsește cantitatea",IF(AND(ISNUMBER(Q445),Q445&lt;MarjaMin),"Marjă sub minim ("&amp;TEXT(Q445*100,"0")&amp;"%)",""))))</f>
        <v/>
      </c>
      <c r="S445" s="1" t="str">
        <f>IF(B445="","",B445&amp;"|"&amp;COUNTIF($B$5:B445,B445))</f>
        <v/>
      </c>
    </row>
    <row r="446" spans="2:19" x14ac:dyDescent="0.2">
      <c r="B446" s="11"/>
      <c r="C446" s="11"/>
      <c r="D446" s="10" t="str">
        <f t="shared" si="72"/>
        <v/>
      </c>
      <c r="E446" s="15" t="str">
        <f t="shared" si="73"/>
        <v/>
      </c>
      <c r="F446" s="11"/>
      <c r="G446" s="16" t="str">
        <f t="shared" si="74"/>
        <v/>
      </c>
      <c r="H446" s="17"/>
      <c r="I446" s="16" t="str">
        <f t="shared" si="75"/>
        <v/>
      </c>
      <c r="J446" s="16" t="str">
        <f t="shared" si="76"/>
        <v/>
      </c>
      <c r="K446" s="18" t="str">
        <f t="shared" si="77"/>
        <v/>
      </c>
      <c r="L446" s="16" t="str">
        <f t="shared" si="78"/>
        <v/>
      </c>
      <c r="M446" s="16" t="str">
        <f t="shared" si="79"/>
        <v/>
      </c>
      <c r="N446" s="16" t="str">
        <f t="shared" si="80"/>
        <v/>
      </c>
      <c r="O446" s="16" t="str">
        <f t="shared" si="81"/>
        <v/>
      </c>
      <c r="P446" s="16" t="str">
        <f t="shared" si="82"/>
        <v/>
      </c>
      <c r="Q446" s="18" t="str">
        <f t="shared" si="83"/>
        <v/>
      </c>
      <c r="R446" s="19" t="str">
        <f>IF(C446="","",IF(ISNA(MATCH(B446,'Registru oferte'!$B$5:$B$504,0)),"Oferta nu există în registru",IF(N(F446)&lt;=0,"Lipsește cantitatea",IF(AND(ISNUMBER(Q446),Q446&lt;MarjaMin),"Marjă sub minim ("&amp;TEXT(Q446*100,"0")&amp;"%)",""))))</f>
        <v/>
      </c>
      <c r="S446" s="1" t="str">
        <f>IF(B446="","",B446&amp;"|"&amp;COUNTIF($B$5:B446,B446))</f>
        <v/>
      </c>
    </row>
    <row r="447" spans="2:19" x14ac:dyDescent="0.2">
      <c r="B447" s="11"/>
      <c r="C447" s="11"/>
      <c r="D447" s="10" t="str">
        <f t="shared" si="72"/>
        <v/>
      </c>
      <c r="E447" s="15" t="str">
        <f t="shared" si="73"/>
        <v/>
      </c>
      <c r="F447" s="11"/>
      <c r="G447" s="16" t="str">
        <f t="shared" si="74"/>
        <v/>
      </c>
      <c r="H447" s="17"/>
      <c r="I447" s="16" t="str">
        <f t="shared" si="75"/>
        <v/>
      </c>
      <c r="J447" s="16" t="str">
        <f t="shared" si="76"/>
        <v/>
      </c>
      <c r="K447" s="18" t="str">
        <f t="shared" si="77"/>
        <v/>
      </c>
      <c r="L447" s="16" t="str">
        <f t="shared" si="78"/>
        <v/>
      </c>
      <c r="M447" s="16" t="str">
        <f t="shared" si="79"/>
        <v/>
      </c>
      <c r="N447" s="16" t="str">
        <f t="shared" si="80"/>
        <v/>
      </c>
      <c r="O447" s="16" t="str">
        <f t="shared" si="81"/>
        <v/>
      </c>
      <c r="P447" s="16" t="str">
        <f t="shared" si="82"/>
        <v/>
      </c>
      <c r="Q447" s="18" t="str">
        <f t="shared" si="83"/>
        <v/>
      </c>
      <c r="R447" s="19" t="str">
        <f>IF(C447="","",IF(ISNA(MATCH(B447,'Registru oferte'!$B$5:$B$504,0)),"Oferta nu există în registru",IF(N(F447)&lt;=0,"Lipsește cantitatea",IF(AND(ISNUMBER(Q447),Q447&lt;MarjaMin),"Marjă sub minim ("&amp;TEXT(Q447*100,"0")&amp;"%)",""))))</f>
        <v/>
      </c>
      <c r="S447" s="1" t="str">
        <f>IF(B447="","",B447&amp;"|"&amp;COUNTIF($B$5:B447,B447))</f>
        <v/>
      </c>
    </row>
    <row r="448" spans="2:19" x14ac:dyDescent="0.2">
      <c r="B448" s="11"/>
      <c r="C448" s="11"/>
      <c r="D448" s="10" t="str">
        <f t="shared" si="72"/>
        <v/>
      </c>
      <c r="E448" s="15" t="str">
        <f t="shared" si="73"/>
        <v/>
      </c>
      <c r="F448" s="11"/>
      <c r="G448" s="16" t="str">
        <f t="shared" si="74"/>
        <v/>
      </c>
      <c r="H448" s="17"/>
      <c r="I448" s="16" t="str">
        <f t="shared" si="75"/>
        <v/>
      </c>
      <c r="J448" s="16" t="str">
        <f t="shared" si="76"/>
        <v/>
      </c>
      <c r="K448" s="18" t="str">
        <f t="shared" si="77"/>
        <v/>
      </c>
      <c r="L448" s="16" t="str">
        <f t="shared" si="78"/>
        <v/>
      </c>
      <c r="M448" s="16" t="str">
        <f t="shared" si="79"/>
        <v/>
      </c>
      <c r="N448" s="16" t="str">
        <f t="shared" si="80"/>
        <v/>
      </c>
      <c r="O448" s="16" t="str">
        <f t="shared" si="81"/>
        <v/>
      </c>
      <c r="P448" s="16" t="str">
        <f t="shared" si="82"/>
        <v/>
      </c>
      <c r="Q448" s="18" t="str">
        <f t="shared" si="83"/>
        <v/>
      </c>
      <c r="R448" s="19" t="str">
        <f>IF(C448="","",IF(ISNA(MATCH(B448,'Registru oferte'!$B$5:$B$504,0)),"Oferta nu există în registru",IF(N(F448)&lt;=0,"Lipsește cantitatea",IF(AND(ISNUMBER(Q448),Q448&lt;MarjaMin),"Marjă sub minim ("&amp;TEXT(Q448*100,"0")&amp;"%)",""))))</f>
        <v/>
      </c>
      <c r="S448" s="1" t="str">
        <f>IF(B448="","",B448&amp;"|"&amp;COUNTIF($B$5:B448,B448))</f>
        <v/>
      </c>
    </row>
    <row r="449" spans="2:19" x14ac:dyDescent="0.2">
      <c r="B449" s="11"/>
      <c r="C449" s="11"/>
      <c r="D449" s="10" t="str">
        <f t="shared" si="72"/>
        <v/>
      </c>
      <c r="E449" s="15" t="str">
        <f t="shared" si="73"/>
        <v/>
      </c>
      <c r="F449" s="11"/>
      <c r="G449" s="16" t="str">
        <f t="shared" si="74"/>
        <v/>
      </c>
      <c r="H449" s="17"/>
      <c r="I449" s="16" t="str">
        <f t="shared" si="75"/>
        <v/>
      </c>
      <c r="J449" s="16" t="str">
        <f t="shared" si="76"/>
        <v/>
      </c>
      <c r="K449" s="18" t="str">
        <f t="shared" si="77"/>
        <v/>
      </c>
      <c r="L449" s="16" t="str">
        <f t="shared" si="78"/>
        <v/>
      </c>
      <c r="M449" s="16" t="str">
        <f t="shared" si="79"/>
        <v/>
      </c>
      <c r="N449" s="16" t="str">
        <f t="shared" si="80"/>
        <v/>
      </c>
      <c r="O449" s="16" t="str">
        <f t="shared" si="81"/>
        <v/>
      </c>
      <c r="P449" s="16" t="str">
        <f t="shared" si="82"/>
        <v/>
      </c>
      <c r="Q449" s="18" t="str">
        <f t="shared" si="83"/>
        <v/>
      </c>
      <c r="R449" s="19" t="str">
        <f>IF(C449="","",IF(ISNA(MATCH(B449,'Registru oferte'!$B$5:$B$504,0)),"Oferta nu există în registru",IF(N(F449)&lt;=0,"Lipsește cantitatea",IF(AND(ISNUMBER(Q449),Q449&lt;MarjaMin),"Marjă sub minim ("&amp;TEXT(Q449*100,"0")&amp;"%)",""))))</f>
        <v/>
      </c>
      <c r="S449" s="1" t="str">
        <f>IF(B449="","",B449&amp;"|"&amp;COUNTIF($B$5:B449,B449))</f>
        <v/>
      </c>
    </row>
    <row r="450" spans="2:19" x14ac:dyDescent="0.2">
      <c r="B450" s="11"/>
      <c r="C450" s="11"/>
      <c r="D450" s="10" t="str">
        <f t="shared" si="72"/>
        <v/>
      </c>
      <c r="E450" s="15" t="str">
        <f t="shared" si="73"/>
        <v/>
      </c>
      <c r="F450" s="11"/>
      <c r="G450" s="16" t="str">
        <f t="shared" si="74"/>
        <v/>
      </c>
      <c r="H450" s="17"/>
      <c r="I450" s="16" t="str">
        <f t="shared" si="75"/>
        <v/>
      </c>
      <c r="J450" s="16" t="str">
        <f t="shared" si="76"/>
        <v/>
      </c>
      <c r="K450" s="18" t="str">
        <f t="shared" si="77"/>
        <v/>
      </c>
      <c r="L450" s="16" t="str">
        <f t="shared" si="78"/>
        <v/>
      </c>
      <c r="M450" s="16" t="str">
        <f t="shared" si="79"/>
        <v/>
      </c>
      <c r="N450" s="16" t="str">
        <f t="shared" si="80"/>
        <v/>
      </c>
      <c r="O450" s="16" t="str">
        <f t="shared" si="81"/>
        <v/>
      </c>
      <c r="P450" s="16" t="str">
        <f t="shared" si="82"/>
        <v/>
      </c>
      <c r="Q450" s="18" t="str">
        <f t="shared" si="83"/>
        <v/>
      </c>
      <c r="R450" s="19" t="str">
        <f>IF(C450="","",IF(ISNA(MATCH(B450,'Registru oferte'!$B$5:$B$504,0)),"Oferta nu există în registru",IF(N(F450)&lt;=0,"Lipsește cantitatea",IF(AND(ISNUMBER(Q450),Q450&lt;MarjaMin),"Marjă sub minim ("&amp;TEXT(Q450*100,"0")&amp;"%)",""))))</f>
        <v/>
      </c>
      <c r="S450" s="1" t="str">
        <f>IF(B450="","",B450&amp;"|"&amp;COUNTIF($B$5:B450,B450))</f>
        <v/>
      </c>
    </row>
    <row r="451" spans="2:19" x14ac:dyDescent="0.2">
      <c r="B451" s="11"/>
      <c r="C451" s="11"/>
      <c r="D451" s="10" t="str">
        <f t="shared" si="72"/>
        <v/>
      </c>
      <c r="E451" s="15" t="str">
        <f t="shared" si="73"/>
        <v/>
      </c>
      <c r="F451" s="11"/>
      <c r="G451" s="16" t="str">
        <f t="shared" si="74"/>
        <v/>
      </c>
      <c r="H451" s="17"/>
      <c r="I451" s="16" t="str">
        <f t="shared" si="75"/>
        <v/>
      </c>
      <c r="J451" s="16" t="str">
        <f t="shared" si="76"/>
        <v/>
      </c>
      <c r="K451" s="18" t="str">
        <f t="shared" si="77"/>
        <v/>
      </c>
      <c r="L451" s="16" t="str">
        <f t="shared" si="78"/>
        <v/>
      </c>
      <c r="M451" s="16" t="str">
        <f t="shared" si="79"/>
        <v/>
      </c>
      <c r="N451" s="16" t="str">
        <f t="shared" si="80"/>
        <v/>
      </c>
      <c r="O451" s="16" t="str">
        <f t="shared" si="81"/>
        <v/>
      </c>
      <c r="P451" s="16" t="str">
        <f t="shared" si="82"/>
        <v/>
      </c>
      <c r="Q451" s="18" t="str">
        <f t="shared" si="83"/>
        <v/>
      </c>
      <c r="R451" s="19" t="str">
        <f>IF(C451="","",IF(ISNA(MATCH(B451,'Registru oferte'!$B$5:$B$504,0)),"Oferta nu există în registru",IF(N(F451)&lt;=0,"Lipsește cantitatea",IF(AND(ISNUMBER(Q451),Q451&lt;MarjaMin),"Marjă sub minim ("&amp;TEXT(Q451*100,"0")&amp;"%)",""))))</f>
        <v/>
      </c>
      <c r="S451" s="1" t="str">
        <f>IF(B451="","",B451&amp;"|"&amp;COUNTIF($B$5:B451,B451))</f>
        <v/>
      </c>
    </row>
    <row r="452" spans="2:19" x14ac:dyDescent="0.2">
      <c r="B452" s="11"/>
      <c r="C452" s="11"/>
      <c r="D452" s="10" t="str">
        <f t="shared" si="72"/>
        <v/>
      </c>
      <c r="E452" s="15" t="str">
        <f t="shared" si="73"/>
        <v/>
      </c>
      <c r="F452" s="11"/>
      <c r="G452" s="16" t="str">
        <f t="shared" si="74"/>
        <v/>
      </c>
      <c r="H452" s="17"/>
      <c r="I452" s="16" t="str">
        <f t="shared" si="75"/>
        <v/>
      </c>
      <c r="J452" s="16" t="str">
        <f t="shared" si="76"/>
        <v/>
      </c>
      <c r="K452" s="18" t="str">
        <f t="shared" si="77"/>
        <v/>
      </c>
      <c r="L452" s="16" t="str">
        <f t="shared" si="78"/>
        <v/>
      </c>
      <c r="M452" s="16" t="str">
        <f t="shared" si="79"/>
        <v/>
      </c>
      <c r="N452" s="16" t="str">
        <f t="shared" si="80"/>
        <v/>
      </c>
      <c r="O452" s="16" t="str">
        <f t="shared" si="81"/>
        <v/>
      </c>
      <c r="P452" s="16" t="str">
        <f t="shared" si="82"/>
        <v/>
      </c>
      <c r="Q452" s="18" t="str">
        <f t="shared" si="83"/>
        <v/>
      </c>
      <c r="R452" s="19" t="str">
        <f>IF(C452="","",IF(ISNA(MATCH(B452,'Registru oferte'!$B$5:$B$504,0)),"Oferta nu există în registru",IF(N(F452)&lt;=0,"Lipsește cantitatea",IF(AND(ISNUMBER(Q452),Q452&lt;MarjaMin),"Marjă sub minim ("&amp;TEXT(Q452*100,"0")&amp;"%)",""))))</f>
        <v/>
      </c>
      <c r="S452" s="1" t="str">
        <f>IF(B452="","",B452&amp;"|"&amp;COUNTIF($B$5:B452,B452))</f>
        <v/>
      </c>
    </row>
    <row r="453" spans="2:19" x14ac:dyDescent="0.2">
      <c r="B453" s="11"/>
      <c r="C453" s="11"/>
      <c r="D453" s="10" t="str">
        <f t="shared" ref="D453:D516" si="84">IF(C453="","",IFERROR(VLOOKUP(C453,TabCat,2,FALSE),"Cod inexistent"))</f>
        <v/>
      </c>
      <c r="E453" s="15" t="str">
        <f t="shared" ref="E453:E516" si="85">IF(C453="","",IFERROR(VLOOKUP(C453,TabCat,3,FALSE),""))</f>
        <v/>
      </c>
      <c r="F453" s="11"/>
      <c r="G453" s="16" t="str">
        <f t="shared" ref="G453:G516" si="86">IF(C453="","",IFERROR(VLOOKUP(C453,TabCat,4,FALSE),0))</f>
        <v/>
      </c>
      <c r="H453" s="17"/>
      <c r="I453" s="16" t="str">
        <f t="shared" ref="I453:I516" si="87">IF(C453="","",ROUND(G453*(1-N(H453)),2))</f>
        <v/>
      </c>
      <c r="J453" s="16" t="str">
        <f t="shared" ref="J453:J516" si="88">IF(C453="","",ROUND(I453*N(F453),2))</f>
        <v/>
      </c>
      <c r="K453" s="18" t="str">
        <f t="shared" ref="K453:K516" si="89">IF(C453="","",IFERROR(VLOOKUP(C453,TabCat,6,FALSE),0))</f>
        <v/>
      </c>
      <c r="L453" s="16" t="str">
        <f t="shared" ref="L453:L516" si="90">IF(C453="","",ROUND(J453*K453,2))</f>
        <v/>
      </c>
      <c r="M453" s="16" t="str">
        <f t="shared" ref="M453:M516" si="91">IF(C453="","",J453+L453)</f>
        <v/>
      </c>
      <c r="N453" s="16" t="str">
        <f t="shared" ref="N453:N516" si="92">IF(C453="","",IFERROR(VLOOKUP(C453,TabCat,5,FALSE),0))</f>
        <v/>
      </c>
      <c r="O453" s="16" t="str">
        <f t="shared" ref="O453:O516" si="93">IF(C453="","",ROUND(N453*N(F453),2))</f>
        <v/>
      </c>
      <c r="P453" s="16" t="str">
        <f t="shared" ref="P453:P516" si="94">IF(C453="","",J453-O453)</f>
        <v/>
      </c>
      <c r="Q453" s="18" t="str">
        <f t="shared" ref="Q453:Q516" si="95">IF(OR(C453="",N(J453)=0),"",P453/J453)</f>
        <v/>
      </c>
      <c r="R453" s="19" t="str">
        <f>IF(C453="","",IF(ISNA(MATCH(B453,'Registru oferte'!$B$5:$B$504,0)),"Oferta nu există în registru",IF(N(F453)&lt;=0,"Lipsește cantitatea",IF(AND(ISNUMBER(Q453),Q453&lt;MarjaMin),"Marjă sub minim ("&amp;TEXT(Q453*100,"0")&amp;"%)",""))))</f>
        <v/>
      </c>
      <c r="S453" s="1" t="str">
        <f>IF(B453="","",B453&amp;"|"&amp;COUNTIF($B$5:B453,B453))</f>
        <v/>
      </c>
    </row>
    <row r="454" spans="2:19" x14ac:dyDescent="0.2">
      <c r="B454" s="11"/>
      <c r="C454" s="11"/>
      <c r="D454" s="10" t="str">
        <f t="shared" si="84"/>
        <v/>
      </c>
      <c r="E454" s="15" t="str">
        <f t="shared" si="85"/>
        <v/>
      </c>
      <c r="F454" s="11"/>
      <c r="G454" s="16" t="str">
        <f t="shared" si="86"/>
        <v/>
      </c>
      <c r="H454" s="17"/>
      <c r="I454" s="16" t="str">
        <f t="shared" si="87"/>
        <v/>
      </c>
      <c r="J454" s="16" t="str">
        <f t="shared" si="88"/>
        <v/>
      </c>
      <c r="K454" s="18" t="str">
        <f t="shared" si="89"/>
        <v/>
      </c>
      <c r="L454" s="16" t="str">
        <f t="shared" si="90"/>
        <v/>
      </c>
      <c r="M454" s="16" t="str">
        <f t="shared" si="91"/>
        <v/>
      </c>
      <c r="N454" s="16" t="str">
        <f t="shared" si="92"/>
        <v/>
      </c>
      <c r="O454" s="16" t="str">
        <f t="shared" si="93"/>
        <v/>
      </c>
      <c r="P454" s="16" t="str">
        <f t="shared" si="94"/>
        <v/>
      </c>
      <c r="Q454" s="18" t="str">
        <f t="shared" si="95"/>
        <v/>
      </c>
      <c r="R454" s="19" t="str">
        <f>IF(C454="","",IF(ISNA(MATCH(B454,'Registru oferte'!$B$5:$B$504,0)),"Oferta nu există în registru",IF(N(F454)&lt;=0,"Lipsește cantitatea",IF(AND(ISNUMBER(Q454),Q454&lt;MarjaMin),"Marjă sub minim ("&amp;TEXT(Q454*100,"0")&amp;"%)",""))))</f>
        <v/>
      </c>
      <c r="S454" s="1" t="str">
        <f>IF(B454="","",B454&amp;"|"&amp;COUNTIF($B$5:B454,B454))</f>
        <v/>
      </c>
    </row>
    <row r="455" spans="2:19" x14ac:dyDescent="0.2">
      <c r="B455" s="11"/>
      <c r="C455" s="11"/>
      <c r="D455" s="10" t="str">
        <f t="shared" si="84"/>
        <v/>
      </c>
      <c r="E455" s="15" t="str">
        <f t="shared" si="85"/>
        <v/>
      </c>
      <c r="F455" s="11"/>
      <c r="G455" s="16" t="str">
        <f t="shared" si="86"/>
        <v/>
      </c>
      <c r="H455" s="17"/>
      <c r="I455" s="16" t="str">
        <f t="shared" si="87"/>
        <v/>
      </c>
      <c r="J455" s="16" t="str">
        <f t="shared" si="88"/>
        <v/>
      </c>
      <c r="K455" s="18" t="str">
        <f t="shared" si="89"/>
        <v/>
      </c>
      <c r="L455" s="16" t="str">
        <f t="shared" si="90"/>
        <v/>
      </c>
      <c r="M455" s="16" t="str">
        <f t="shared" si="91"/>
        <v/>
      </c>
      <c r="N455" s="16" t="str">
        <f t="shared" si="92"/>
        <v/>
      </c>
      <c r="O455" s="16" t="str">
        <f t="shared" si="93"/>
        <v/>
      </c>
      <c r="P455" s="16" t="str">
        <f t="shared" si="94"/>
        <v/>
      </c>
      <c r="Q455" s="18" t="str">
        <f t="shared" si="95"/>
        <v/>
      </c>
      <c r="R455" s="19" t="str">
        <f>IF(C455="","",IF(ISNA(MATCH(B455,'Registru oferte'!$B$5:$B$504,0)),"Oferta nu există în registru",IF(N(F455)&lt;=0,"Lipsește cantitatea",IF(AND(ISNUMBER(Q455),Q455&lt;MarjaMin),"Marjă sub minim ("&amp;TEXT(Q455*100,"0")&amp;"%)",""))))</f>
        <v/>
      </c>
      <c r="S455" s="1" t="str">
        <f>IF(B455="","",B455&amp;"|"&amp;COUNTIF($B$5:B455,B455))</f>
        <v/>
      </c>
    </row>
    <row r="456" spans="2:19" x14ac:dyDescent="0.2">
      <c r="B456" s="11"/>
      <c r="C456" s="11"/>
      <c r="D456" s="10" t="str">
        <f t="shared" si="84"/>
        <v/>
      </c>
      <c r="E456" s="15" t="str">
        <f t="shared" si="85"/>
        <v/>
      </c>
      <c r="F456" s="11"/>
      <c r="G456" s="16" t="str">
        <f t="shared" si="86"/>
        <v/>
      </c>
      <c r="H456" s="17"/>
      <c r="I456" s="16" t="str">
        <f t="shared" si="87"/>
        <v/>
      </c>
      <c r="J456" s="16" t="str">
        <f t="shared" si="88"/>
        <v/>
      </c>
      <c r="K456" s="18" t="str">
        <f t="shared" si="89"/>
        <v/>
      </c>
      <c r="L456" s="16" t="str">
        <f t="shared" si="90"/>
        <v/>
      </c>
      <c r="M456" s="16" t="str">
        <f t="shared" si="91"/>
        <v/>
      </c>
      <c r="N456" s="16" t="str">
        <f t="shared" si="92"/>
        <v/>
      </c>
      <c r="O456" s="16" t="str">
        <f t="shared" si="93"/>
        <v/>
      </c>
      <c r="P456" s="16" t="str">
        <f t="shared" si="94"/>
        <v/>
      </c>
      <c r="Q456" s="18" t="str">
        <f t="shared" si="95"/>
        <v/>
      </c>
      <c r="R456" s="19" t="str">
        <f>IF(C456="","",IF(ISNA(MATCH(B456,'Registru oferte'!$B$5:$B$504,0)),"Oferta nu există în registru",IF(N(F456)&lt;=0,"Lipsește cantitatea",IF(AND(ISNUMBER(Q456),Q456&lt;MarjaMin),"Marjă sub minim ("&amp;TEXT(Q456*100,"0")&amp;"%)",""))))</f>
        <v/>
      </c>
      <c r="S456" s="1" t="str">
        <f>IF(B456="","",B456&amp;"|"&amp;COUNTIF($B$5:B456,B456))</f>
        <v/>
      </c>
    </row>
    <row r="457" spans="2:19" x14ac:dyDescent="0.2">
      <c r="B457" s="11"/>
      <c r="C457" s="11"/>
      <c r="D457" s="10" t="str">
        <f t="shared" si="84"/>
        <v/>
      </c>
      <c r="E457" s="15" t="str">
        <f t="shared" si="85"/>
        <v/>
      </c>
      <c r="F457" s="11"/>
      <c r="G457" s="16" t="str">
        <f t="shared" si="86"/>
        <v/>
      </c>
      <c r="H457" s="17"/>
      <c r="I457" s="16" t="str">
        <f t="shared" si="87"/>
        <v/>
      </c>
      <c r="J457" s="16" t="str">
        <f t="shared" si="88"/>
        <v/>
      </c>
      <c r="K457" s="18" t="str">
        <f t="shared" si="89"/>
        <v/>
      </c>
      <c r="L457" s="16" t="str">
        <f t="shared" si="90"/>
        <v/>
      </c>
      <c r="M457" s="16" t="str">
        <f t="shared" si="91"/>
        <v/>
      </c>
      <c r="N457" s="16" t="str">
        <f t="shared" si="92"/>
        <v/>
      </c>
      <c r="O457" s="16" t="str">
        <f t="shared" si="93"/>
        <v/>
      </c>
      <c r="P457" s="16" t="str">
        <f t="shared" si="94"/>
        <v/>
      </c>
      <c r="Q457" s="18" t="str">
        <f t="shared" si="95"/>
        <v/>
      </c>
      <c r="R457" s="19" t="str">
        <f>IF(C457="","",IF(ISNA(MATCH(B457,'Registru oferte'!$B$5:$B$504,0)),"Oferta nu există în registru",IF(N(F457)&lt;=0,"Lipsește cantitatea",IF(AND(ISNUMBER(Q457),Q457&lt;MarjaMin),"Marjă sub minim ("&amp;TEXT(Q457*100,"0")&amp;"%)",""))))</f>
        <v/>
      </c>
      <c r="S457" s="1" t="str">
        <f>IF(B457="","",B457&amp;"|"&amp;COUNTIF($B$5:B457,B457))</f>
        <v/>
      </c>
    </row>
    <row r="458" spans="2:19" x14ac:dyDescent="0.2">
      <c r="B458" s="11"/>
      <c r="C458" s="11"/>
      <c r="D458" s="10" t="str">
        <f t="shared" si="84"/>
        <v/>
      </c>
      <c r="E458" s="15" t="str">
        <f t="shared" si="85"/>
        <v/>
      </c>
      <c r="F458" s="11"/>
      <c r="G458" s="16" t="str">
        <f t="shared" si="86"/>
        <v/>
      </c>
      <c r="H458" s="17"/>
      <c r="I458" s="16" t="str">
        <f t="shared" si="87"/>
        <v/>
      </c>
      <c r="J458" s="16" t="str">
        <f t="shared" si="88"/>
        <v/>
      </c>
      <c r="K458" s="18" t="str">
        <f t="shared" si="89"/>
        <v/>
      </c>
      <c r="L458" s="16" t="str">
        <f t="shared" si="90"/>
        <v/>
      </c>
      <c r="M458" s="16" t="str">
        <f t="shared" si="91"/>
        <v/>
      </c>
      <c r="N458" s="16" t="str">
        <f t="shared" si="92"/>
        <v/>
      </c>
      <c r="O458" s="16" t="str">
        <f t="shared" si="93"/>
        <v/>
      </c>
      <c r="P458" s="16" t="str">
        <f t="shared" si="94"/>
        <v/>
      </c>
      <c r="Q458" s="18" t="str">
        <f t="shared" si="95"/>
        <v/>
      </c>
      <c r="R458" s="19" t="str">
        <f>IF(C458="","",IF(ISNA(MATCH(B458,'Registru oferte'!$B$5:$B$504,0)),"Oferta nu există în registru",IF(N(F458)&lt;=0,"Lipsește cantitatea",IF(AND(ISNUMBER(Q458),Q458&lt;MarjaMin),"Marjă sub minim ("&amp;TEXT(Q458*100,"0")&amp;"%)",""))))</f>
        <v/>
      </c>
      <c r="S458" s="1" t="str">
        <f>IF(B458="","",B458&amp;"|"&amp;COUNTIF($B$5:B458,B458))</f>
        <v/>
      </c>
    </row>
    <row r="459" spans="2:19" x14ac:dyDescent="0.2">
      <c r="B459" s="11"/>
      <c r="C459" s="11"/>
      <c r="D459" s="10" t="str">
        <f t="shared" si="84"/>
        <v/>
      </c>
      <c r="E459" s="15" t="str">
        <f t="shared" si="85"/>
        <v/>
      </c>
      <c r="F459" s="11"/>
      <c r="G459" s="16" t="str">
        <f t="shared" si="86"/>
        <v/>
      </c>
      <c r="H459" s="17"/>
      <c r="I459" s="16" t="str">
        <f t="shared" si="87"/>
        <v/>
      </c>
      <c r="J459" s="16" t="str">
        <f t="shared" si="88"/>
        <v/>
      </c>
      <c r="K459" s="18" t="str">
        <f t="shared" si="89"/>
        <v/>
      </c>
      <c r="L459" s="16" t="str">
        <f t="shared" si="90"/>
        <v/>
      </c>
      <c r="M459" s="16" t="str">
        <f t="shared" si="91"/>
        <v/>
      </c>
      <c r="N459" s="16" t="str">
        <f t="shared" si="92"/>
        <v/>
      </c>
      <c r="O459" s="16" t="str">
        <f t="shared" si="93"/>
        <v/>
      </c>
      <c r="P459" s="16" t="str">
        <f t="shared" si="94"/>
        <v/>
      </c>
      <c r="Q459" s="18" t="str">
        <f t="shared" si="95"/>
        <v/>
      </c>
      <c r="R459" s="19" t="str">
        <f>IF(C459="","",IF(ISNA(MATCH(B459,'Registru oferte'!$B$5:$B$504,0)),"Oferta nu există în registru",IF(N(F459)&lt;=0,"Lipsește cantitatea",IF(AND(ISNUMBER(Q459),Q459&lt;MarjaMin),"Marjă sub minim ("&amp;TEXT(Q459*100,"0")&amp;"%)",""))))</f>
        <v/>
      </c>
      <c r="S459" s="1" t="str">
        <f>IF(B459="","",B459&amp;"|"&amp;COUNTIF($B$5:B459,B459))</f>
        <v/>
      </c>
    </row>
    <row r="460" spans="2:19" x14ac:dyDescent="0.2">
      <c r="B460" s="11"/>
      <c r="C460" s="11"/>
      <c r="D460" s="10" t="str">
        <f t="shared" si="84"/>
        <v/>
      </c>
      <c r="E460" s="15" t="str">
        <f t="shared" si="85"/>
        <v/>
      </c>
      <c r="F460" s="11"/>
      <c r="G460" s="16" t="str">
        <f t="shared" si="86"/>
        <v/>
      </c>
      <c r="H460" s="17"/>
      <c r="I460" s="16" t="str">
        <f t="shared" si="87"/>
        <v/>
      </c>
      <c r="J460" s="16" t="str">
        <f t="shared" si="88"/>
        <v/>
      </c>
      <c r="K460" s="18" t="str">
        <f t="shared" si="89"/>
        <v/>
      </c>
      <c r="L460" s="16" t="str">
        <f t="shared" si="90"/>
        <v/>
      </c>
      <c r="M460" s="16" t="str">
        <f t="shared" si="91"/>
        <v/>
      </c>
      <c r="N460" s="16" t="str">
        <f t="shared" si="92"/>
        <v/>
      </c>
      <c r="O460" s="16" t="str">
        <f t="shared" si="93"/>
        <v/>
      </c>
      <c r="P460" s="16" t="str">
        <f t="shared" si="94"/>
        <v/>
      </c>
      <c r="Q460" s="18" t="str">
        <f t="shared" si="95"/>
        <v/>
      </c>
      <c r="R460" s="19" t="str">
        <f>IF(C460="","",IF(ISNA(MATCH(B460,'Registru oferte'!$B$5:$B$504,0)),"Oferta nu există în registru",IF(N(F460)&lt;=0,"Lipsește cantitatea",IF(AND(ISNUMBER(Q460),Q460&lt;MarjaMin),"Marjă sub minim ("&amp;TEXT(Q460*100,"0")&amp;"%)",""))))</f>
        <v/>
      </c>
      <c r="S460" s="1" t="str">
        <f>IF(B460="","",B460&amp;"|"&amp;COUNTIF($B$5:B460,B460))</f>
        <v/>
      </c>
    </row>
    <row r="461" spans="2:19" x14ac:dyDescent="0.2">
      <c r="B461" s="11"/>
      <c r="C461" s="11"/>
      <c r="D461" s="10" t="str">
        <f t="shared" si="84"/>
        <v/>
      </c>
      <c r="E461" s="15" t="str">
        <f t="shared" si="85"/>
        <v/>
      </c>
      <c r="F461" s="11"/>
      <c r="G461" s="16" t="str">
        <f t="shared" si="86"/>
        <v/>
      </c>
      <c r="H461" s="17"/>
      <c r="I461" s="16" t="str">
        <f t="shared" si="87"/>
        <v/>
      </c>
      <c r="J461" s="16" t="str">
        <f t="shared" si="88"/>
        <v/>
      </c>
      <c r="K461" s="18" t="str">
        <f t="shared" si="89"/>
        <v/>
      </c>
      <c r="L461" s="16" t="str">
        <f t="shared" si="90"/>
        <v/>
      </c>
      <c r="M461" s="16" t="str">
        <f t="shared" si="91"/>
        <v/>
      </c>
      <c r="N461" s="16" t="str">
        <f t="shared" si="92"/>
        <v/>
      </c>
      <c r="O461" s="16" t="str">
        <f t="shared" si="93"/>
        <v/>
      </c>
      <c r="P461" s="16" t="str">
        <f t="shared" si="94"/>
        <v/>
      </c>
      <c r="Q461" s="18" t="str">
        <f t="shared" si="95"/>
        <v/>
      </c>
      <c r="R461" s="19" t="str">
        <f>IF(C461="","",IF(ISNA(MATCH(B461,'Registru oferte'!$B$5:$B$504,0)),"Oferta nu există în registru",IF(N(F461)&lt;=0,"Lipsește cantitatea",IF(AND(ISNUMBER(Q461),Q461&lt;MarjaMin),"Marjă sub minim ("&amp;TEXT(Q461*100,"0")&amp;"%)",""))))</f>
        <v/>
      </c>
      <c r="S461" s="1" t="str">
        <f>IF(B461="","",B461&amp;"|"&amp;COUNTIF($B$5:B461,B461))</f>
        <v/>
      </c>
    </row>
    <row r="462" spans="2:19" x14ac:dyDescent="0.2">
      <c r="B462" s="11"/>
      <c r="C462" s="11"/>
      <c r="D462" s="10" t="str">
        <f t="shared" si="84"/>
        <v/>
      </c>
      <c r="E462" s="15" t="str">
        <f t="shared" si="85"/>
        <v/>
      </c>
      <c r="F462" s="11"/>
      <c r="G462" s="16" t="str">
        <f t="shared" si="86"/>
        <v/>
      </c>
      <c r="H462" s="17"/>
      <c r="I462" s="16" t="str">
        <f t="shared" si="87"/>
        <v/>
      </c>
      <c r="J462" s="16" t="str">
        <f t="shared" si="88"/>
        <v/>
      </c>
      <c r="K462" s="18" t="str">
        <f t="shared" si="89"/>
        <v/>
      </c>
      <c r="L462" s="16" t="str">
        <f t="shared" si="90"/>
        <v/>
      </c>
      <c r="M462" s="16" t="str">
        <f t="shared" si="91"/>
        <v/>
      </c>
      <c r="N462" s="16" t="str">
        <f t="shared" si="92"/>
        <v/>
      </c>
      <c r="O462" s="16" t="str">
        <f t="shared" si="93"/>
        <v/>
      </c>
      <c r="P462" s="16" t="str">
        <f t="shared" si="94"/>
        <v/>
      </c>
      <c r="Q462" s="18" t="str">
        <f t="shared" si="95"/>
        <v/>
      </c>
      <c r="R462" s="19" t="str">
        <f>IF(C462="","",IF(ISNA(MATCH(B462,'Registru oferte'!$B$5:$B$504,0)),"Oferta nu există în registru",IF(N(F462)&lt;=0,"Lipsește cantitatea",IF(AND(ISNUMBER(Q462),Q462&lt;MarjaMin),"Marjă sub minim ("&amp;TEXT(Q462*100,"0")&amp;"%)",""))))</f>
        <v/>
      </c>
      <c r="S462" s="1" t="str">
        <f>IF(B462="","",B462&amp;"|"&amp;COUNTIF($B$5:B462,B462))</f>
        <v/>
      </c>
    </row>
    <row r="463" spans="2:19" x14ac:dyDescent="0.2">
      <c r="B463" s="11"/>
      <c r="C463" s="11"/>
      <c r="D463" s="10" t="str">
        <f t="shared" si="84"/>
        <v/>
      </c>
      <c r="E463" s="15" t="str">
        <f t="shared" si="85"/>
        <v/>
      </c>
      <c r="F463" s="11"/>
      <c r="G463" s="16" t="str">
        <f t="shared" si="86"/>
        <v/>
      </c>
      <c r="H463" s="17"/>
      <c r="I463" s="16" t="str">
        <f t="shared" si="87"/>
        <v/>
      </c>
      <c r="J463" s="16" t="str">
        <f t="shared" si="88"/>
        <v/>
      </c>
      <c r="K463" s="18" t="str">
        <f t="shared" si="89"/>
        <v/>
      </c>
      <c r="L463" s="16" t="str">
        <f t="shared" si="90"/>
        <v/>
      </c>
      <c r="M463" s="16" t="str">
        <f t="shared" si="91"/>
        <v/>
      </c>
      <c r="N463" s="16" t="str">
        <f t="shared" si="92"/>
        <v/>
      </c>
      <c r="O463" s="16" t="str">
        <f t="shared" si="93"/>
        <v/>
      </c>
      <c r="P463" s="16" t="str">
        <f t="shared" si="94"/>
        <v/>
      </c>
      <c r="Q463" s="18" t="str">
        <f t="shared" si="95"/>
        <v/>
      </c>
      <c r="R463" s="19" t="str">
        <f>IF(C463="","",IF(ISNA(MATCH(B463,'Registru oferte'!$B$5:$B$504,0)),"Oferta nu există în registru",IF(N(F463)&lt;=0,"Lipsește cantitatea",IF(AND(ISNUMBER(Q463),Q463&lt;MarjaMin),"Marjă sub minim ("&amp;TEXT(Q463*100,"0")&amp;"%)",""))))</f>
        <v/>
      </c>
      <c r="S463" s="1" t="str">
        <f>IF(B463="","",B463&amp;"|"&amp;COUNTIF($B$5:B463,B463))</f>
        <v/>
      </c>
    </row>
    <row r="464" spans="2:19" x14ac:dyDescent="0.2">
      <c r="B464" s="11"/>
      <c r="C464" s="11"/>
      <c r="D464" s="10" t="str">
        <f t="shared" si="84"/>
        <v/>
      </c>
      <c r="E464" s="15" t="str">
        <f t="shared" si="85"/>
        <v/>
      </c>
      <c r="F464" s="11"/>
      <c r="G464" s="16" t="str">
        <f t="shared" si="86"/>
        <v/>
      </c>
      <c r="H464" s="17"/>
      <c r="I464" s="16" t="str">
        <f t="shared" si="87"/>
        <v/>
      </c>
      <c r="J464" s="16" t="str">
        <f t="shared" si="88"/>
        <v/>
      </c>
      <c r="K464" s="18" t="str">
        <f t="shared" si="89"/>
        <v/>
      </c>
      <c r="L464" s="16" t="str">
        <f t="shared" si="90"/>
        <v/>
      </c>
      <c r="M464" s="16" t="str">
        <f t="shared" si="91"/>
        <v/>
      </c>
      <c r="N464" s="16" t="str">
        <f t="shared" si="92"/>
        <v/>
      </c>
      <c r="O464" s="16" t="str">
        <f t="shared" si="93"/>
        <v/>
      </c>
      <c r="P464" s="16" t="str">
        <f t="shared" si="94"/>
        <v/>
      </c>
      <c r="Q464" s="18" t="str">
        <f t="shared" si="95"/>
        <v/>
      </c>
      <c r="R464" s="19" t="str">
        <f>IF(C464="","",IF(ISNA(MATCH(B464,'Registru oferte'!$B$5:$B$504,0)),"Oferta nu există în registru",IF(N(F464)&lt;=0,"Lipsește cantitatea",IF(AND(ISNUMBER(Q464),Q464&lt;MarjaMin),"Marjă sub minim ("&amp;TEXT(Q464*100,"0")&amp;"%)",""))))</f>
        <v/>
      </c>
      <c r="S464" s="1" t="str">
        <f>IF(B464="","",B464&amp;"|"&amp;COUNTIF($B$5:B464,B464))</f>
        <v/>
      </c>
    </row>
    <row r="465" spans="2:19" x14ac:dyDescent="0.2">
      <c r="B465" s="11"/>
      <c r="C465" s="11"/>
      <c r="D465" s="10" t="str">
        <f t="shared" si="84"/>
        <v/>
      </c>
      <c r="E465" s="15" t="str">
        <f t="shared" si="85"/>
        <v/>
      </c>
      <c r="F465" s="11"/>
      <c r="G465" s="16" t="str">
        <f t="shared" si="86"/>
        <v/>
      </c>
      <c r="H465" s="17"/>
      <c r="I465" s="16" t="str">
        <f t="shared" si="87"/>
        <v/>
      </c>
      <c r="J465" s="16" t="str">
        <f t="shared" si="88"/>
        <v/>
      </c>
      <c r="K465" s="18" t="str">
        <f t="shared" si="89"/>
        <v/>
      </c>
      <c r="L465" s="16" t="str">
        <f t="shared" si="90"/>
        <v/>
      </c>
      <c r="M465" s="16" t="str">
        <f t="shared" si="91"/>
        <v/>
      </c>
      <c r="N465" s="16" t="str">
        <f t="shared" si="92"/>
        <v/>
      </c>
      <c r="O465" s="16" t="str">
        <f t="shared" si="93"/>
        <v/>
      </c>
      <c r="P465" s="16" t="str">
        <f t="shared" si="94"/>
        <v/>
      </c>
      <c r="Q465" s="18" t="str">
        <f t="shared" si="95"/>
        <v/>
      </c>
      <c r="R465" s="19" t="str">
        <f>IF(C465="","",IF(ISNA(MATCH(B465,'Registru oferte'!$B$5:$B$504,0)),"Oferta nu există în registru",IF(N(F465)&lt;=0,"Lipsește cantitatea",IF(AND(ISNUMBER(Q465),Q465&lt;MarjaMin),"Marjă sub minim ("&amp;TEXT(Q465*100,"0")&amp;"%)",""))))</f>
        <v/>
      </c>
      <c r="S465" s="1" t="str">
        <f>IF(B465="","",B465&amp;"|"&amp;COUNTIF($B$5:B465,B465))</f>
        <v/>
      </c>
    </row>
    <row r="466" spans="2:19" x14ac:dyDescent="0.2">
      <c r="B466" s="11"/>
      <c r="C466" s="11"/>
      <c r="D466" s="10" t="str">
        <f t="shared" si="84"/>
        <v/>
      </c>
      <c r="E466" s="15" t="str">
        <f t="shared" si="85"/>
        <v/>
      </c>
      <c r="F466" s="11"/>
      <c r="G466" s="16" t="str">
        <f t="shared" si="86"/>
        <v/>
      </c>
      <c r="H466" s="17"/>
      <c r="I466" s="16" t="str">
        <f t="shared" si="87"/>
        <v/>
      </c>
      <c r="J466" s="16" t="str">
        <f t="shared" si="88"/>
        <v/>
      </c>
      <c r="K466" s="18" t="str">
        <f t="shared" si="89"/>
        <v/>
      </c>
      <c r="L466" s="16" t="str">
        <f t="shared" si="90"/>
        <v/>
      </c>
      <c r="M466" s="16" t="str">
        <f t="shared" si="91"/>
        <v/>
      </c>
      <c r="N466" s="16" t="str">
        <f t="shared" si="92"/>
        <v/>
      </c>
      <c r="O466" s="16" t="str">
        <f t="shared" si="93"/>
        <v/>
      </c>
      <c r="P466" s="16" t="str">
        <f t="shared" si="94"/>
        <v/>
      </c>
      <c r="Q466" s="18" t="str">
        <f t="shared" si="95"/>
        <v/>
      </c>
      <c r="R466" s="19" t="str">
        <f>IF(C466="","",IF(ISNA(MATCH(B466,'Registru oferte'!$B$5:$B$504,0)),"Oferta nu există în registru",IF(N(F466)&lt;=0,"Lipsește cantitatea",IF(AND(ISNUMBER(Q466),Q466&lt;MarjaMin),"Marjă sub minim ("&amp;TEXT(Q466*100,"0")&amp;"%)",""))))</f>
        <v/>
      </c>
      <c r="S466" s="1" t="str">
        <f>IF(B466="","",B466&amp;"|"&amp;COUNTIF($B$5:B466,B466))</f>
        <v/>
      </c>
    </row>
    <row r="467" spans="2:19" x14ac:dyDescent="0.2">
      <c r="B467" s="11"/>
      <c r="C467" s="11"/>
      <c r="D467" s="10" t="str">
        <f t="shared" si="84"/>
        <v/>
      </c>
      <c r="E467" s="15" t="str">
        <f t="shared" si="85"/>
        <v/>
      </c>
      <c r="F467" s="11"/>
      <c r="G467" s="16" t="str">
        <f t="shared" si="86"/>
        <v/>
      </c>
      <c r="H467" s="17"/>
      <c r="I467" s="16" t="str">
        <f t="shared" si="87"/>
        <v/>
      </c>
      <c r="J467" s="16" t="str">
        <f t="shared" si="88"/>
        <v/>
      </c>
      <c r="K467" s="18" t="str">
        <f t="shared" si="89"/>
        <v/>
      </c>
      <c r="L467" s="16" t="str">
        <f t="shared" si="90"/>
        <v/>
      </c>
      <c r="M467" s="16" t="str">
        <f t="shared" si="91"/>
        <v/>
      </c>
      <c r="N467" s="16" t="str">
        <f t="shared" si="92"/>
        <v/>
      </c>
      <c r="O467" s="16" t="str">
        <f t="shared" si="93"/>
        <v/>
      </c>
      <c r="P467" s="16" t="str">
        <f t="shared" si="94"/>
        <v/>
      </c>
      <c r="Q467" s="18" t="str">
        <f t="shared" si="95"/>
        <v/>
      </c>
      <c r="R467" s="19" t="str">
        <f>IF(C467="","",IF(ISNA(MATCH(B467,'Registru oferte'!$B$5:$B$504,0)),"Oferta nu există în registru",IF(N(F467)&lt;=0,"Lipsește cantitatea",IF(AND(ISNUMBER(Q467),Q467&lt;MarjaMin),"Marjă sub minim ("&amp;TEXT(Q467*100,"0")&amp;"%)",""))))</f>
        <v/>
      </c>
      <c r="S467" s="1" t="str">
        <f>IF(B467="","",B467&amp;"|"&amp;COUNTIF($B$5:B467,B467))</f>
        <v/>
      </c>
    </row>
    <row r="468" spans="2:19" x14ac:dyDescent="0.2">
      <c r="B468" s="11"/>
      <c r="C468" s="11"/>
      <c r="D468" s="10" t="str">
        <f t="shared" si="84"/>
        <v/>
      </c>
      <c r="E468" s="15" t="str">
        <f t="shared" si="85"/>
        <v/>
      </c>
      <c r="F468" s="11"/>
      <c r="G468" s="16" t="str">
        <f t="shared" si="86"/>
        <v/>
      </c>
      <c r="H468" s="17"/>
      <c r="I468" s="16" t="str">
        <f t="shared" si="87"/>
        <v/>
      </c>
      <c r="J468" s="16" t="str">
        <f t="shared" si="88"/>
        <v/>
      </c>
      <c r="K468" s="18" t="str">
        <f t="shared" si="89"/>
        <v/>
      </c>
      <c r="L468" s="16" t="str">
        <f t="shared" si="90"/>
        <v/>
      </c>
      <c r="M468" s="16" t="str">
        <f t="shared" si="91"/>
        <v/>
      </c>
      <c r="N468" s="16" t="str">
        <f t="shared" si="92"/>
        <v/>
      </c>
      <c r="O468" s="16" t="str">
        <f t="shared" si="93"/>
        <v/>
      </c>
      <c r="P468" s="16" t="str">
        <f t="shared" si="94"/>
        <v/>
      </c>
      <c r="Q468" s="18" t="str">
        <f t="shared" si="95"/>
        <v/>
      </c>
      <c r="R468" s="19" t="str">
        <f>IF(C468="","",IF(ISNA(MATCH(B468,'Registru oferte'!$B$5:$B$504,0)),"Oferta nu există în registru",IF(N(F468)&lt;=0,"Lipsește cantitatea",IF(AND(ISNUMBER(Q468),Q468&lt;MarjaMin),"Marjă sub minim ("&amp;TEXT(Q468*100,"0")&amp;"%)",""))))</f>
        <v/>
      </c>
      <c r="S468" s="1" t="str">
        <f>IF(B468="","",B468&amp;"|"&amp;COUNTIF($B$5:B468,B468))</f>
        <v/>
      </c>
    </row>
    <row r="469" spans="2:19" x14ac:dyDescent="0.2">
      <c r="B469" s="11"/>
      <c r="C469" s="11"/>
      <c r="D469" s="10" t="str">
        <f t="shared" si="84"/>
        <v/>
      </c>
      <c r="E469" s="15" t="str">
        <f t="shared" si="85"/>
        <v/>
      </c>
      <c r="F469" s="11"/>
      <c r="G469" s="16" t="str">
        <f t="shared" si="86"/>
        <v/>
      </c>
      <c r="H469" s="17"/>
      <c r="I469" s="16" t="str">
        <f t="shared" si="87"/>
        <v/>
      </c>
      <c r="J469" s="16" t="str">
        <f t="shared" si="88"/>
        <v/>
      </c>
      <c r="K469" s="18" t="str">
        <f t="shared" si="89"/>
        <v/>
      </c>
      <c r="L469" s="16" t="str">
        <f t="shared" si="90"/>
        <v/>
      </c>
      <c r="M469" s="16" t="str">
        <f t="shared" si="91"/>
        <v/>
      </c>
      <c r="N469" s="16" t="str">
        <f t="shared" si="92"/>
        <v/>
      </c>
      <c r="O469" s="16" t="str">
        <f t="shared" si="93"/>
        <v/>
      </c>
      <c r="P469" s="16" t="str">
        <f t="shared" si="94"/>
        <v/>
      </c>
      <c r="Q469" s="18" t="str">
        <f t="shared" si="95"/>
        <v/>
      </c>
      <c r="R469" s="19" t="str">
        <f>IF(C469="","",IF(ISNA(MATCH(B469,'Registru oferte'!$B$5:$B$504,0)),"Oferta nu există în registru",IF(N(F469)&lt;=0,"Lipsește cantitatea",IF(AND(ISNUMBER(Q469),Q469&lt;MarjaMin),"Marjă sub minim ("&amp;TEXT(Q469*100,"0")&amp;"%)",""))))</f>
        <v/>
      </c>
      <c r="S469" s="1" t="str">
        <f>IF(B469="","",B469&amp;"|"&amp;COUNTIF($B$5:B469,B469))</f>
        <v/>
      </c>
    </row>
    <row r="470" spans="2:19" x14ac:dyDescent="0.2">
      <c r="B470" s="11"/>
      <c r="C470" s="11"/>
      <c r="D470" s="10" t="str">
        <f t="shared" si="84"/>
        <v/>
      </c>
      <c r="E470" s="15" t="str">
        <f t="shared" si="85"/>
        <v/>
      </c>
      <c r="F470" s="11"/>
      <c r="G470" s="16" t="str">
        <f t="shared" si="86"/>
        <v/>
      </c>
      <c r="H470" s="17"/>
      <c r="I470" s="16" t="str">
        <f t="shared" si="87"/>
        <v/>
      </c>
      <c r="J470" s="16" t="str">
        <f t="shared" si="88"/>
        <v/>
      </c>
      <c r="K470" s="18" t="str">
        <f t="shared" si="89"/>
        <v/>
      </c>
      <c r="L470" s="16" t="str">
        <f t="shared" si="90"/>
        <v/>
      </c>
      <c r="M470" s="16" t="str">
        <f t="shared" si="91"/>
        <v/>
      </c>
      <c r="N470" s="16" t="str">
        <f t="shared" si="92"/>
        <v/>
      </c>
      <c r="O470" s="16" t="str">
        <f t="shared" si="93"/>
        <v/>
      </c>
      <c r="P470" s="16" t="str">
        <f t="shared" si="94"/>
        <v/>
      </c>
      <c r="Q470" s="18" t="str">
        <f t="shared" si="95"/>
        <v/>
      </c>
      <c r="R470" s="19" t="str">
        <f>IF(C470="","",IF(ISNA(MATCH(B470,'Registru oferte'!$B$5:$B$504,0)),"Oferta nu există în registru",IF(N(F470)&lt;=0,"Lipsește cantitatea",IF(AND(ISNUMBER(Q470),Q470&lt;MarjaMin),"Marjă sub minim ("&amp;TEXT(Q470*100,"0")&amp;"%)",""))))</f>
        <v/>
      </c>
      <c r="S470" s="1" t="str">
        <f>IF(B470="","",B470&amp;"|"&amp;COUNTIF($B$5:B470,B470))</f>
        <v/>
      </c>
    </row>
    <row r="471" spans="2:19" x14ac:dyDescent="0.2">
      <c r="B471" s="11"/>
      <c r="C471" s="11"/>
      <c r="D471" s="10" t="str">
        <f t="shared" si="84"/>
        <v/>
      </c>
      <c r="E471" s="15" t="str">
        <f t="shared" si="85"/>
        <v/>
      </c>
      <c r="F471" s="11"/>
      <c r="G471" s="16" t="str">
        <f t="shared" si="86"/>
        <v/>
      </c>
      <c r="H471" s="17"/>
      <c r="I471" s="16" t="str">
        <f t="shared" si="87"/>
        <v/>
      </c>
      <c r="J471" s="16" t="str">
        <f t="shared" si="88"/>
        <v/>
      </c>
      <c r="K471" s="18" t="str">
        <f t="shared" si="89"/>
        <v/>
      </c>
      <c r="L471" s="16" t="str">
        <f t="shared" si="90"/>
        <v/>
      </c>
      <c r="M471" s="16" t="str">
        <f t="shared" si="91"/>
        <v/>
      </c>
      <c r="N471" s="16" t="str">
        <f t="shared" si="92"/>
        <v/>
      </c>
      <c r="O471" s="16" t="str">
        <f t="shared" si="93"/>
        <v/>
      </c>
      <c r="P471" s="16" t="str">
        <f t="shared" si="94"/>
        <v/>
      </c>
      <c r="Q471" s="18" t="str">
        <f t="shared" si="95"/>
        <v/>
      </c>
      <c r="R471" s="19" t="str">
        <f>IF(C471="","",IF(ISNA(MATCH(B471,'Registru oferte'!$B$5:$B$504,0)),"Oferta nu există în registru",IF(N(F471)&lt;=0,"Lipsește cantitatea",IF(AND(ISNUMBER(Q471),Q471&lt;MarjaMin),"Marjă sub minim ("&amp;TEXT(Q471*100,"0")&amp;"%)",""))))</f>
        <v/>
      </c>
      <c r="S471" s="1" t="str">
        <f>IF(B471="","",B471&amp;"|"&amp;COUNTIF($B$5:B471,B471))</f>
        <v/>
      </c>
    </row>
    <row r="472" spans="2:19" x14ac:dyDescent="0.2">
      <c r="B472" s="11"/>
      <c r="C472" s="11"/>
      <c r="D472" s="10" t="str">
        <f t="shared" si="84"/>
        <v/>
      </c>
      <c r="E472" s="15" t="str">
        <f t="shared" si="85"/>
        <v/>
      </c>
      <c r="F472" s="11"/>
      <c r="G472" s="16" t="str">
        <f t="shared" si="86"/>
        <v/>
      </c>
      <c r="H472" s="17"/>
      <c r="I472" s="16" t="str">
        <f t="shared" si="87"/>
        <v/>
      </c>
      <c r="J472" s="16" t="str">
        <f t="shared" si="88"/>
        <v/>
      </c>
      <c r="K472" s="18" t="str">
        <f t="shared" si="89"/>
        <v/>
      </c>
      <c r="L472" s="16" t="str">
        <f t="shared" si="90"/>
        <v/>
      </c>
      <c r="M472" s="16" t="str">
        <f t="shared" si="91"/>
        <v/>
      </c>
      <c r="N472" s="16" t="str">
        <f t="shared" si="92"/>
        <v/>
      </c>
      <c r="O472" s="16" t="str">
        <f t="shared" si="93"/>
        <v/>
      </c>
      <c r="P472" s="16" t="str">
        <f t="shared" si="94"/>
        <v/>
      </c>
      <c r="Q472" s="18" t="str">
        <f t="shared" si="95"/>
        <v/>
      </c>
      <c r="R472" s="19" t="str">
        <f>IF(C472="","",IF(ISNA(MATCH(B472,'Registru oferte'!$B$5:$B$504,0)),"Oferta nu există în registru",IF(N(F472)&lt;=0,"Lipsește cantitatea",IF(AND(ISNUMBER(Q472),Q472&lt;MarjaMin),"Marjă sub minim ("&amp;TEXT(Q472*100,"0")&amp;"%)",""))))</f>
        <v/>
      </c>
      <c r="S472" s="1" t="str">
        <f>IF(B472="","",B472&amp;"|"&amp;COUNTIF($B$5:B472,B472))</f>
        <v/>
      </c>
    </row>
    <row r="473" spans="2:19" x14ac:dyDescent="0.2">
      <c r="B473" s="11"/>
      <c r="C473" s="11"/>
      <c r="D473" s="10" t="str">
        <f t="shared" si="84"/>
        <v/>
      </c>
      <c r="E473" s="15" t="str">
        <f t="shared" si="85"/>
        <v/>
      </c>
      <c r="F473" s="11"/>
      <c r="G473" s="16" t="str">
        <f t="shared" si="86"/>
        <v/>
      </c>
      <c r="H473" s="17"/>
      <c r="I473" s="16" t="str">
        <f t="shared" si="87"/>
        <v/>
      </c>
      <c r="J473" s="16" t="str">
        <f t="shared" si="88"/>
        <v/>
      </c>
      <c r="K473" s="18" t="str">
        <f t="shared" si="89"/>
        <v/>
      </c>
      <c r="L473" s="16" t="str">
        <f t="shared" si="90"/>
        <v/>
      </c>
      <c r="M473" s="16" t="str">
        <f t="shared" si="91"/>
        <v/>
      </c>
      <c r="N473" s="16" t="str">
        <f t="shared" si="92"/>
        <v/>
      </c>
      <c r="O473" s="16" t="str">
        <f t="shared" si="93"/>
        <v/>
      </c>
      <c r="P473" s="16" t="str">
        <f t="shared" si="94"/>
        <v/>
      </c>
      <c r="Q473" s="18" t="str">
        <f t="shared" si="95"/>
        <v/>
      </c>
      <c r="R473" s="19" t="str">
        <f>IF(C473="","",IF(ISNA(MATCH(B473,'Registru oferte'!$B$5:$B$504,0)),"Oferta nu există în registru",IF(N(F473)&lt;=0,"Lipsește cantitatea",IF(AND(ISNUMBER(Q473),Q473&lt;MarjaMin),"Marjă sub minim ("&amp;TEXT(Q473*100,"0")&amp;"%)",""))))</f>
        <v/>
      </c>
      <c r="S473" s="1" t="str">
        <f>IF(B473="","",B473&amp;"|"&amp;COUNTIF($B$5:B473,B473))</f>
        <v/>
      </c>
    </row>
    <row r="474" spans="2:19" x14ac:dyDescent="0.2">
      <c r="B474" s="11"/>
      <c r="C474" s="11"/>
      <c r="D474" s="10" t="str">
        <f t="shared" si="84"/>
        <v/>
      </c>
      <c r="E474" s="15" t="str">
        <f t="shared" si="85"/>
        <v/>
      </c>
      <c r="F474" s="11"/>
      <c r="G474" s="16" t="str">
        <f t="shared" si="86"/>
        <v/>
      </c>
      <c r="H474" s="17"/>
      <c r="I474" s="16" t="str">
        <f t="shared" si="87"/>
        <v/>
      </c>
      <c r="J474" s="16" t="str">
        <f t="shared" si="88"/>
        <v/>
      </c>
      <c r="K474" s="18" t="str">
        <f t="shared" si="89"/>
        <v/>
      </c>
      <c r="L474" s="16" t="str">
        <f t="shared" si="90"/>
        <v/>
      </c>
      <c r="M474" s="16" t="str">
        <f t="shared" si="91"/>
        <v/>
      </c>
      <c r="N474" s="16" t="str">
        <f t="shared" si="92"/>
        <v/>
      </c>
      <c r="O474" s="16" t="str">
        <f t="shared" si="93"/>
        <v/>
      </c>
      <c r="P474" s="16" t="str">
        <f t="shared" si="94"/>
        <v/>
      </c>
      <c r="Q474" s="18" t="str">
        <f t="shared" si="95"/>
        <v/>
      </c>
      <c r="R474" s="19" t="str">
        <f>IF(C474="","",IF(ISNA(MATCH(B474,'Registru oferte'!$B$5:$B$504,0)),"Oferta nu există în registru",IF(N(F474)&lt;=0,"Lipsește cantitatea",IF(AND(ISNUMBER(Q474),Q474&lt;MarjaMin),"Marjă sub minim ("&amp;TEXT(Q474*100,"0")&amp;"%)",""))))</f>
        <v/>
      </c>
      <c r="S474" s="1" t="str">
        <f>IF(B474="","",B474&amp;"|"&amp;COUNTIF($B$5:B474,B474))</f>
        <v/>
      </c>
    </row>
    <row r="475" spans="2:19" x14ac:dyDescent="0.2">
      <c r="B475" s="11"/>
      <c r="C475" s="11"/>
      <c r="D475" s="10" t="str">
        <f t="shared" si="84"/>
        <v/>
      </c>
      <c r="E475" s="15" t="str">
        <f t="shared" si="85"/>
        <v/>
      </c>
      <c r="F475" s="11"/>
      <c r="G475" s="16" t="str">
        <f t="shared" si="86"/>
        <v/>
      </c>
      <c r="H475" s="17"/>
      <c r="I475" s="16" t="str">
        <f t="shared" si="87"/>
        <v/>
      </c>
      <c r="J475" s="16" t="str">
        <f t="shared" si="88"/>
        <v/>
      </c>
      <c r="K475" s="18" t="str">
        <f t="shared" si="89"/>
        <v/>
      </c>
      <c r="L475" s="16" t="str">
        <f t="shared" si="90"/>
        <v/>
      </c>
      <c r="M475" s="16" t="str">
        <f t="shared" si="91"/>
        <v/>
      </c>
      <c r="N475" s="16" t="str">
        <f t="shared" si="92"/>
        <v/>
      </c>
      <c r="O475" s="16" t="str">
        <f t="shared" si="93"/>
        <v/>
      </c>
      <c r="P475" s="16" t="str">
        <f t="shared" si="94"/>
        <v/>
      </c>
      <c r="Q475" s="18" t="str">
        <f t="shared" si="95"/>
        <v/>
      </c>
      <c r="R475" s="19" t="str">
        <f>IF(C475="","",IF(ISNA(MATCH(B475,'Registru oferte'!$B$5:$B$504,0)),"Oferta nu există în registru",IF(N(F475)&lt;=0,"Lipsește cantitatea",IF(AND(ISNUMBER(Q475),Q475&lt;MarjaMin),"Marjă sub minim ("&amp;TEXT(Q475*100,"0")&amp;"%)",""))))</f>
        <v/>
      </c>
      <c r="S475" s="1" t="str">
        <f>IF(B475="","",B475&amp;"|"&amp;COUNTIF($B$5:B475,B475))</f>
        <v/>
      </c>
    </row>
    <row r="476" spans="2:19" x14ac:dyDescent="0.2">
      <c r="B476" s="11"/>
      <c r="C476" s="11"/>
      <c r="D476" s="10" t="str">
        <f t="shared" si="84"/>
        <v/>
      </c>
      <c r="E476" s="15" t="str">
        <f t="shared" si="85"/>
        <v/>
      </c>
      <c r="F476" s="11"/>
      <c r="G476" s="16" t="str">
        <f t="shared" si="86"/>
        <v/>
      </c>
      <c r="H476" s="17"/>
      <c r="I476" s="16" t="str">
        <f t="shared" si="87"/>
        <v/>
      </c>
      <c r="J476" s="16" t="str">
        <f t="shared" si="88"/>
        <v/>
      </c>
      <c r="K476" s="18" t="str">
        <f t="shared" si="89"/>
        <v/>
      </c>
      <c r="L476" s="16" t="str">
        <f t="shared" si="90"/>
        <v/>
      </c>
      <c r="M476" s="16" t="str">
        <f t="shared" si="91"/>
        <v/>
      </c>
      <c r="N476" s="16" t="str">
        <f t="shared" si="92"/>
        <v/>
      </c>
      <c r="O476" s="16" t="str">
        <f t="shared" si="93"/>
        <v/>
      </c>
      <c r="P476" s="16" t="str">
        <f t="shared" si="94"/>
        <v/>
      </c>
      <c r="Q476" s="18" t="str">
        <f t="shared" si="95"/>
        <v/>
      </c>
      <c r="R476" s="19" t="str">
        <f>IF(C476="","",IF(ISNA(MATCH(B476,'Registru oferte'!$B$5:$B$504,0)),"Oferta nu există în registru",IF(N(F476)&lt;=0,"Lipsește cantitatea",IF(AND(ISNUMBER(Q476),Q476&lt;MarjaMin),"Marjă sub minim ("&amp;TEXT(Q476*100,"0")&amp;"%)",""))))</f>
        <v/>
      </c>
      <c r="S476" s="1" t="str">
        <f>IF(B476="","",B476&amp;"|"&amp;COUNTIF($B$5:B476,B476))</f>
        <v/>
      </c>
    </row>
    <row r="477" spans="2:19" x14ac:dyDescent="0.2">
      <c r="B477" s="11"/>
      <c r="C477" s="11"/>
      <c r="D477" s="10" t="str">
        <f t="shared" si="84"/>
        <v/>
      </c>
      <c r="E477" s="15" t="str">
        <f t="shared" si="85"/>
        <v/>
      </c>
      <c r="F477" s="11"/>
      <c r="G477" s="16" t="str">
        <f t="shared" si="86"/>
        <v/>
      </c>
      <c r="H477" s="17"/>
      <c r="I477" s="16" t="str">
        <f t="shared" si="87"/>
        <v/>
      </c>
      <c r="J477" s="16" t="str">
        <f t="shared" si="88"/>
        <v/>
      </c>
      <c r="K477" s="18" t="str">
        <f t="shared" si="89"/>
        <v/>
      </c>
      <c r="L477" s="16" t="str">
        <f t="shared" si="90"/>
        <v/>
      </c>
      <c r="M477" s="16" t="str">
        <f t="shared" si="91"/>
        <v/>
      </c>
      <c r="N477" s="16" t="str">
        <f t="shared" si="92"/>
        <v/>
      </c>
      <c r="O477" s="16" t="str">
        <f t="shared" si="93"/>
        <v/>
      </c>
      <c r="P477" s="16" t="str">
        <f t="shared" si="94"/>
        <v/>
      </c>
      <c r="Q477" s="18" t="str">
        <f t="shared" si="95"/>
        <v/>
      </c>
      <c r="R477" s="19" t="str">
        <f>IF(C477="","",IF(ISNA(MATCH(B477,'Registru oferte'!$B$5:$B$504,0)),"Oferta nu există în registru",IF(N(F477)&lt;=0,"Lipsește cantitatea",IF(AND(ISNUMBER(Q477),Q477&lt;MarjaMin),"Marjă sub minim ("&amp;TEXT(Q477*100,"0")&amp;"%)",""))))</f>
        <v/>
      </c>
      <c r="S477" s="1" t="str">
        <f>IF(B477="","",B477&amp;"|"&amp;COUNTIF($B$5:B477,B477))</f>
        <v/>
      </c>
    </row>
    <row r="478" spans="2:19" x14ac:dyDescent="0.2">
      <c r="B478" s="11"/>
      <c r="C478" s="11"/>
      <c r="D478" s="10" t="str">
        <f t="shared" si="84"/>
        <v/>
      </c>
      <c r="E478" s="15" t="str">
        <f t="shared" si="85"/>
        <v/>
      </c>
      <c r="F478" s="11"/>
      <c r="G478" s="16" t="str">
        <f t="shared" si="86"/>
        <v/>
      </c>
      <c r="H478" s="17"/>
      <c r="I478" s="16" t="str">
        <f t="shared" si="87"/>
        <v/>
      </c>
      <c r="J478" s="16" t="str">
        <f t="shared" si="88"/>
        <v/>
      </c>
      <c r="K478" s="18" t="str">
        <f t="shared" si="89"/>
        <v/>
      </c>
      <c r="L478" s="16" t="str">
        <f t="shared" si="90"/>
        <v/>
      </c>
      <c r="M478" s="16" t="str">
        <f t="shared" si="91"/>
        <v/>
      </c>
      <c r="N478" s="16" t="str">
        <f t="shared" si="92"/>
        <v/>
      </c>
      <c r="O478" s="16" t="str">
        <f t="shared" si="93"/>
        <v/>
      </c>
      <c r="P478" s="16" t="str">
        <f t="shared" si="94"/>
        <v/>
      </c>
      <c r="Q478" s="18" t="str">
        <f t="shared" si="95"/>
        <v/>
      </c>
      <c r="R478" s="19" t="str">
        <f>IF(C478="","",IF(ISNA(MATCH(B478,'Registru oferte'!$B$5:$B$504,0)),"Oferta nu există în registru",IF(N(F478)&lt;=0,"Lipsește cantitatea",IF(AND(ISNUMBER(Q478),Q478&lt;MarjaMin),"Marjă sub minim ("&amp;TEXT(Q478*100,"0")&amp;"%)",""))))</f>
        <v/>
      </c>
      <c r="S478" s="1" t="str">
        <f>IF(B478="","",B478&amp;"|"&amp;COUNTIF($B$5:B478,B478))</f>
        <v/>
      </c>
    </row>
    <row r="479" spans="2:19" x14ac:dyDescent="0.2">
      <c r="B479" s="11"/>
      <c r="C479" s="11"/>
      <c r="D479" s="10" t="str">
        <f t="shared" si="84"/>
        <v/>
      </c>
      <c r="E479" s="15" t="str">
        <f t="shared" si="85"/>
        <v/>
      </c>
      <c r="F479" s="11"/>
      <c r="G479" s="16" t="str">
        <f t="shared" si="86"/>
        <v/>
      </c>
      <c r="H479" s="17"/>
      <c r="I479" s="16" t="str">
        <f t="shared" si="87"/>
        <v/>
      </c>
      <c r="J479" s="16" t="str">
        <f t="shared" si="88"/>
        <v/>
      </c>
      <c r="K479" s="18" t="str">
        <f t="shared" si="89"/>
        <v/>
      </c>
      <c r="L479" s="16" t="str">
        <f t="shared" si="90"/>
        <v/>
      </c>
      <c r="M479" s="16" t="str">
        <f t="shared" si="91"/>
        <v/>
      </c>
      <c r="N479" s="16" t="str">
        <f t="shared" si="92"/>
        <v/>
      </c>
      <c r="O479" s="16" t="str">
        <f t="shared" si="93"/>
        <v/>
      </c>
      <c r="P479" s="16" t="str">
        <f t="shared" si="94"/>
        <v/>
      </c>
      <c r="Q479" s="18" t="str">
        <f t="shared" si="95"/>
        <v/>
      </c>
      <c r="R479" s="19" t="str">
        <f>IF(C479="","",IF(ISNA(MATCH(B479,'Registru oferte'!$B$5:$B$504,0)),"Oferta nu există în registru",IF(N(F479)&lt;=0,"Lipsește cantitatea",IF(AND(ISNUMBER(Q479),Q479&lt;MarjaMin),"Marjă sub minim ("&amp;TEXT(Q479*100,"0")&amp;"%)",""))))</f>
        <v/>
      </c>
      <c r="S479" s="1" t="str">
        <f>IF(B479="","",B479&amp;"|"&amp;COUNTIF($B$5:B479,B479))</f>
        <v/>
      </c>
    </row>
    <row r="480" spans="2:19" x14ac:dyDescent="0.2">
      <c r="B480" s="11"/>
      <c r="C480" s="11"/>
      <c r="D480" s="10" t="str">
        <f t="shared" si="84"/>
        <v/>
      </c>
      <c r="E480" s="15" t="str">
        <f t="shared" si="85"/>
        <v/>
      </c>
      <c r="F480" s="11"/>
      <c r="G480" s="16" t="str">
        <f t="shared" si="86"/>
        <v/>
      </c>
      <c r="H480" s="17"/>
      <c r="I480" s="16" t="str">
        <f t="shared" si="87"/>
        <v/>
      </c>
      <c r="J480" s="16" t="str">
        <f t="shared" si="88"/>
        <v/>
      </c>
      <c r="K480" s="18" t="str">
        <f t="shared" si="89"/>
        <v/>
      </c>
      <c r="L480" s="16" t="str">
        <f t="shared" si="90"/>
        <v/>
      </c>
      <c r="M480" s="16" t="str">
        <f t="shared" si="91"/>
        <v/>
      </c>
      <c r="N480" s="16" t="str">
        <f t="shared" si="92"/>
        <v/>
      </c>
      <c r="O480" s="16" t="str">
        <f t="shared" si="93"/>
        <v/>
      </c>
      <c r="P480" s="16" t="str">
        <f t="shared" si="94"/>
        <v/>
      </c>
      <c r="Q480" s="18" t="str">
        <f t="shared" si="95"/>
        <v/>
      </c>
      <c r="R480" s="19" t="str">
        <f>IF(C480="","",IF(ISNA(MATCH(B480,'Registru oferte'!$B$5:$B$504,0)),"Oferta nu există în registru",IF(N(F480)&lt;=0,"Lipsește cantitatea",IF(AND(ISNUMBER(Q480),Q480&lt;MarjaMin),"Marjă sub minim ("&amp;TEXT(Q480*100,"0")&amp;"%)",""))))</f>
        <v/>
      </c>
      <c r="S480" s="1" t="str">
        <f>IF(B480="","",B480&amp;"|"&amp;COUNTIF($B$5:B480,B480))</f>
        <v/>
      </c>
    </row>
    <row r="481" spans="2:19" x14ac:dyDescent="0.2">
      <c r="B481" s="11"/>
      <c r="C481" s="11"/>
      <c r="D481" s="10" t="str">
        <f t="shared" si="84"/>
        <v/>
      </c>
      <c r="E481" s="15" t="str">
        <f t="shared" si="85"/>
        <v/>
      </c>
      <c r="F481" s="11"/>
      <c r="G481" s="16" t="str">
        <f t="shared" si="86"/>
        <v/>
      </c>
      <c r="H481" s="17"/>
      <c r="I481" s="16" t="str">
        <f t="shared" si="87"/>
        <v/>
      </c>
      <c r="J481" s="16" t="str">
        <f t="shared" si="88"/>
        <v/>
      </c>
      <c r="K481" s="18" t="str">
        <f t="shared" si="89"/>
        <v/>
      </c>
      <c r="L481" s="16" t="str">
        <f t="shared" si="90"/>
        <v/>
      </c>
      <c r="M481" s="16" t="str">
        <f t="shared" si="91"/>
        <v/>
      </c>
      <c r="N481" s="16" t="str">
        <f t="shared" si="92"/>
        <v/>
      </c>
      <c r="O481" s="16" t="str">
        <f t="shared" si="93"/>
        <v/>
      </c>
      <c r="P481" s="16" t="str">
        <f t="shared" si="94"/>
        <v/>
      </c>
      <c r="Q481" s="18" t="str">
        <f t="shared" si="95"/>
        <v/>
      </c>
      <c r="R481" s="19" t="str">
        <f>IF(C481="","",IF(ISNA(MATCH(B481,'Registru oferte'!$B$5:$B$504,0)),"Oferta nu există în registru",IF(N(F481)&lt;=0,"Lipsește cantitatea",IF(AND(ISNUMBER(Q481),Q481&lt;MarjaMin),"Marjă sub minim ("&amp;TEXT(Q481*100,"0")&amp;"%)",""))))</f>
        <v/>
      </c>
      <c r="S481" s="1" t="str">
        <f>IF(B481="","",B481&amp;"|"&amp;COUNTIF($B$5:B481,B481))</f>
        <v/>
      </c>
    </row>
    <row r="482" spans="2:19" x14ac:dyDescent="0.2">
      <c r="B482" s="11"/>
      <c r="C482" s="11"/>
      <c r="D482" s="10" t="str">
        <f t="shared" si="84"/>
        <v/>
      </c>
      <c r="E482" s="15" t="str">
        <f t="shared" si="85"/>
        <v/>
      </c>
      <c r="F482" s="11"/>
      <c r="G482" s="16" t="str">
        <f t="shared" si="86"/>
        <v/>
      </c>
      <c r="H482" s="17"/>
      <c r="I482" s="16" t="str">
        <f t="shared" si="87"/>
        <v/>
      </c>
      <c r="J482" s="16" t="str">
        <f t="shared" si="88"/>
        <v/>
      </c>
      <c r="K482" s="18" t="str">
        <f t="shared" si="89"/>
        <v/>
      </c>
      <c r="L482" s="16" t="str">
        <f t="shared" si="90"/>
        <v/>
      </c>
      <c r="M482" s="16" t="str">
        <f t="shared" si="91"/>
        <v/>
      </c>
      <c r="N482" s="16" t="str">
        <f t="shared" si="92"/>
        <v/>
      </c>
      <c r="O482" s="16" t="str">
        <f t="shared" si="93"/>
        <v/>
      </c>
      <c r="P482" s="16" t="str">
        <f t="shared" si="94"/>
        <v/>
      </c>
      <c r="Q482" s="18" t="str">
        <f t="shared" si="95"/>
        <v/>
      </c>
      <c r="R482" s="19" t="str">
        <f>IF(C482="","",IF(ISNA(MATCH(B482,'Registru oferte'!$B$5:$B$504,0)),"Oferta nu există în registru",IF(N(F482)&lt;=0,"Lipsește cantitatea",IF(AND(ISNUMBER(Q482),Q482&lt;MarjaMin),"Marjă sub minim ("&amp;TEXT(Q482*100,"0")&amp;"%)",""))))</f>
        <v/>
      </c>
      <c r="S482" s="1" t="str">
        <f>IF(B482="","",B482&amp;"|"&amp;COUNTIF($B$5:B482,B482))</f>
        <v/>
      </c>
    </row>
    <row r="483" spans="2:19" x14ac:dyDescent="0.2">
      <c r="B483" s="11"/>
      <c r="C483" s="11"/>
      <c r="D483" s="10" t="str">
        <f t="shared" si="84"/>
        <v/>
      </c>
      <c r="E483" s="15" t="str">
        <f t="shared" si="85"/>
        <v/>
      </c>
      <c r="F483" s="11"/>
      <c r="G483" s="16" t="str">
        <f t="shared" si="86"/>
        <v/>
      </c>
      <c r="H483" s="17"/>
      <c r="I483" s="16" t="str">
        <f t="shared" si="87"/>
        <v/>
      </c>
      <c r="J483" s="16" t="str">
        <f t="shared" si="88"/>
        <v/>
      </c>
      <c r="K483" s="18" t="str">
        <f t="shared" si="89"/>
        <v/>
      </c>
      <c r="L483" s="16" t="str">
        <f t="shared" si="90"/>
        <v/>
      </c>
      <c r="M483" s="16" t="str">
        <f t="shared" si="91"/>
        <v/>
      </c>
      <c r="N483" s="16" t="str">
        <f t="shared" si="92"/>
        <v/>
      </c>
      <c r="O483" s="16" t="str">
        <f t="shared" si="93"/>
        <v/>
      </c>
      <c r="P483" s="16" t="str">
        <f t="shared" si="94"/>
        <v/>
      </c>
      <c r="Q483" s="18" t="str">
        <f t="shared" si="95"/>
        <v/>
      </c>
      <c r="R483" s="19" t="str">
        <f>IF(C483="","",IF(ISNA(MATCH(B483,'Registru oferte'!$B$5:$B$504,0)),"Oferta nu există în registru",IF(N(F483)&lt;=0,"Lipsește cantitatea",IF(AND(ISNUMBER(Q483),Q483&lt;MarjaMin),"Marjă sub minim ("&amp;TEXT(Q483*100,"0")&amp;"%)",""))))</f>
        <v/>
      </c>
      <c r="S483" s="1" t="str">
        <f>IF(B483="","",B483&amp;"|"&amp;COUNTIF($B$5:B483,B483))</f>
        <v/>
      </c>
    </row>
    <row r="484" spans="2:19" x14ac:dyDescent="0.2">
      <c r="B484" s="11"/>
      <c r="C484" s="11"/>
      <c r="D484" s="10" t="str">
        <f t="shared" si="84"/>
        <v/>
      </c>
      <c r="E484" s="15" t="str">
        <f t="shared" si="85"/>
        <v/>
      </c>
      <c r="F484" s="11"/>
      <c r="G484" s="16" t="str">
        <f t="shared" si="86"/>
        <v/>
      </c>
      <c r="H484" s="17"/>
      <c r="I484" s="16" t="str">
        <f t="shared" si="87"/>
        <v/>
      </c>
      <c r="J484" s="16" t="str">
        <f t="shared" si="88"/>
        <v/>
      </c>
      <c r="K484" s="18" t="str">
        <f t="shared" si="89"/>
        <v/>
      </c>
      <c r="L484" s="16" t="str">
        <f t="shared" si="90"/>
        <v/>
      </c>
      <c r="M484" s="16" t="str">
        <f t="shared" si="91"/>
        <v/>
      </c>
      <c r="N484" s="16" t="str">
        <f t="shared" si="92"/>
        <v/>
      </c>
      <c r="O484" s="16" t="str">
        <f t="shared" si="93"/>
        <v/>
      </c>
      <c r="P484" s="16" t="str">
        <f t="shared" si="94"/>
        <v/>
      </c>
      <c r="Q484" s="18" t="str">
        <f t="shared" si="95"/>
        <v/>
      </c>
      <c r="R484" s="19" t="str">
        <f>IF(C484="","",IF(ISNA(MATCH(B484,'Registru oferte'!$B$5:$B$504,0)),"Oferta nu există în registru",IF(N(F484)&lt;=0,"Lipsește cantitatea",IF(AND(ISNUMBER(Q484),Q484&lt;MarjaMin),"Marjă sub minim ("&amp;TEXT(Q484*100,"0")&amp;"%)",""))))</f>
        <v/>
      </c>
      <c r="S484" s="1" t="str">
        <f>IF(B484="","",B484&amp;"|"&amp;COUNTIF($B$5:B484,B484))</f>
        <v/>
      </c>
    </row>
    <row r="485" spans="2:19" x14ac:dyDescent="0.2">
      <c r="B485" s="11"/>
      <c r="C485" s="11"/>
      <c r="D485" s="10" t="str">
        <f t="shared" si="84"/>
        <v/>
      </c>
      <c r="E485" s="15" t="str">
        <f t="shared" si="85"/>
        <v/>
      </c>
      <c r="F485" s="11"/>
      <c r="G485" s="16" t="str">
        <f t="shared" si="86"/>
        <v/>
      </c>
      <c r="H485" s="17"/>
      <c r="I485" s="16" t="str">
        <f t="shared" si="87"/>
        <v/>
      </c>
      <c r="J485" s="16" t="str">
        <f t="shared" si="88"/>
        <v/>
      </c>
      <c r="K485" s="18" t="str">
        <f t="shared" si="89"/>
        <v/>
      </c>
      <c r="L485" s="16" t="str">
        <f t="shared" si="90"/>
        <v/>
      </c>
      <c r="M485" s="16" t="str">
        <f t="shared" si="91"/>
        <v/>
      </c>
      <c r="N485" s="16" t="str">
        <f t="shared" si="92"/>
        <v/>
      </c>
      <c r="O485" s="16" t="str">
        <f t="shared" si="93"/>
        <v/>
      </c>
      <c r="P485" s="16" t="str">
        <f t="shared" si="94"/>
        <v/>
      </c>
      <c r="Q485" s="18" t="str">
        <f t="shared" si="95"/>
        <v/>
      </c>
      <c r="R485" s="19" t="str">
        <f>IF(C485="","",IF(ISNA(MATCH(B485,'Registru oferte'!$B$5:$B$504,0)),"Oferta nu există în registru",IF(N(F485)&lt;=0,"Lipsește cantitatea",IF(AND(ISNUMBER(Q485),Q485&lt;MarjaMin),"Marjă sub minim ("&amp;TEXT(Q485*100,"0")&amp;"%)",""))))</f>
        <v/>
      </c>
      <c r="S485" s="1" t="str">
        <f>IF(B485="","",B485&amp;"|"&amp;COUNTIF($B$5:B485,B485))</f>
        <v/>
      </c>
    </row>
    <row r="486" spans="2:19" x14ac:dyDescent="0.2">
      <c r="B486" s="11"/>
      <c r="C486" s="11"/>
      <c r="D486" s="10" t="str">
        <f t="shared" si="84"/>
        <v/>
      </c>
      <c r="E486" s="15" t="str">
        <f t="shared" si="85"/>
        <v/>
      </c>
      <c r="F486" s="11"/>
      <c r="G486" s="16" t="str">
        <f t="shared" si="86"/>
        <v/>
      </c>
      <c r="H486" s="17"/>
      <c r="I486" s="16" t="str">
        <f t="shared" si="87"/>
        <v/>
      </c>
      <c r="J486" s="16" t="str">
        <f t="shared" si="88"/>
        <v/>
      </c>
      <c r="K486" s="18" t="str">
        <f t="shared" si="89"/>
        <v/>
      </c>
      <c r="L486" s="16" t="str">
        <f t="shared" si="90"/>
        <v/>
      </c>
      <c r="M486" s="16" t="str">
        <f t="shared" si="91"/>
        <v/>
      </c>
      <c r="N486" s="16" t="str">
        <f t="shared" si="92"/>
        <v/>
      </c>
      <c r="O486" s="16" t="str">
        <f t="shared" si="93"/>
        <v/>
      </c>
      <c r="P486" s="16" t="str">
        <f t="shared" si="94"/>
        <v/>
      </c>
      <c r="Q486" s="18" t="str">
        <f t="shared" si="95"/>
        <v/>
      </c>
      <c r="R486" s="19" t="str">
        <f>IF(C486="","",IF(ISNA(MATCH(B486,'Registru oferte'!$B$5:$B$504,0)),"Oferta nu există în registru",IF(N(F486)&lt;=0,"Lipsește cantitatea",IF(AND(ISNUMBER(Q486),Q486&lt;MarjaMin),"Marjă sub minim ("&amp;TEXT(Q486*100,"0")&amp;"%)",""))))</f>
        <v/>
      </c>
      <c r="S486" s="1" t="str">
        <f>IF(B486="","",B486&amp;"|"&amp;COUNTIF($B$5:B486,B486))</f>
        <v/>
      </c>
    </row>
    <row r="487" spans="2:19" x14ac:dyDescent="0.2">
      <c r="B487" s="11"/>
      <c r="C487" s="11"/>
      <c r="D487" s="10" t="str">
        <f t="shared" si="84"/>
        <v/>
      </c>
      <c r="E487" s="15" t="str">
        <f t="shared" si="85"/>
        <v/>
      </c>
      <c r="F487" s="11"/>
      <c r="G487" s="16" t="str">
        <f t="shared" si="86"/>
        <v/>
      </c>
      <c r="H487" s="17"/>
      <c r="I487" s="16" t="str">
        <f t="shared" si="87"/>
        <v/>
      </c>
      <c r="J487" s="16" t="str">
        <f t="shared" si="88"/>
        <v/>
      </c>
      <c r="K487" s="18" t="str">
        <f t="shared" si="89"/>
        <v/>
      </c>
      <c r="L487" s="16" t="str">
        <f t="shared" si="90"/>
        <v/>
      </c>
      <c r="M487" s="16" t="str">
        <f t="shared" si="91"/>
        <v/>
      </c>
      <c r="N487" s="16" t="str">
        <f t="shared" si="92"/>
        <v/>
      </c>
      <c r="O487" s="16" t="str">
        <f t="shared" si="93"/>
        <v/>
      </c>
      <c r="P487" s="16" t="str">
        <f t="shared" si="94"/>
        <v/>
      </c>
      <c r="Q487" s="18" t="str">
        <f t="shared" si="95"/>
        <v/>
      </c>
      <c r="R487" s="19" t="str">
        <f>IF(C487="","",IF(ISNA(MATCH(B487,'Registru oferte'!$B$5:$B$504,0)),"Oferta nu există în registru",IF(N(F487)&lt;=0,"Lipsește cantitatea",IF(AND(ISNUMBER(Q487),Q487&lt;MarjaMin),"Marjă sub minim ("&amp;TEXT(Q487*100,"0")&amp;"%)",""))))</f>
        <v/>
      </c>
      <c r="S487" s="1" t="str">
        <f>IF(B487="","",B487&amp;"|"&amp;COUNTIF($B$5:B487,B487))</f>
        <v/>
      </c>
    </row>
    <row r="488" spans="2:19" x14ac:dyDescent="0.2">
      <c r="B488" s="11"/>
      <c r="C488" s="11"/>
      <c r="D488" s="10" t="str">
        <f t="shared" si="84"/>
        <v/>
      </c>
      <c r="E488" s="15" t="str">
        <f t="shared" si="85"/>
        <v/>
      </c>
      <c r="F488" s="11"/>
      <c r="G488" s="16" t="str">
        <f t="shared" si="86"/>
        <v/>
      </c>
      <c r="H488" s="17"/>
      <c r="I488" s="16" t="str">
        <f t="shared" si="87"/>
        <v/>
      </c>
      <c r="J488" s="16" t="str">
        <f t="shared" si="88"/>
        <v/>
      </c>
      <c r="K488" s="18" t="str">
        <f t="shared" si="89"/>
        <v/>
      </c>
      <c r="L488" s="16" t="str">
        <f t="shared" si="90"/>
        <v/>
      </c>
      <c r="M488" s="16" t="str">
        <f t="shared" si="91"/>
        <v/>
      </c>
      <c r="N488" s="16" t="str">
        <f t="shared" si="92"/>
        <v/>
      </c>
      <c r="O488" s="16" t="str">
        <f t="shared" si="93"/>
        <v/>
      </c>
      <c r="P488" s="16" t="str">
        <f t="shared" si="94"/>
        <v/>
      </c>
      <c r="Q488" s="18" t="str">
        <f t="shared" si="95"/>
        <v/>
      </c>
      <c r="R488" s="19" t="str">
        <f>IF(C488="","",IF(ISNA(MATCH(B488,'Registru oferte'!$B$5:$B$504,0)),"Oferta nu există în registru",IF(N(F488)&lt;=0,"Lipsește cantitatea",IF(AND(ISNUMBER(Q488),Q488&lt;MarjaMin),"Marjă sub minim ("&amp;TEXT(Q488*100,"0")&amp;"%)",""))))</f>
        <v/>
      </c>
      <c r="S488" s="1" t="str">
        <f>IF(B488="","",B488&amp;"|"&amp;COUNTIF($B$5:B488,B488))</f>
        <v/>
      </c>
    </row>
    <row r="489" spans="2:19" x14ac:dyDescent="0.2">
      <c r="B489" s="11"/>
      <c r="C489" s="11"/>
      <c r="D489" s="10" t="str">
        <f t="shared" si="84"/>
        <v/>
      </c>
      <c r="E489" s="15" t="str">
        <f t="shared" si="85"/>
        <v/>
      </c>
      <c r="F489" s="11"/>
      <c r="G489" s="16" t="str">
        <f t="shared" si="86"/>
        <v/>
      </c>
      <c r="H489" s="17"/>
      <c r="I489" s="16" t="str">
        <f t="shared" si="87"/>
        <v/>
      </c>
      <c r="J489" s="16" t="str">
        <f t="shared" si="88"/>
        <v/>
      </c>
      <c r="K489" s="18" t="str">
        <f t="shared" si="89"/>
        <v/>
      </c>
      <c r="L489" s="16" t="str">
        <f t="shared" si="90"/>
        <v/>
      </c>
      <c r="M489" s="16" t="str">
        <f t="shared" si="91"/>
        <v/>
      </c>
      <c r="N489" s="16" t="str">
        <f t="shared" si="92"/>
        <v/>
      </c>
      <c r="O489" s="16" t="str">
        <f t="shared" si="93"/>
        <v/>
      </c>
      <c r="P489" s="16" t="str">
        <f t="shared" si="94"/>
        <v/>
      </c>
      <c r="Q489" s="18" t="str">
        <f t="shared" si="95"/>
        <v/>
      </c>
      <c r="R489" s="19" t="str">
        <f>IF(C489="","",IF(ISNA(MATCH(B489,'Registru oferte'!$B$5:$B$504,0)),"Oferta nu există în registru",IF(N(F489)&lt;=0,"Lipsește cantitatea",IF(AND(ISNUMBER(Q489),Q489&lt;MarjaMin),"Marjă sub minim ("&amp;TEXT(Q489*100,"0")&amp;"%)",""))))</f>
        <v/>
      </c>
      <c r="S489" s="1" t="str">
        <f>IF(B489="","",B489&amp;"|"&amp;COUNTIF($B$5:B489,B489))</f>
        <v/>
      </c>
    </row>
    <row r="490" spans="2:19" x14ac:dyDescent="0.2">
      <c r="B490" s="11"/>
      <c r="C490" s="11"/>
      <c r="D490" s="10" t="str">
        <f t="shared" si="84"/>
        <v/>
      </c>
      <c r="E490" s="15" t="str">
        <f t="shared" si="85"/>
        <v/>
      </c>
      <c r="F490" s="11"/>
      <c r="G490" s="16" t="str">
        <f t="shared" si="86"/>
        <v/>
      </c>
      <c r="H490" s="17"/>
      <c r="I490" s="16" t="str">
        <f t="shared" si="87"/>
        <v/>
      </c>
      <c r="J490" s="16" t="str">
        <f t="shared" si="88"/>
        <v/>
      </c>
      <c r="K490" s="18" t="str">
        <f t="shared" si="89"/>
        <v/>
      </c>
      <c r="L490" s="16" t="str">
        <f t="shared" si="90"/>
        <v/>
      </c>
      <c r="M490" s="16" t="str">
        <f t="shared" si="91"/>
        <v/>
      </c>
      <c r="N490" s="16" t="str">
        <f t="shared" si="92"/>
        <v/>
      </c>
      <c r="O490" s="16" t="str">
        <f t="shared" si="93"/>
        <v/>
      </c>
      <c r="P490" s="16" t="str">
        <f t="shared" si="94"/>
        <v/>
      </c>
      <c r="Q490" s="18" t="str">
        <f t="shared" si="95"/>
        <v/>
      </c>
      <c r="R490" s="19" t="str">
        <f>IF(C490="","",IF(ISNA(MATCH(B490,'Registru oferte'!$B$5:$B$504,0)),"Oferta nu există în registru",IF(N(F490)&lt;=0,"Lipsește cantitatea",IF(AND(ISNUMBER(Q490),Q490&lt;MarjaMin),"Marjă sub minim ("&amp;TEXT(Q490*100,"0")&amp;"%)",""))))</f>
        <v/>
      </c>
      <c r="S490" s="1" t="str">
        <f>IF(B490="","",B490&amp;"|"&amp;COUNTIF($B$5:B490,B490))</f>
        <v/>
      </c>
    </row>
    <row r="491" spans="2:19" x14ac:dyDescent="0.2">
      <c r="B491" s="11"/>
      <c r="C491" s="11"/>
      <c r="D491" s="10" t="str">
        <f t="shared" si="84"/>
        <v/>
      </c>
      <c r="E491" s="15" t="str">
        <f t="shared" si="85"/>
        <v/>
      </c>
      <c r="F491" s="11"/>
      <c r="G491" s="16" t="str">
        <f t="shared" si="86"/>
        <v/>
      </c>
      <c r="H491" s="17"/>
      <c r="I491" s="16" t="str">
        <f t="shared" si="87"/>
        <v/>
      </c>
      <c r="J491" s="16" t="str">
        <f t="shared" si="88"/>
        <v/>
      </c>
      <c r="K491" s="18" t="str">
        <f t="shared" si="89"/>
        <v/>
      </c>
      <c r="L491" s="16" t="str">
        <f t="shared" si="90"/>
        <v/>
      </c>
      <c r="M491" s="16" t="str">
        <f t="shared" si="91"/>
        <v/>
      </c>
      <c r="N491" s="16" t="str">
        <f t="shared" si="92"/>
        <v/>
      </c>
      <c r="O491" s="16" t="str">
        <f t="shared" si="93"/>
        <v/>
      </c>
      <c r="P491" s="16" t="str">
        <f t="shared" si="94"/>
        <v/>
      </c>
      <c r="Q491" s="18" t="str">
        <f t="shared" si="95"/>
        <v/>
      </c>
      <c r="R491" s="19" t="str">
        <f>IF(C491="","",IF(ISNA(MATCH(B491,'Registru oferte'!$B$5:$B$504,0)),"Oferta nu există în registru",IF(N(F491)&lt;=0,"Lipsește cantitatea",IF(AND(ISNUMBER(Q491),Q491&lt;MarjaMin),"Marjă sub minim ("&amp;TEXT(Q491*100,"0")&amp;"%)",""))))</f>
        <v/>
      </c>
      <c r="S491" s="1" t="str">
        <f>IF(B491="","",B491&amp;"|"&amp;COUNTIF($B$5:B491,B491))</f>
        <v/>
      </c>
    </row>
    <row r="492" spans="2:19" x14ac:dyDescent="0.2">
      <c r="B492" s="11"/>
      <c r="C492" s="11"/>
      <c r="D492" s="10" t="str">
        <f t="shared" si="84"/>
        <v/>
      </c>
      <c r="E492" s="15" t="str">
        <f t="shared" si="85"/>
        <v/>
      </c>
      <c r="F492" s="11"/>
      <c r="G492" s="16" t="str">
        <f t="shared" si="86"/>
        <v/>
      </c>
      <c r="H492" s="17"/>
      <c r="I492" s="16" t="str">
        <f t="shared" si="87"/>
        <v/>
      </c>
      <c r="J492" s="16" t="str">
        <f t="shared" si="88"/>
        <v/>
      </c>
      <c r="K492" s="18" t="str">
        <f t="shared" si="89"/>
        <v/>
      </c>
      <c r="L492" s="16" t="str">
        <f t="shared" si="90"/>
        <v/>
      </c>
      <c r="M492" s="16" t="str">
        <f t="shared" si="91"/>
        <v/>
      </c>
      <c r="N492" s="16" t="str">
        <f t="shared" si="92"/>
        <v/>
      </c>
      <c r="O492" s="16" t="str">
        <f t="shared" si="93"/>
        <v/>
      </c>
      <c r="P492" s="16" t="str">
        <f t="shared" si="94"/>
        <v/>
      </c>
      <c r="Q492" s="18" t="str">
        <f t="shared" si="95"/>
        <v/>
      </c>
      <c r="R492" s="19" t="str">
        <f>IF(C492="","",IF(ISNA(MATCH(B492,'Registru oferte'!$B$5:$B$504,0)),"Oferta nu există în registru",IF(N(F492)&lt;=0,"Lipsește cantitatea",IF(AND(ISNUMBER(Q492),Q492&lt;MarjaMin),"Marjă sub minim ("&amp;TEXT(Q492*100,"0")&amp;"%)",""))))</f>
        <v/>
      </c>
      <c r="S492" s="1" t="str">
        <f>IF(B492="","",B492&amp;"|"&amp;COUNTIF($B$5:B492,B492))</f>
        <v/>
      </c>
    </row>
    <row r="493" spans="2:19" x14ac:dyDescent="0.2">
      <c r="B493" s="11"/>
      <c r="C493" s="11"/>
      <c r="D493" s="10" t="str">
        <f t="shared" si="84"/>
        <v/>
      </c>
      <c r="E493" s="15" t="str">
        <f t="shared" si="85"/>
        <v/>
      </c>
      <c r="F493" s="11"/>
      <c r="G493" s="16" t="str">
        <f t="shared" si="86"/>
        <v/>
      </c>
      <c r="H493" s="17"/>
      <c r="I493" s="16" t="str">
        <f t="shared" si="87"/>
        <v/>
      </c>
      <c r="J493" s="16" t="str">
        <f t="shared" si="88"/>
        <v/>
      </c>
      <c r="K493" s="18" t="str">
        <f t="shared" si="89"/>
        <v/>
      </c>
      <c r="L493" s="16" t="str">
        <f t="shared" si="90"/>
        <v/>
      </c>
      <c r="M493" s="16" t="str">
        <f t="shared" si="91"/>
        <v/>
      </c>
      <c r="N493" s="16" t="str">
        <f t="shared" si="92"/>
        <v/>
      </c>
      <c r="O493" s="16" t="str">
        <f t="shared" si="93"/>
        <v/>
      </c>
      <c r="P493" s="16" t="str">
        <f t="shared" si="94"/>
        <v/>
      </c>
      <c r="Q493" s="18" t="str">
        <f t="shared" si="95"/>
        <v/>
      </c>
      <c r="R493" s="19" t="str">
        <f>IF(C493="","",IF(ISNA(MATCH(B493,'Registru oferte'!$B$5:$B$504,0)),"Oferta nu există în registru",IF(N(F493)&lt;=0,"Lipsește cantitatea",IF(AND(ISNUMBER(Q493),Q493&lt;MarjaMin),"Marjă sub minim ("&amp;TEXT(Q493*100,"0")&amp;"%)",""))))</f>
        <v/>
      </c>
      <c r="S493" s="1" t="str">
        <f>IF(B493="","",B493&amp;"|"&amp;COUNTIF($B$5:B493,B493))</f>
        <v/>
      </c>
    </row>
    <row r="494" spans="2:19" x14ac:dyDescent="0.2">
      <c r="B494" s="11"/>
      <c r="C494" s="11"/>
      <c r="D494" s="10" t="str">
        <f t="shared" si="84"/>
        <v/>
      </c>
      <c r="E494" s="15" t="str">
        <f t="shared" si="85"/>
        <v/>
      </c>
      <c r="F494" s="11"/>
      <c r="G494" s="16" t="str">
        <f t="shared" si="86"/>
        <v/>
      </c>
      <c r="H494" s="17"/>
      <c r="I494" s="16" t="str">
        <f t="shared" si="87"/>
        <v/>
      </c>
      <c r="J494" s="16" t="str">
        <f t="shared" si="88"/>
        <v/>
      </c>
      <c r="K494" s="18" t="str">
        <f t="shared" si="89"/>
        <v/>
      </c>
      <c r="L494" s="16" t="str">
        <f t="shared" si="90"/>
        <v/>
      </c>
      <c r="M494" s="16" t="str">
        <f t="shared" si="91"/>
        <v/>
      </c>
      <c r="N494" s="16" t="str">
        <f t="shared" si="92"/>
        <v/>
      </c>
      <c r="O494" s="16" t="str">
        <f t="shared" si="93"/>
        <v/>
      </c>
      <c r="P494" s="16" t="str">
        <f t="shared" si="94"/>
        <v/>
      </c>
      <c r="Q494" s="18" t="str">
        <f t="shared" si="95"/>
        <v/>
      </c>
      <c r="R494" s="19" t="str">
        <f>IF(C494="","",IF(ISNA(MATCH(B494,'Registru oferte'!$B$5:$B$504,0)),"Oferta nu există în registru",IF(N(F494)&lt;=0,"Lipsește cantitatea",IF(AND(ISNUMBER(Q494),Q494&lt;MarjaMin),"Marjă sub minim ("&amp;TEXT(Q494*100,"0")&amp;"%)",""))))</f>
        <v/>
      </c>
      <c r="S494" s="1" t="str">
        <f>IF(B494="","",B494&amp;"|"&amp;COUNTIF($B$5:B494,B494))</f>
        <v/>
      </c>
    </row>
    <row r="495" spans="2:19" x14ac:dyDescent="0.2">
      <c r="B495" s="11"/>
      <c r="C495" s="11"/>
      <c r="D495" s="10" t="str">
        <f t="shared" si="84"/>
        <v/>
      </c>
      <c r="E495" s="15" t="str">
        <f t="shared" si="85"/>
        <v/>
      </c>
      <c r="F495" s="11"/>
      <c r="G495" s="16" t="str">
        <f t="shared" si="86"/>
        <v/>
      </c>
      <c r="H495" s="17"/>
      <c r="I495" s="16" t="str">
        <f t="shared" si="87"/>
        <v/>
      </c>
      <c r="J495" s="16" t="str">
        <f t="shared" si="88"/>
        <v/>
      </c>
      <c r="K495" s="18" t="str">
        <f t="shared" si="89"/>
        <v/>
      </c>
      <c r="L495" s="16" t="str">
        <f t="shared" si="90"/>
        <v/>
      </c>
      <c r="M495" s="16" t="str">
        <f t="shared" si="91"/>
        <v/>
      </c>
      <c r="N495" s="16" t="str">
        <f t="shared" si="92"/>
        <v/>
      </c>
      <c r="O495" s="16" t="str">
        <f t="shared" si="93"/>
        <v/>
      </c>
      <c r="P495" s="16" t="str">
        <f t="shared" si="94"/>
        <v/>
      </c>
      <c r="Q495" s="18" t="str">
        <f t="shared" si="95"/>
        <v/>
      </c>
      <c r="R495" s="19" t="str">
        <f>IF(C495="","",IF(ISNA(MATCH(B495,'Registru oferte'!$B$5:$B$504,0)),"Oferta nu există în registru",IF(N(F495)&lt;=0,"Lipsește cantitatea",IF(AND(ISNUMBER(Q495),Q495&lt;MarjaMin),"Marjă sub minim ("&amp;TEXT(Q495*100,"0")&amp;"%)",""))))</f>
        <v/>
      </c>
      <c r="S495" s="1" t="str">
        <f>IF(B495="","",B495&amp;"|"&amp;COUNTIF($B$5:B495,B495))</f>
        <v/>
      </c>
    </row>
    <row r="496" spans="2:19" x14ac:dyDescent="0.2">
      <c r="B496" s="11"/>
      <c r="C496" s="11"/>
      <c r="D496" s="10" t="str">
        <f t="shared" si="84"/>
        <v/>
      </c>
      <c r="E496" s="15" t="str">
        <f t="shared" si="85"/>
        <v/>
      </c>
      <c r="F496" s="11"/>
      <c r="G496" s="16" t="str">
        <f t="shared" si="86"/>
        <v/>
      </c>
      <c r="H496" s="17"/>
      <c r="I496" s="16" t="str">
        <f t="shared" si="87"/>
        <v/>
      </c>
      <c r="J496" s="16" t="str">
        <f t="shared" si="88"/>
        <v/>
      </c>
      <c r="K496" s="18" t="str">
        <f t="shared" si="89"/>
        <v/>
      </c>
      <c r="L496" s="16" t="str">
        <f t="shared" si="90"/>
        <v/>
      </c>
      <c r="M496" s="16" t="str">
        <f t="shared" si="91"/>
        <v/>
      </c>
      <c r="N496" s="16" t="str">
        <f t="shared" si="92"/>
        <v/>
      </c>
      <c r="O496" s="16" t="str">
        <f t="shared" si="93"/>
        <v/>
      </c>
      <c r="P496" s="16" t="str">
        <f t="shared" si="94"/>
        <v/>
      </c>
      <c r="Q496" s="18" t="str">
        <f t="shared" si="95"/>
        <v/>
      </c>
      <c r="R496" s="19" t="str">
        <f>IF(C496="","",IF(ISNA(MATCH(B496,'Registru oferte'!$B$5:$B$504,0)),"Oferta nu există în registru",IF(N(F496)&lt;=0,"Lipsește cantitatea",IF(AND(ISNUMBER(Q496),Q496&lt;MarjaMin),"Marjă sub minim ("&amp;TEXT(Q496*100,"0")&amp;"%)",""))))</f>
        <v/>
      </c>
      <c r="S496" s="1" t="str">
        <f>IF(B496="","",B496&amp;"|"&amp;COUNTIF($B$5:B496,B496))</f>
        <v/>
      </c>
    </row>
    <row r="497" spans="2:19" x14ac:dyDescent="0.2">
      <c r="B497" s="11"/>
      <c r="C497" s="11"/>
      <c r="D497" s="10" t="str">
        <f t="shared" si="84"/>
        <v/>
      </c>
      <c r="E497" s="15" t="str">
        <f t="shared" si="85"/>
        <v/>
      </c>
      <c r="F497" s="11"/>
      <c r="G497" s="16" t="str">
        <f t="shared" si="86"/>
        <v/>
      </c>
      <c r="H497" s="17"/>
      <c r="I497" s="16" t="str">
        <f t="shared" si="87"/>
        <v/>
      </c>
      <c r="J497" s="16" t="str">
        <f t="shared" si="88"/>
        <v/>
      </c>
      <c r="K497" s="18" t="str">
        <f t="shared" si="89"/>
        <v/>
      </c>
      <c r="L497" s="16" t="str">
        <f t="shared" si="90"/>
        <v/>
      </c>
      <c r="M497" s="16" t="str">
        <f t="shared" si="91"/>
        <v/>
      </c>
      <c r="N497" s="16" t="str">
        <f t="shared" si="92"/>
        <v/>
      </c>
      <c r="O497" s="16" t="str">
        <f t="shared" si="93"/>
        <v/>
      </c>
      <c r="P497" s="16" t="str">
        <f t="shared" si="94"/>
        <v/>
      </c>
      <c r="Q497" s="18" t="str">
        <f t="shared" si="95"/>
        <v/>
      </c>
      <c r="R497" s="19" t="str">
        <f>IF(C497="","",IF(ISNA(MATCH(B497,'Registru oferte'!$B$5:$B$504,0)),"Oferta nu există în registru",IF(N(F497)&lt;=0,"Lipsește cantitatea",IF(AND(ISNUMBER(Q497),Q497&lt;MarjaMin),"Marjă sub minim ("&amp;TEXT(Q497*100,"0")&amp;"%)",""))))</f>
        <v/>
      </c>
      <c r="S497" s="1" t="str">
        <f>IF(B497="","",B497&amp;"|"&amp;COUNTIF($B$5:B497,B497))</f>
        <v/>
      </c>
    </row>
    <row r="498" spans="2:19" x14ac:dyDescent="0.2">
      <c r="B498" s="11"/>
      <c r="C498" s="11"/>
      <c r="D498" s="10" t="str">
        <f t="shared" si="84"/>
        <v/>
      </c>
      <c r="E498" s="15" t="str">
        <f t="shared" si="85"/>
        <v/>
      </c>
      <c r="F498" s="11"/>
      <c r="G498" s="16" t="str">
        <f t="shared" si="86"/>
        <v/>
      </c>
      <c r="H498" s="17"/>
      <c r="I498" s="16" t="str">
        <f t="shared" si="87"/>
        <v/>
      </c>
      <c r="J498" s="16" t="str">
        <f t="shared" si="88"/>
        <v/>
      </c>
      <c r="K498" s="18" t="str">
        <f t="shared" si="89"/>
        <v/>
      </c>
      <c r="L498" s="16" t="str">
        <f t="shared" si="90"/>
        <v/>
      </c>
      <c r="M498" s="16" t="str">
        <f t="shared" si="91"/>
        <v/>
      </c>
      <c r="N498" s="16" t="str">
        <f t="shared" si="92"/>
        <v/>
      </c>
      <c r="O498" s="16" t="str">
        <f t="shared" si="93"/>
        <v/>
      </c>
      <c r="P498" s="16" t="str">
        <f t="shared" si="94"/>
        <v/>
      </c>
      <c r="Q498" s="18" t="str">
        <f t="shared" si="95"/>
        <v/>
      </c>
      <c r="R498" s="19" t="str">
        <f>IF(C498="","",IF(ISNA(MATCH(B498,'Registru oferte'!$B$5:$B$504,0)),"Oferta nu există în registru",IF(N(F498)&lt;=0,"Lipsește cantitatea",IF(AND(ISNUMBER(Q498),Q498&lt;MarjaMin),"Marjă sub minim ("&amp;TEXT(Q498*100,"0")&amp;"%)",""))))</f>
        <v/>
      </c>
      <c r="S498" s="1" t="str">
        <f>IF(B498="","",B498&amp;"|"&amp;COUNTIF($B$5:B498,B498))</f>
        <v/>
      </c>
    </row>
    <row r="499" spans="2:19" x14ac:dyDescent="0.2">
      <c r="B499" s="11"/>
      <c r="C499" s="11"/>
      <c r="D499" s="10" t="str">
        <f t="shared" si="84"/>
        <v/>
      </c>
      <c r="E499" s="15" t="str">
        <f t="shared" si="85"/>
        <v/>
      </c>
      <c r="F499" s="11"/>
      <c r="G499" s="16" t="str">
        <f t="shared" si="86"/>
        <v/>
      </c>
      <c r="H499" s="17"/>
      <c r="I499" s="16" t="str">
        <f t="shared" si="87"/>
        <v/>
      </c>
      <c r="J499" s="16" t="str">
        <f t="shared" si="88"/>
        <v/>
      </c>
      <c r="K499" s="18" t="str">
        <f t="shared" si="89"/>
        <v/>
      </c>
      <c r="L499" s="16" t="str">
        <f t="shared" si="90"/>
        <v/>
      </c>
      <c r="M499" s="16" t="str">
        <f t="shared" si="91"/>
        <v/>
      </c>
      <c r="N499" s="16" t="str">
        <f t="shared" si="92"/>
        <v/>
      </c>
      <c r="O499" s="16" t="str">
        <f t="shared" si="93"/>
        <v/>
      </c>
      <c r="P499" s="16" t="str">
        <f t="shared" si="94"/>
        <v/>
      </c>
      <c r="Q499" s="18" t="str">
        <f t="shared" si="95"/>
        <v/>
      </c>
      <c r="R499" s="19" t="str">
        <f>IF(C499="","",IF(ISNA(MATCH(B499,'Registru oferte'!$B$5:$B$504,0)),"Oferta nu există în registru",IF(N(F499)&lt;=0,"Lipsește cantitatea",IF(AND(ISNUMBER(Q499),Q499&lt;MarjaMin),"Marjă sub minim ("&amp;TEXT(Q499*100,"0")&amp;"%)",""))))</f>
        <v/>
      </c>
      <c r="S499" s="1" t="str">
        <f>IF(B499="","",B499&amp;"|"&amp;COUNTIF($B$5:B499,B499))</f>
        <v/>
      </c>
    </row>
    <row r="500" spans="2:19" x14ac:dyDescent="0.2">
      <c r="B500" s="11"/>
      <c r="C500" s="11"/>
      <c r="D500" s="10" t="str">
        <f t="shared" si="84"/>
        <v/>
      </c>
      <c r="E500" s="15" t="str">
        <f t="shared" si="85"/>
        <v/>
      </c>
      <c r="F500" s="11"/>
      <c r="G500" s="16" t="str">
        <f t="shared" si="86"/>
        <v/>
      </c>
      <c r="H500" s="17"/>
      <c r="I500" s="16" t="str">
        <f t="shared" si="87"/>
        <v/>
      </c>
      <c r="J500" s="16" t="str">
        <f t="shared" si="88"/>
        <v/>
      </c>
      <c r="K500" s="18" t="str">
        <f t="shared" si="89"/>
        <v/>
      </c>
      <c r="L500" s="16" t="str">
        <f t="shared" si="90"/>
        <v/>
      </c>
      <c r="M500" s="16" t="str">
        <f t="shared" si="91"/>
        <v/>
      </c>
      <c r="N500" s="16" t="str">
        <f t="shared" si="92"/>
        <v/>
      </c>
      <c r="O500" s="16" t="str">
        <f t="shared" si="93"/>
        <v/>
      </c>
      <c r="P500" s="16" t="str">
        <f t="shared" si="94"/>
        <v/>
      </c>
      <c r="Q500" s="18" t="str">
        <f t="shared" si="95"/>
        <v/>
      </c>
      <c r="R500" s="19" t="str">
        <f>IF(C500="","",IF(ISNA(MATCH(B500,'Registru oferte'!$B$5:$B$504,0)),"Oferta nu există în registru",IF(N(F500)&lt;=0,"Lipsește cantitatea",IF(AND(ISNUMBER(Q500),Q500&lt;MarjaMin),"Marjă sub minim ("&amp;TEXT(Q500*100,"0")&amp;"%)",""))))</f>
        <v/>
      </c>
      <c r="S500" s="1" t="str">
        <f>IF(B500="","",B500&amp;"|"&amp;COUNTIF($B$5:B500,B500))</f>
        <v/>
      </c>
    </row>
    <row r="501" spans="2:19" x14ac:dyDescent="0.2">
      <c r="B501" s="11"/>
      <c r="C501" s="11"/>
      <c r="D501" s="10" t="str">
        <f t="shared" si="84"/>
        <v/>
      </c>
      <c r="E501" s="15" t="str">
        <f t="shared" si="85"/>
        <v/>
      </c>
      <c r="F501" s="11"/>
      <c r="G501" s="16" t="str">
        <f t="shared" si="86"/>
        <v/>
      </c>
      <c r="H501" s="17"/>
      <c r="I501" s="16" t="str">
        <f t="shared" si="87"/>
        <v/>
      </c>
      <c r="J501" s="16" t="str">
        <f t="shared" si="88"/>
        <v/>
      </c>
      <c r="K501" s="18" t="str">
        <f t="shared" si="89"/>
        <v/>
      </c>
      <c r="L501" s="16" t="str">
        <f t="shared" si="90"/>
        <v/>
      </c>
      <c r="M501" s="16" t="str">
        <f t="shared" si="91"/>
        <v/>
      </c>
      <c r="N501" s="16" t="str">
        <f t="shared" si="92"/>
        <v/>
      </c>
      <c r="O501" s="16" t="str">
        <f t="shared" si="93"/>
        <v/>
      </c>
      <c r="P501" s="16" t="str">
        <f t="shared" si="94"/>
        <v/>
      </c>
      <c r="Q501" s="18" t="str">
        <f t="shared" si="95"/>
        <v/>
      </c>
      <c r="R501" s="19" t="str">
        <f>IF(C501="","",IF(ISNA(MATCH(B501,'Registru oferte'!$B$5:$B$504,0)),"Oferta nu există în registru",IF(N(F501)&lt;=0,"Lipsește cantitatea",IF(AND(ISNUMBER(Q501),Q501&lt;MarjaMin),"Marjă sub minim ("&amp;TEXT(Q501*100,"0")&amp;"%)",""))))</f>
        <v/>
      </c>
      <c r="S501" s="1" t="str">
        <f>IF(B501="","",B501&amp;"|"&amp;COUNTIF($B$5:B501,B501))</f>
        <v/>
      </c>
    </row>
    <row r="502" spans="2:19" x14ac:dyDescent="0.2">
      <c r="B502" s="11"/>
      <c r="C502" s="11"/>
      <c r="D502" s="10" t="str">
        <f t="shared" si="84"/>
        <v/>
      </c>
      <c r="E502" s="15" t="str">
        <f t="shared" si="85"/>
        <v/>
      </c>
      <c r="F502" s="11"/>
      <c r="G502" s="16" t="str">
        <f t="shared" si="86"/>
        <v/>
      </c>
      <c r="H502" s="17"/>
      <c r="I502" s="16" t="str">
        <f t="shared" si="87"/>
        <v/>
      </c>
      <c r="J502" s="16" t="str">
        <f t="shared" si="88"/>
        <v/>
      </c>
      <c r="K502" s="18" t="str">
        <f t="shared" si="89"/>
        <v/>
      </c>
      <c r="L502" s="16" t="str">
        <f t="shared" si="90"/>
        <v/>
      </c>
      <c r="M502" s="16" t="str">
        <f t="shared" si="91"/>
        <v/>
      </c>
      <c r="N502" s="16" t="str">
        <f t="shared" si="92"/>
        <v/>
      </c>
      <c r="O502" s="16" t="str">
        <f t="shared" si="93"/>
        <v/>
      </c>
      <c r="P502" s="16" t="str">
        <f t="shared" si="94"/>
        <v/>
      </c>
      <c r="Q502" s="18" t="str">
        <f t="shared" si="95"/>
        <v/>
      </c>
      <c r="R502" s="19" t="str">
        <f>IF(C502="","",IF(ISNA(MATCH(B502,'Registru oferte'!$B$5:$B$504,0)),"Oferta nu există în registru",IF(N(F502)&lt;=0,"Lipsește cantitatea",IF(AND(ISNUMBER(Q502),Q502&lt;MarjaMin),"Marjă sub minim ("&amp;TEXT(Q502*100,"0")&amp;"%)",""))))</f>
        <v/>
      </c>
      <c r="S502" s="1" t="str">
        <f>IF(B502="","",B502&amp;"|"&amp;COUNTIF($B$5:B502,B502))</f>
        <v/>
      </c>
    </row>
    <row r="503" spans="2:19" x14ac:dyDescent="0.2">
      <c r="B503" s="11"/>
      <c r="C503" s="11"/>
      <c r="D503" s="10" t="str">
        <f t="shared" si="84"/>
        <v/>
      </c>
      <c r="E503" s="15" t="str">
        <f t="shared" si="85"/>
        <v/>
      </c>
      <c r="F503" s="11"/>
      <c r="G503" s="16" t="str">
        <f t="shared" si="86"/>
        <v/>
      </c>
      <c r="H503" s="17"/>
      <c r="I503" s="16" t="str">
        <f t="shared" si="87"/>
        <v/>
      </c>
      <c r="J503" s="16" t="str">
        <f t="shared" si="88"/>
        <v/>
      </c>
      <c r="K503" s="18" t="str">
        <f t="shared" si="89"/>
        <v/>
      </c>
      <c r="L503" s="16" t="str">
        <f t="shared" si="90"/>
        <v/>
      </c>
      <c r="M503" s="16" t="str">
        <f t="shared" si="91"/>
        <v/>
      </c>
      <c r="N503" s="16" t="str">
        <f t="shared" si="92"/>
        <v/>
      </c>
      <c r="O503" s="16" t="str">
        <f t="shared" si="93"/>
        <v/>
      </c>
      <c r="P503" s="16" t="str">
        <f t="shared" si="94"/>
        <v/>
      </c>
      <c r="Q503" s="18" t="str">
        <f t="shared" si="95"/>
        <v/>
      </c>
      <c r="R503" s="19" t="str">
        <f>IF(C503="","",IF(ISNA(MATCH(B503,'Registru oferte'!$B$5:$B$504,0)),"Oferta nu există în registru",IF(N(F503)&lt;=0,"Lipsește cantitatea",IF(AND(ISNUMBER(Q503),Q503&lt;MarjaMin),"Marjă sub minim ("&amp;TEXT(Q503*100,"0")&amp;"%)",""))))</f>
        <v/>
      </c>
      <c r="S503" s="1" t="str">
        <f>IF(B503="","",B503&amp;"|"&amp;COUNTIF($B$5:B503,B503))</f>
        <v/>
      </c>
    </row>
    <row r="504" spans="2:19" x14ac:dyDescent="0.2">
      <c r="B504" s="11"/>
      <c r="C504" s="11"/>
      <c r="D504" s="10" t="str">
        <f t="shared" si="84"/>
        <v/>
      </c>
      <c r="E504" s="15" t="str">
        <f t="shared" si="85"/>
        <v/>
      </c>
      <c r="F504" s="11"/>
      <c r="G504" s="16" t="str">
        <f t="shared" si="86"/>
        <v/>
      </c>
      <c r="H504" s="17"/>
      <c r="I504" s="16" t="str">
        <f t="shared" si="87"/>
        <v/>
      </c>
      <c r="J504" s="16" t="str">
        <f t="shared" si="88"/>
        <v/>
      </c>
      <c r="K504" s="18" t="str">
        <f t="shared" si="89"/>
        <v/>
      </c>
      <c r="L504" s="16" t="str">
        <f t="shared" si="90"/>
        <v/>
      </c>
      <c r="M504" s="16" t="str">
        <f t="shared" si="91"/>
        <v/>
      </c>
      <c r="N504" s="16" t="str">
        <f t="shared" si="92"/>
        <v/>
      </c>
      <c r="O504" s="16" t="str">
        <f t="shared" si="93"/>
        <v/>
      </c>
      <c r="P504" s="16" t="str">
        <f t="shared" si="94"/>
        <v/>
      </c>
      <c r="Q504" s="18" t="str">
        <f t="shared" si="95"/>
        <v/>
      </c>
      <c r="R504" s="19" t="str">
        <f>IF(C504="","",IF(ISNA(MATCH(B504,'Registru oferte'!$B$5:$B$504,0)),"Oferta nu există în registru",IF(N(F504)&lt;=0,"Lipsește cantitatea",IF(AND(ISNUMBER(Q504),Q504&lt;MarjaMin),"Marjă sub minim ("&amp;TEXT(Q504*100,"0")&amp;"%)",""))))</f>
        <v/>
      </c>
      <c r="S504" s="1" t="str">
        <f>IF(B504="","",B504&amp;"|"&amp;COUNTIF($B$5:B504,B504))</f>
        <v/>
      </c>
    </row>
    <row r="505" spans="2:19" x14ac:dyDescent="0.2">
      <c r="B505" s="11"/>
      <c r="C505" s="11"/>
      <c r="D505" s="10" t="str">
        <f t="shared" si="84"/>
        <v/>
      </c>
      <c r="E505" s="15" t="str">
        <f t="shared" si="85"/>
        <v/>
      </c>
      <c r="F505" s="11"/>
      <c r="G505" s="16" t="str">
        <f t="shared" si="86"/>
        <v/>
      </c>
      <c r="H505" s="17"/>
      <c r="I505" s="16" t="str">
        <f t="shared" si="87"/>
        <v/>
      </c>
      <c r="J505" s="16" t="str">
        <f t="shared" si="88"/>
        <v/>
      </c>
      <c r="K505" s="18" t="str">
        <f t="shared" si="89"/>
        <v/>
      </c>
      <c r="L505" s="16" t="str">
        <f t="shared" si="90"/>
        <v/>
      </c>
      <c r="M505" s="16" t="str">
        <f t="shared" si="91"/>
        <v/>
      </c>
      <c r="N505" s="16" t="str">
        <f t="shared" si="92"/>
        <v/>
      </c>
      <c r="O505" s="16" t="str">
        <f t="shared" si="93"/>
        <v/>
      </c>
      <c r="P505" s="16" t="str">
        <f t="shared" si="94"/>
        <v/>
      </c>
      <c r="Q505" s="18" t="str">
        <f t="shared" si="95"/>
        <v/>
      </c>
      <c r="R505" s="19" t="str">
        <f>IF(C505="","",IF(ISNA(MATCH(B505,'Registru oferte'!$B$5:$B$504,0)),"Oferta nu există în registru",IF(N(F505)&lt;=0,"Lipsește cantitatea",IF(AND(ISNUMBER(Q505),Q505&lt;MarjaMin),"Marjă sub minim ("&amp;TEXT(Q505*100,"0")&amp;"%)",""))))</f>
        <v/>
      </c>
      <c r="S505" s="1" t="str">
        <f>IF(B505="","",B505&amp;"|"&amp;COUNTIF($B$5:B505,B505))</f>
        <v/>
      </c>
    </row>
    <row r="506" spans="2:19" x14ac:dyDescent="0.2">
      <c r="B506" s="11"/>
      <c r="C506" s="11"/>
      <c r="D506" s="10" t="str">
        <f t="shared" si="84"/>
        <v/>
      </c>
      <c r="E506" s="15" t="str">
        <f t="shared" si="85"/>
        <v/>
      </c>
      <c r="F506" s="11"/>
      <c r="G506" s="16" t="str">
        <f t="shared" si="86"/>
        <v/>
      </c>
      <c r="H506" s="17"/>
      <c r="I506" s="16" t="str">
        <f t="shared" si="87"/>
        <v/>
      </c>
      <c r="J506" s="16" t="str">
        <f t="shared" si="88"/>
        <v/>
      </c>
      <c r="K506" s="18" t="str">
        <f t="shared" si="89"/>
        <v/>
      </c>
      <c r="L506" s="16" t="str">
        <f t="shared" si="90"/>
        <v/>
      </c>
      <c r="M506" s="16" t="str">
        <f t="shared" si="91"/>
        <v/>
      </c>
      <c r="N506" s="16" t="str">
        <f t="shared" si="92"/>
        <v/>
      </c>
      <c r="O506" s="16" t="str">
        <f t="shared" si="93"/>
        <v/>
      </c>
      <c r="P506" s="16" t="str">
        <f t="shared" si="94"/>
        <v/>
      </c>
      <c r="Q506" s="18" t="str">
        <f t="shared" si="95"/>
        <v/>
      </c>
      <c r="R506" s="19" t="str">
        <f>IF(C506="","",IF(ISNA(MATCH(B506,'Registru oferte'!$B$5:$B$504,0)),"Oferta nu există în registru",IF(N(F506)&lt;=0,"Lipsește cantitatea",IF(AND(ISNUMBER(Q506),Q506&lt;MarjaMin),"Marjă sub minim ("&amp;TEXT(Q506*100,"0")&amp;"%)",""))))</f>
        <v/>
      </c>
      <c r="S506" s="1" t="str">
        <f>IF(B506="","",B506&amp;"|"&amp;COUNTIF($B$5:B506,B506))</f>
        <v/>
      </c>
    </row>
    <row r="507" spans="2:19" x14ac:dyDescent="0.2">
      <c r="B507" s="11"/>
      <c r="C507" s="11"/>
      <c r="D507" s="10" t="str">
        <f t="shared" si="84"/>
        <v/>
      </c>
      <c r="E507" s="15" t="str">
        <f t="shared" si="85"/>
        <v/>
      </c>
      <c r="F507" s="11"/>
      <c r="G507" s="16" t="str">
        <f t="shared" si="86"/>
        <v/>
      </c>
      <c r="H507" s="17"/>
      <c r="I507" s="16" t="str">
        <f t="shared" si="87"/>
        <v/>
      </c>
      <c r="J507" s="16" t="str">
        <f t="shared" si="88"/>
        <v/>
      </c>
      <c r="K507" s="18" t="str">
        <f t="shared" si="89"/>
        <v/>
      </c>
      <c r="L507" s="16" t="str">
        <f t="shared" si="90"/>
        <v/>
      </c>
      <c r="M507" s="16" t="str">
        <f t="shared" si="91"/>
        <v/>
      </c>
      <c r="N507" s="16" t="str">
        <f t="shared" si="92"/>
        <v/>
      </c>
      <c r="O507" s="16" t="str">
        <f t="shared" si="93"/>
        <v/>
      </c>
      <c r="P507" s="16" t="str">
        <f t="shared" si="94"/>
        <v/>
      </c>
      <c r="Q507" s="18" t="str">
        <f t="shared" si="95"/>
        <v/>
      </c>
      <c r="R507" s="19" t="str">
        <f>IF(C507="","",IF(ISNA(MATCH(B507,'Registru oferte'!$B$5:$B$504,0)),"Oferta nu există în registru",IF(N(F507)&lt;=0,"Lipsește cantitatea",IF(AND(ISNUMBER(Q507),Q507&lt;MarjaMin),"Marjă sub minim ("&amp;TEXT(Q507*100,"0")&amp;"%)",""))))</f>
        <v/>
      </c>
      <c r="S507" s="1" t="str">
        <f>IF(B507="","",B507&amp;"|"&amp;COUNTIF($B$5:B507,B507))</f>
        <v/>
      </c>
    </row>
    <row r="508" spans="2:19" x14ac:dyDescent="0.2">
      <c r="B508" s="11"/>
      <c r="C508" s="11"/>
      <c r="D508" s="10" t="str">
        <f t="shared" si="84"/>
        <v/>
      </c>
      <c r="E508" s="15" t="str">
        <f t="shared" si="85"/>
        <v/>
      </c>
      <c r="F508" s="11"/>
      <c r="G508" s="16" t="str">
        <f t="shared" si="86"/>
        <v/>
      </c>
      <c r="H508" s="17"/>
      <c r="I508" s="16" t="str">
        <f t="shared" si="87"/>
        <v/>
      </c>
      <c r="J508" s="16" t="str">
        <f t="shared" si="88"/>
        <v/>
      </c>
      <c r="K508" s="18" t="str">
        <f t="shared" si="89"/>
        <v/>
      </c>
      <c r="L508" s="16" t="str">
        <f t="shared" si="90"/>
        <v/>
      </c>
      <c r="M508" s="16" t="str">
        <f t="shared" si="91"/>
        <v/>
      </c>
      <c r="N508" s="16" t="str">
        <f t="shared" si="92"/>
        <v/>
      </c>
      <c r="O508" s="16" t="str">
        <f t="shared" si="93"/>
        <v/>
      </c>
      <c r="P508" s="16" t="str">
        <f t="shared" si="94"/>
        <v/>
      </c>
      <c r="Q508" s="18" t="str">
        <f t="shared" si="95"/>
        <v/>
      </c>
      <c r="R508" s="19" t="str">
        <f>IF(C508="","",IF(ISNA(MATCH(B508,'Registru oferte'!$B$5:$B$504,0)),"Oferta nu există în registru",IF(N(F508)&lt;=0,"Lipsește cantitatea",IF(AND(ISNUMBER(Q508),Q508&lt;MarjaMin),"Marjă sub minim ("&amp;TEXT(Q508*100,"0")&amp;"%)",""))))</f>
        <v/>
      </c>
      <c r="S508" s="1" t="str">
        <f>IF(B508="","",B508&amp;"|"&amp;COUNTIF($B$5:B508,B508))</f>
        <v/>
      </c>
    </row>
    <row r="509" spans="2:19" x14ac:dyDescent="0.2">
      <c r="B509" s="11"/>
      <c r="C509" s="11"/>
      <c r="D509" s="10" t="str">
        <f t="shared" si="84"/>
        <v/>
      </c>
      <c r="E509" s="15" t="str">
        <f t="shared" si="85"/>
        <v/>
      </c>
      <c r="F509" s="11"/>
      <c r="G509" s="16" t="str">
        <f t="shared" si="86"/>
        <v/>
      </c>
      <c r="H509" s="17"/>
      <c r="I509" s="16" t="str">
        <f t="shared" si="87"/>
        <v/>
      </c>
      <c r="J509" s="16" t="str">
        <f t="shared" si="88"/>
        <v/>
      </c>
      <c r="K509" s="18" t="str">
        <f t="shared" si="89"/>
        <v/>
      </c>
      <c r="L509" s="16" t="str">
        <f t="shared" si="90"/>
        <v/>
      </c>
      <c r="M509" s="16" t="str">
        <f t="shared" si="91"/>
        <v/>
      </c>
      <c r="N509" s="16" t="str">
        <f t="shared" si="92"/>
        <v/>
      </c>
      <c r="O509" s="16" t="str">
        <f t="shared" si="93"/>
        <v/>
      </c>
      <c r="P509" s="16" t="str">
        <f t="shared" si="94"/>
        <v/>
      </c>
      <c r="Q509" s="18" t="str">
        <f t="shared" si="95"/>
        <v/>
      </c>
      <c r="R509" s="19" t="str">
        <f>IF(C509="","",IF(ISNA(MATCH(B509,'Registru oferte'!$B$5:$B$504,0)),"Oferta nu există în registru",IF(N(F509)&lt;=0,"Lipsește cantitatea",IF(AND(ISNUMBER(Q509),Q509&lt;MarjaMin),"Marjă sub minim ("&amp;TEXT(Q509*100,"0")&amp;"%)",""))))</f>
        <v/>
      </c>
      <c r="S509" s="1" t="str">
        <f>IF(B509="","",B509&amp;"|"&amp;COUNTIF($B$5:B509,B509))</f>
        <v/>
      </c>
    </row>
    <row r="510" spans="2:19" x14ac:dyDescent="0.2">
      <c r="B510" s="11"/>
      <c r="C510" s="11"/>
      <c r="D510" s="10" t="str">
        <f t="shared" si="84"/>
        <v/>
      </c>
      <c r="E510" s="15" t="str">
        <f t="shared" si="85"/>
        <v/>
      </c>
      <c r="F510" s="11"/>
      <c r="G510" s="16" t="str">
        <f t="shared" si="86"/>
        <v/>
      </c>
      <c r="H510" s="17"/>
      <c r="I510" s="16" t="str">
        <f t="shared" si="87"/>
        <v/>
      </c>
      <c r="J510" s="16" t="str">
        <f t="shared" si="88"/>
        <v/>
      </c>
      <c r="K510" s="18" t="str">
        <f t="shared" si="89"/>
        <v/>
      </c>
      <c r="L510" s="16" t="str">
        <f t="shared" si="90"/>
        <v/>
      </c>
      <c r="M510" s="16" t="str">
        <f t="shared" si="91"/>
        <v/>
      </c>
      <c r="N510" s="16" t="str">
        <f t="shared" si="92"/>
        <v/>
      </c>
      <c r="O510" s="16" t="str">
        <f t="shared" si="93"/>
        <v/>
      </c>
      <c r="P510" s="16" t="str">
        <f t="shared" si="94"/>
        <v/>
      </c>
      <c r="Q510" s="18" t="str">
        <f t="shared" si="95"/>
        <v/>
      </c>
      <c r="R510" s="19" t="str">
        <f>IF(C510="","",IF(ISNA(MATCH(B510,'Registru oferte'!$B$5:$B$504,0)),"Oferta nu există în registru",IF(N(F510)&lt;=0,"Lipsește cantitatea",IF(AND(ISNUMBER(Q510),Q510&lt;MarjaMin),"Marjă sub minim ("&amp;TEXT(Q510*100,"0")&amp;"%)",""))))</f>
        <v/>
      </c>
      <c r="S510" s="1" t="str">
        <f>IF(B510="","",B510&amp;"|"&amp;COUNTIF($B$5:B510,B510))</f>
        <v/>
      </c>
    </row>
    <row r="511" spans="2:19" x14ac:dyDescent="0.2">
      <c r="B511" s="11"/>
      <c r="C511" s="11"/>
      <c r="D511" s="10" t="str">
        <f t="shared" si="84"/>
        <v/>
      </c>
      <c r="E511" s="15" t="str">
        <f t="shared" si="85"/>
        <v/>
      </c>
      <c r="F511" s="11"/>
      <c r="G511" s="16" t="str">
        <f t="shared" si="86"/>
        <v/>
      </c>
      <c r="H511" s="17"/>
      <c r="I511" s="16" t="str">
        <f t="shared" si="87"/>
        <v/>
      </c>
      <c r="J511" s="16" t="str">
        <f t="shared" si="88"/>
        <v/>
      </c>
      <c r="K511" s="18" t="str">
        <f t="shared" si="89"/>
        <v/>
      </c>
      <c r="L511" s="16" t="str">
        <f t="shared" si="90"/>
        <v/>
      </c>
      <c r="M511" s="16" t="str">
        <f t="shared" si="91"/>
        <v/>
      </c>
      <c r="N511" s="16" t="str">
        <f t="shared" si="92"/>
        <v/>
      </c>
      <c r="O511" s="16" t="str">
        <f t="shared" si="93"/>
        <v/>
      </c>
      <c r="P511" s="16" t="str">
        <f t="shared" si="94"/>
        <v/>
      </c>
      <c r="Q511" s="18" t="str">
        <f t="shared" si="95"/>
        <v/>
      </c>
      <c r="R511" s="19" t="str">
        <f>IF(C511="","",IF(ISNA(MATCH(B511,'Registru oferte'!$B$5:$B$504,0)),"Oferta nu există în registru",IF(N(F511)&lt;=0,"Lipsește cantitatea",IF(AND(ISNUMBER(Q511),Q511&lt;MarjaMin),"Marjă sub minim ("&amp;TEXT(Q511*100,"0")&amp;"%)",""))))</f>
        <v/>
      </c>
      <c r="S511" s="1" t="str">
        <f>IF(B511="","",B511&amp;"|"&amp;COUNTIF($B$5:B511,B511))</f>
        <v/>
      </c>
    </row>
    <row r="512" spans="2:19" x14ac:dyDescent="0.2">
      <c r="B512" s="11"/>
      <c r="C512" s="11"/>
      <c r="D512" s="10" t="str">
        <f t="shared" si="84"/>
        <v/>
      </c>
      <c r="E512" s="15" t="str">
        <f t="shared" si="85"/>
        <v/>
      </c>
      <c r="F512" s="11"/>
      <c r="G512" s="16" t="str">
        <f t="shared" si="86"/>
        <v/>
      </c>
      <c r="H512" s="17"/>
      <c r="I512" s="16" t="str">
        <f t="shared" si="87"/>
        <v/>
      </c>
      <c r="J512" s="16" t="str">
        <f t="shared" si="88"/>
        <v/>
      </c>
      <c r="K512" s="18" t="str">
        <f t="shared" si="89"/>
        <v/>
      </c>
      <c r="L512" s="16" t="str">
        <f t="shared" si="90"/>
        <v/>
      </c>
      <c r="M512" s="16" t="str">
        <f t="shared" si="91"/>
        <v/>
      </c>
      <c r="N512" s="16" t="str">
        <f t="shared" si="92"/>
        <v/>
      </c>
      <c r="O512" s="16" t="str">
        <f t="shared" si="93"/>
        <v/>
      </c>
      <c r="P512" s="16" t="str">
        <f t="shared" si="94"/>
        <v/>
      </c>
      <c r="Q512" s="18" t="str">
        <f t="shared" si="95"/>
        <v/>
      </c>
      <c r="R512" s="19" t="str">
        <f>IF(C512="","",IF(ISNA(MATCH(B512,'Registru oferte'!$B$5:$B$504,0)),"Oferta nu există în registru",IF(N(F512)&lt;=0,"Lipsește cantitatea",IF(AND(ISNUMBER(Q512),Q512&lt;MarjaMin),"Marjă sub minim ("&amp;TEXT(Q512*100,"0")&amp;"%)",""))))</f>
        <v/>
      </c>
      <c r="S512" s="1" t="str">
        <f>IF(B512="","",B512&amp;"|"&amp;COUNTIF($B$5:B512,B512))</f>
        <v/>
      </c>
    </row>
    <row r="513" spans="2:19" x14ac:dyDescent="0.2">
      <c r="B513" s="11"/>
      <c r="C513" s="11"/>
      <c r="D513" s="10" t="str">
        <f t="shared" si="84"/>
        <v/>
      </c>
      <c r="E513" s="15" t="str">
        <f t="shared" si="85"/>
        <v/>
      </c>
      <c r="F513" s="11"/>
      <c r="G513" s="16" t="str">
        <f t="shared" si="86"/>
        <v/>
      </c>
      <c r="H513" s="17"/>
      <c r="I513" s="16" t="str">
        <f t="shared" si="87"/>
        <v/>
      </c>
      <c r="J513" s="16" t="str">
        <f t="shared" si="88"/>
        <v/>
      </c>
      <c r="K513" s="18" t="str">
        <f t="shared" si="89"/>
        <v/>
      </c>
      <c r="L513" s="16" t="str">
        <f t="shared" si="90"/>
        <v/>
      </c>
      <c r="M513" s="16" t="str">
        <f t="shared" si="91"/>
        <v/>
      </c>
      <c r="N513" s="16" t="str">
        <f t="shared" si="92"/>
        <v/>
      </c>
      <c r="O513" s="16" t="str">
        <f t="shared" si="93"/>
        <v/>
      </c>
      <c r="P513" s="16" t="str">
        <f t="shared" si="94"/>
        <v/>
      </c>
      <c r="Q513" s="18" t="str">
        <f t="shared" si="95"/>
        <v/>
      </c>
      <c r="R513" s="19" t="str">
        <f>IF(C513="","",IF(ISNA(MATCH(B513,'Registru oferte'!$B$5:$B$504,0)),"Oferta nu există în registru",IF(N(F513)&lt;=0,"Lipsește cantitatea",IF(AND(ISNUMBER(Q513),Q513&lt;MarjaMin),"Marjă sub minim ("&amp;TEXT(Q513*100,"0")&amp;"%)",""))))</f>
        <v/>
      </c>
      <c r="S513" s="1" t="str">
        <f>IF(B513="","",B513&amp;"|"&amp;COUNTIF($B$5:B513,B513))</f>
        <v/>
      </c>
    </row>
    <row r="514" spans="2:19" x14ac:dyDescent="0.2">
      <c r="B514" s="11"/>
      <c r="C514" s="11"/>
      <c r="D514" s="10" t="str">
        <f t="shared" si="84"/>
        <v/>
      </c>
      <c r="E514" s="15" t="str">
        <f t="shared" si="85"/>
        <v/>
      </c>
      <c r="F514" s="11"/>
      <c r="G514" s="16" t="str">
        <f t="shared" si="86"/>
        <v/>
      </c>
      <c r="H514" s="17"/>
      <c r="I514" s="16" t="str">
        <f t="shared" si="87"/>
        <v/>
      </c>
      <c r="J514" s="16" t="str">
        <f t="shared" si="88"/>
        <v/>
      </c>
      <c r="K514" s="18" t="str">
        <f t="shared" si="89"/>
        <v/>
      </c>
      <c r="L514" s="16" t="str">
        <f t="shared" si="90"/>
        <v/>
      </c>
      <c r="M514" s="16" t="str">
        <f t="shared" si="91"/>
        <v/>
      </c>
      <c r="N514" s="16" t="str">
        <f t="shared" si="92"/>
        <v/>
      </c>
      <c r="O514" s="16" t="str">
        <f t="shared" si="93"/>
        <v/>
      </c>
      <c r="P514" s="16" t="str">
        <f t="shared" si="94"/>
        <v/>
      </c>
      <c r="Q514" s="18" t="str">
        <f t="shared" si="95"/>
        <v/>
      </c>
      <c r="R514" s="19" t="str">
        <f>IF(C514="","",IF(ISNA(MATCH(B514,'Registru oferte'!$B$5:$B$504,0)),"Oferta nu există în registru",IF(N(F514)&lt;=0,"Lipsește cantitatea",IF(AND(ISNUMBER(Q514),Q514&lt;MarjaMin),"Marjă sub minim ("&amp;TEXT(Q514*100,"0")&amp;"%)",""))))</f>
        <v/>
      </c>
      <c r="S514" s="1" t="str">
        <f>IF(B514="","",B514&amp;"|"&amp;COUNTIF($B$5:B514,B514))</f>
        <v/>
      </c>
    </row>
    <row r="515" spans="2:19" x14ac:dyDescent="0.2">
      <c r="B515" s="11"/>
      <c r="C515" s="11"/>
      <c r="D515" s="10" t="str">
        <f t="shared" si="84"/>
        <v/>
      </c>
      <c r="E515" s="15" t="str">
        <f t="shared" si="85"/>
        <v/>
      </c>
      <c r="F515" s="11"/>
      <c r="G515" s="16" t="str">
        <f t="shared" si="86"/>
        <v/>
      </c>
      <c r="H515" s="17"/>
      <c r="I515" s="16" t="str">
        <f t="shared" si="87"/>
        <v/>
      </c>
      <c r="J515" s="16" t="str">
        <f t="shared" si="88"/>
        <v/>
      </c>
      <c r="K515" s="18" t="str">
        <f t="shared" si="89"/>
        <v/>
      </c>
      <c r="L515" s="16" t="str">
        <f t="shared" si="90"/>
        <v/>
      </c>
      <c r="M515" s="16" t="str">
        <f t="shared" si="91"/>
        <v/>
      </c>
      <c r="N515" s="16" t="str">
        <f t="shared" si="92"/>
        <v/>
      </c>
      <c r="O515" s="16" t="str">
        <f t="shared" si="93"/>
        <v/>
      </c>
      <c r="P515" s="16" t="str">
        <f t="shared" si="94"/>
        <v/>
      </c>
      <c r="Q515" s="18" t="str">
        <f t="shared" si="95"/>
        <v/>
      </c>
      <c r="R515" s="19" t="str">
        <f>IF(C515="","",IF(ISNA(MATCH(B515,'Registru oferte'!$B$5:$B$504,0)),"Oferta nu există în registru",IF(N(F515)&lt;=0,"Lipsește cantitatea",IF(AND(ISNUMBER(Q515),Q515&lt;MarjaMin),"Marjă sub minim ("&amp;TEXT(Q515*100,"0")&amp;"%)",""))))</f>
        <v/>
      </c>
      <c r="S515" s="1" t="str">
        <f>IF(B515="","",B515&amp;"|"&amp;COUNTIF($B$5:B515,B515))</f>
        <v/>
      </c>
    </row>
    <row r="516" spans="2:19" x14ac:dyDescent="0.2">
      <c r="B516" s="11"/>
      <c r="C516" s="11"/>
      <c r="D516" s="10" t="str">
        <f t="shared" si="84"/>
        <v/>
      </c>
      <c r="E516" s="15" t="str">
        <f t="shared" si="85"/>
        <v/>
      </c>
      <c r="F516" s="11"/>
      <c r="G516" s="16" t="str">
        <f t="shared" si="86"/>
        <v/>
      </c>
      <c r="H516" s="17"/>
      <c r="I516" s="16" t="str">
        <f t="shared" si="87"/>
        <v/>
      </c>
      <c r="J516" s="16" t="str">
        <f t="shared" si="88"/>
        <v/>
      </c>
      <c r="K516" s="18" t="str">
        <f t="shared" si="89"/>
        <v/>
      </c>
      <c r="L516" s="16" t="str">
        <f t="shared" si="90"/>
        <v/>
      </c>
      <c r="M516" s="16" t="str">
        <f t="shared" si="91"/>
        <v/>
      </c>
      <c r="N516" s="16" t="str">
        <f t="shared" si="92"/>
        <v/>
      </c>
      <c r="O516" s="16" t="str">
        <f t="shared" si="93"/>
        <v/>
      </c>
      <c r="P516" s="16" t="str">
        <f t="shared" si="94"/>
        <v/>
      </c>
      <c r="Q516" s="18" t="str">
        <f t="shared" si="95"/>
        <v/>
      </c>
      <c r="R516" s="19" t="str">
        <f>IF(C516="","",IF(ISNA(MATCH(B516,'Registru oferte'!$B$5:$B$504,0)),"Oferta nu există în registru",IF(N(F516)&lt;=0,"Lipsește cantitatea",IF(AND(ISNUMBER(Q516),Q516&lt;MarjaMin),"Marjă sub minim ("&amp;TEXT(Q516*100,"0")&amp;"%)",""))))</f>
        <v/>
      </c>
      <c r="S516" s="1" t="str">
        <f>IF(B516="","",B516&amp;"|"&amp;COUNTIF($B$5:B516,B516))</f>
        <v/>
      </c>
    </row>
    <row r="517" spans="2:19" x14ac:dyDescent="0.2">
      <c r="B517" s="11"/>
      <c r="C517" s="11"/>
      <c r="D517" s="10" t="str">
        <f t="shared" ref="D517:D580" si="96">IF(C517="","",IFERROR(VLOOKUP(C517,TabCat,2,FALSE),"Cod inexistent"))</f>
        <v/>
      </c>
      <c r="E517" s="15" t="str">
        <f t="shared" ref="E517:E580" si="97">IF(C517="","",IFERROR(VLOOKUP(C517,TabCat,3,FALSE),""))</f>
        <v/>
      </c>
      <c r="F517" s="11"/>
      <c r="G517" s="16" t="str">
        <f t="shared" ref="G517:G580" si="98">IF(C517="","",IFERROR(VLOOKUP(C517,TabCat,4,FALSE),0))</f>
        <v/>
      </c>
      <c r="H517" s="17"/>
      <c r="I517" s="16" t="str">
        <f t="shared" ref="I517:I580" si="99">IF(C517="","",ROUND(G517*(1-N(H517)),2))</f>
        <v/>
      </c>
      <c r="J517" s="16" t="str">
        <f t="shared" ref="J517:J580" si="100">IF(C517="","",ROUND(I517*N(F517),2))</f>
        <v/>
      </c>
      <c r="K517" s="18" t="str">
        <f t="shared" ref="K517:K580" si="101">IF(C517="","",IFERROR(VLOOKUP(C517,TabCat,6,FALSE),0))</f>
        <v/>
      </c>
      <c r="L517" s="16" t="str">
        <f t="shared" ref="L517:L580" si="102">IF(C517="","",ROUND(J517*K517,2))</f>
        <v/>
      </c>
      <c r="M517" s="16" t="str">
        <f t="shared" ref="M517:M580" si="103">IF(C517="","",J517+L517)</f>
        <v/>
      </c>
      <c r="N517" s="16" t="str">
        <f t="shared" ref="N517:N580" si="104">IF(C517="","",IFERROR(VLOOKUP(C517,TabCat,5,FALSE),0))</f>
        <v/>
      </c>
      <c r="O517" s="16" t="str">
        <f t="shared" ref="O517:O580" si="105">IF(C517="","",ROUND(N517*N(F517),2))</f>
        <v/>
      </c>
      <c r="P517" s="16" t="str">
        <f t="shared" ref="P517:P580" si="106">IF(C517="","",J517-O517)</f>
        <v/>
      </c>
      <c r="Q517" s="18" t="str">
        <f t="shared" ref="Q517:Q580" si="107">IF(OR(C517="",N(J517)=0),"",P517/J517)</f>
        <v/>
      </c>
      <c r="R517" s="19" t="str">
        <f>IF(C517="","",IF(ISNA(MATCH(B517,'Registru oferte'!$B$5:$B$504,0)),"Oferta nu există în registru",IF(N(F517)&lt;=0,"Lipsește cantitatea",IF(AND(ISNUMBER(Q517),Q517&lt;MarjaMin),"Marjă sub minim ("&amp;TEXT(Q517*100,"0")&amp;"%)",""))))</f>
        <v/>
      </c>
      <c r="S517" s="1" t="str">
        <f>IF(B517="","",B517&amp;"|"&amp;COUNTIF($B$5:B517,B517))</f>
        <v/>
      </c>
    </row>
    <row r="518" spans="2:19" x14ac:dyDescent="0.2">
      <c r="B518" s="11"/>
      <c r="C518" s="11"/>
      <c r="D518" s="10" t="str">
        <f t="shared" si="96"/>
        <v/>
      </c>
      <c r="E518" s="15" t="str">
        <f t="shared" si="97"/>
        <v/>
      </c>
      <c r="F518" s="11"/>
      <c r="G518" s="16" t="str">
        <f t="shared" si="98"/>
        <v/>
      </c>
      <c r="H518" s="17"/>
      <c r="I518" s="16" t="str">
        <f t="shared" si="99"/>
        <v/>
      </c>
      <c r="J518" s="16" t="str">
        <f t="shared" si="100"/>
        <v/>
      </c>
      <c r="K518" s="18" t="str">
        <f t="shared" si="101"/>
        <v/>
      </c>
      <c r="L518" s="16" t="str">
        <f t="shared" si="102"/>
        <v/>
      </c>
      <c r="M518" s="16" t="str">
        <f t="shared" si="103"/>
        <v/>
      </c>
      <c r="N518" s="16" t="str">
        <f t="shared" si="104"/>
        <v/>
      </c>
      <c r="O518" s="16" t="str">
        <f t="shared" si="105"/>
        <v/>
      </c>
      <c r="P518" s="16" t="str">
        <f t="shared" si="106"/>
        <v/>
      </c>
      <c r="Q518" s="18" t="str">
        <f t="shared" si="107"/>
        <v/>
      </c>
      <c r="R518" s="19" t="str">
        <f>IF(C518="","",IF(ISNA(MATCH(B518,'Registru oferte'!$B$5:$B$504,0)),"Oferta nu există în registru",IF(N(F518)&lt;=0,"Lipsește cantitatea",IF(AND(ISNUMBER(Q518),Q518&lt;MarjaMin),"Marjă sub minim ("&amp;TEXT(Q518*100,"0")&amp;"%)",""))))</f>
        <v/>
      </c>
      <c r="S518" s="1" t="str">
        <f>IF(B518="","",B518&amp;"|"&amp;COUNTIF($B$5:B518,B518))</f>
        <v/>
      </c>
    </row>
    <row r="519" spans="2:19" x14ac:dyDescent="0.2">
      <c r="B519" s="11"/>
      <c r="C519" s="11"/>
      <c r="D519" s="10" t="str">
        <f t="shared" si="96"/>
        <v/>
      </c>
      <c r="E519" s="15" t="str">
        <f t="shared" si="97"/>
        <v/>
      </c>
      <c r="F519" s="11"/>
      <c r="G519" s="16" t="str">
        <f t="shared" si="98"/>
        <v/>
      </c>
      <c r="H519" s="17"/>
      <c r="I519" s="16" t="str">
        <f t="shared" si="99"/>
        <v/>
      </c>
      <c r="J519" s="16" t="str">
        <f t="shared" si="100"/>
        <v/>
      </c>
      <c r="K519" s="18" t="str">
        <f t="shared" si="101"/>
        <v/>
      </c>
      <c r="L519" s="16" t="str">
        <f t="shared" si="102"/>
        <v/>
      </c>
      <c r="M519" s="16" t="str">
        <f t="shared" si="103"/>
        <v/>
      </c>
      <c r="N519" s="16" t="str">
        <f t="shared" si="104"/>
        <v/>
      </c>
      <c r="O519" s="16" t="str">
        <f t="shared" si="105"/>
        <v/>
      </c>
      <c r="P519" s="16" t="str">
        <f t="shared" si="106"/>
        <v/>
      </c>
      <c r="Q519" s="18" t="str">
        <f t="shared" si="107"/>
        <v/>
      </c>
      <c r="R519" s="19" t="str">
        <f>IF(C519="","",IF(ISNA(MATCH(B519,'Registru oferte'!$B$5:$B$504,0)),"Oferta nu există în registru",IF(N(F519)&lt;=0,"Lipsește cantitatea",IF(AND(ISNUMBER(Q519),Q519&lt;MarjaMin),"Marjă sub minim ("&amp;TEXT(Q519*100,"0")&amp;"%)",""))))</f>
        <v/>
      </c>
      <c r="S519" s="1" t="str">
        <f>IF(B519="","",B519&amp;"|"&amp;COUNTIF($B$5:B519,B519))</f>
        <v/>
      </c>
    </row>
    <row r="520" spans="2:19" x14ac:dyDescent="0.2">
      <c r="B520" s="11"/>
      <c r="C520" s="11"/>
      <c r="D520" s="10" t="str">
        <f t="shared" si="96"/>
        <v/>
      </c>
      <c r="E520" s="15" t="str">
        <f t="shared" si="97"/>
        <v/>
      </c>
      <c r="F520" s="11"/>
      <c r="G520" s="16" t="str">
        <f t="shared" si="98"/>
        <v/>
      </c>
      <c r="H520" s="17"/>
      <c r="I520" s="16" t="str">
        <f t="shared" si="99"/>
        <v/>
      </c>
      <c r="J520" s="16" t="str">
        <f t="shared" si="100"/>
        <v/>
      </c>
      <c r="K520" s="18" t="str">
        <f t="shared" si="101"/>
        <v/>
      </c>
      <c r="L520" s="16" t="str">
        <f t="shared" si="102"/>
        <v/>
      </c>
      <c r="M520" s="16" t="str">
        <f t="shared" si="103"/>
        <v/>
      </c>
      <c r="N520" s="16" t="str">
        <f t="shared" si="104"/>
        <v/>
      </c>
      <c r="O520" s="16" t="str">
        <f t="shared" si="105"/>
        <v/>
      </c>
      <c r="P520" s="16" t="str">
        <f t="shared" si="106"/>
        <v/>
      </c>
      <c r="Q520" s="18" t="str">
        <f t="shared" si="107"/>
        <v/>
      </c>
      <c r="R520" s="19" t="str">
        <f>IF(C520="","",IF(ISNA(MATCH(B520,'Registru oferte'!$B$5:$B$504,0)),"Oferta nu există în registru",IF(N(F520)&lt;=0,"Lipsește cantitatea",IF(AND(ISNUMBER(Q520),Q520&lt;MarjaMin),"Marjă sub minim ("&amp;TEXT(Q520*100,"0")&amp;"%)",""))))</f>
        <v/>
      </c>
      <c r="S520" s="1" t="str">
        <f>IF(B520="","",B520&amp;"|"&amp;COUNTIF($B$5:B520,B520))</f>
        <v/>
      </c>
    </row>
    <row r="521" spans="2:19" x14ac:dyDescent="0.2">
      <c r="B521" s="11"/>
      <c r="C521" s="11"/>
      <c r="D521" s="10" t="str">
        <f t="shared" si="96"/>
        <v/>
      </c>
      <c r="E521" s="15" t="str">
        <f t="shared" si="97"/>
        <v/>
      </c>
      <c r="F521" s="11"/>
      <c r="G521" s="16" t="str">
        <f t="shared" si="98"/>
        <v/>
      </c>
      <c r="H521" s="17"/>
      <c r="I521" s="16" t="str">
        <f t="shared" si="99"/>
        <v/>
      </c>
      <c r="J521" s="16" t="str">
        <f t="shared" si="100"/>
        <v/>
      </c>
      <c r="K521" s="18" t="str">
        <f t="shared" si="101"/>
        <v/>
      </c>
      <c r="L521" s="16" t="str">
        <f t="shared" si="102"/>
        <v/>
      </c>
      <c r="M521" s="16" t="str">
        <f t="shared" si="103"/>
        <v/>
      </c>
      <c r="N521" s="16" t="str">
        <f t="shared" si="104"/>
        <v/>
      </c>
      <c r="O521" s="16" t="str">
        <f t="shared" si="105"/>
        <v/>
      </c>
      <c r="P521" s="16" t="str">
        <f t="shared" si="106"/>
        <v/>
      </c>
      <c r="Q521" s="18" t="str">
        <f t="shared" si="107"/>
        <v/>
      </c>
      <c r="R521" s="19" t="str">
        <f>IF(C521="","",IF(ISNA(MATCH(B521,'Registru oferte'!$B$5:$B$504,0)),"Oferta nu există în registru",IF(N(F521)&lt;=0,"Lipsește cantitatea",IF(AND(ISNUMBER(Q521),Q521&lt;MarjaMin),"Marjă sub minim ("&amp;TEXT(Q521*100,"0")&amp;"%)",""))))</f>
        <v/>
      </c>
      <c r="S521" s="1" t="str">
        <f>IF(B521="","",B521&amp;"|"&amp;COUNTIF($B$5:B521,B521))</f>
        <v/>
      </c>
    </row>
    <row r="522" spans="2:19" x14ac:dyDescent="0.2">
      <c r="B522" s="11"/>
      <c r="C522" s="11"/>
      <c r="D522" s="10" t="str">
        <f t="shared" si="96"/>
        <v/>
      </c>
      <c r="E522" s="15" t="str">
        <f t="shared" si="97"/>
        <v/>
      </c>
      <c r="F522" s="11"/>
      <c r="G522" s="16" t="str">
        <f t="shared" si="98"/>
        <v/>
      </c>
      <c r="H522" s="17"/>
      <c r="I522" s="16" t="str">
        <f t="shared" si="99"/>
        <v/>
      </c>
      <c r="J522" s="16" t="str">
        <f t="shared" si="100"/>
        <v/>
      </c>
      <c r="K522" s="18" t="str">
        <f t="shared" si="101"/>
        <v/>
      </c>
      <c r="L522" s="16" t="str">
        <f t="shared" si="102"/>
        <v/>
      </c>
      <c r="M522" s="16" t="str">
        <f t="shared" si="103"/>
        <v/>
      </c>
      <c r="N522" s="16" t="str">
        <f t="shared" si="104"/>
        <v/>
      </c>
      <c r="O522" s="16" t="str">
        <f t="shared" si="105"/>
        <v/>
      </c>
      <c r="P522" s="16" t="str">
        <f t="shared" si="106"/>
        <v/>
      </c>
      <c r="Q522" s="18" t="str">
        <f t="shared" si="107"/>
        <v/>
      </c>
      <c r="R522" s="19" t="str">
        <f>IF(C522="","",IF(ISNA(MATCH(B522,'Registru oferte'!$B$5:$B$504,0)),"Oferta nu există în registru",IF(N(F522)&lt;=0,"Lipsește cantitatea",IF(AND(ISNUMBER(Q522),Q522&lt;MarjaMin),"Marjă sub minim ("&amp;TEXT(Q522*100,"0")&amp;"%)",""))))</f>
        <v/>
      </c>
      <c r="S522" s="1" t="str">
        <f>IF(B522="","",B522&amp;"|"&amp;COUNTIF($B$5:B522,B522))</f>
        <v/>
      </c>
    </row>
    <row r="523" spans="2:19" x14ac:dyDescent="0.2">
      <c r="B523" s="11"/>
      <c r="C523" s="11"/>
      <c r="D523" s="10" t="str">
        <f t="shared" si="96"/>
        <v/>
      </c>
      <c r="E523" s="15" t="str">
        <f t="shared" si="97"/>
        <v/>
      </c>
      <c r="F523" s="11"/>
      <c r="G523" s="16" t="str">
        <f t="shared" si="98"/>
        <v/>
      </c>
      <c r="H523" s="17"/>
      <c r="I523" s="16" t="str">
        <f t="shared" si="99"/>
        <v/>
      </c>
      <c r="J523" s="16" t="str">
        <f t="shared" si="100"/>
        <v/>
      </c>
      <c r="K523" s="18" t="str">
        <f t="shared" si="101"/>
        <v/>
      </c>
      <c r="L523" s="16" t="str">
        <f t="shared" si="102"/>
        <v/>
      </c>
      <c r="M523" s="16" t="str">
        <f t="shared" si="103"/>
        <v/>
      </c>
      <c r="N523" s="16" t="str">
        <f t="shared" si="104"/>
        <v/>
      </c>
      <c r="O523" s="16" t="str">
        <f t="shared" si="105"/>
        <v/>
      </c>
      <c r="P523" s="16" t="str">
        <f t="shared" si="106"/>
        <v/>
      </c>
      <c r="Q523" s="18" t="str">
        <f t="shared" si="107"/>
        <v/>
      </c>
      <c r="R523" s="19" t="str">
        <f>IF(C523="","",IF(ISNA(MATCH(B523,'Registru oferte'!$B$5:$B$504,0)),"Oferta nu există în registru",IF(N(F523)&lt;=0,"Lipsește cantitatea",IF(AND(ISNUMBER(Q523),Q523&lt;MarjaMin),"Marjă sub minim ("&amp;TEXT(Q523*100,"0")&amp;"%)",""))))</f>
        <v/>
      </c>
      <c r="S523" s="1" t="str">
        <f>IF(B523="","",B523&amp;"|"&amp;COUNTIF($B$5:B523,B523))</f>
        <v/>
      </c>
    </row>
    <row r="524" spans="2:19" x14ac:dyDescent="0.2">
      <c r="B524" s="11"/>
      <c r="C524" s="11"/>
      <c r="D524" s="10" t="str">
        <f t="shared" si="96"/>
        <v/>
      </c>
      <c r="E524" s="15" t="str">
        <f t="shared" si="97"/>
        <v/>
      </c>
      <c r="F524" s="11"/>
      <c r="G524" s="16" t="str">
        <f t="shared" si="98"/>
        <v/>
      </c>
      <c r="H524" s="17"/>
      <c r="I524" s="16" t="str">
        <f t="shared" si="99"/>
        <v/>
      </c>
      <c r="J524" s="16" t="str">
        <f t="shared" si="100"/>
        <v/>
      </c>
      <c r="K524" s="18" t="str">
        <f t="shared" si="101"/>
        <v/>
      </c>
      <c r="L524" s="16" t="str">
        <f t="shared" si="102"/>
        <v/>
      </c>
      <c r="M524" s="16" t="str">
        <f t="shared" si="103"/>
        <v/>
      </c>
      <c r="N524" s="16" t="str">
        <f t="shared" si="104"/>
        <v/>
      </c>
      <c r="O524" s="16" t="str">
        <f t="shared" si="105"/>
        <v/>
      </c>
      <c r="P524" s="16" t="str">
        <f t="shared" si="106"/>
        <v/>
      </c>
      <c r="Q524" s="18" t="str">
        <f t="shared" si="107"/>
        <v/>
      </c>
      <c r="R524" s="19" t="str">
        <f>IF(C524="","",IF(ISNA(MATCH(B524,'Registru oferte'!$B$5:$B$504,0)),"Oferta nu există în registru",IF(N(F524)&lt;=0,"Lipsește cantitatea",IF(AND(ISNUMBER(Q524),Q524&lt;MarjaMin),"Marjă sub minim ("&amp;TEXT(Q524*100,"0")&amp;"%)",""))))</f>
        <v/>
      </c>
      <c r="S524" s="1" t="str">
        <f>IF(B524="","",B524&amp;"|"&amp;COUNTIF($B$5:B524,B524))</f>
        <v/>
      </c>
    </row>
    <row r="525" spans="2:19" x14ac:dyDescent="0.2">
      <c r="B525" s="11"/>
      <c r="C525" s="11"/>
      <c r="D525" s="10" t="str">
        <f t="shared" si="96"/>
        <v/>
      </c>
      <c r="E525" s="15" t="str">
        <f t="shared" si="97"/>
        <v/>
      </c>
      <c r="F525" s="11"/>
      <c r="G525" s="16" t="str">
        <f t="shared" si="98"/>
        <v/>
      </c>
      <c r="H525" s="17"/>
      <c r="I525" s="16" t="str">
        <f t="shared" si="99"/>
        <v/>
      </c>
      <c r="J525" s="16" t="str">
        <f t="shared" si="100"/>
        <v/>
      </c>
      <c r="K525" s="18" t="str">
        <f t="shared" si="101"/>
        <v/>
      </c>
      <c r="L525" s="16" t="str">
        <f t="shared" si="102"/>
        <v/>
      </c>
      <c r="M525" s="16" t="str">
        <f t="shared" si="103"/>
        <v/>
      </c>
      <c r="N525" s="16" t="str">
        <f t="shared" si="104"/>
        <v/>
      </c>
      <c r="O525" s="16" t="str">
        <f t="shared" si="105"/>
        <v/>
      </c>
      <c r="P525" s="16" t="str">
        <f t="shared" si="106"/>
        <v/>
      </c>
      <c r="Q525" s="18" t="str">
        <f t="shared" si="107"/>
        <v/>
      </c>
      <c r="R525" s="19" t="str">
        <f>IF(C525="","",IF(ISNA(MATCH(B525,'Registru oferte'!$B$5:$B$504,0)),"Oferta nu există în registru",IF(N(F525)&lt;=0,"Lipsește cantitatea",IF(AND(ISNUMBER(Q525),Q525&lt;MarjaMin),"Marjă sub minim ("&amp;TEXT(Q525*100,"0")&amp;"%)",""))))</f>
        <v/>
      </c>
      <c r="S525" s="1" t="str">
        <f>IF(B525="","",B525&amp;"|"&amp;COUNTIF($B$5:B525,B525))</f>
        <v/>
      </c>
    </row>
    <row r="526" spans="2:19" x14ac:dyDescent="0.2">
      <c r="B526" s="11"/>
      <c r="C526" s="11"/>
      <c r="D526" s="10" t="str">
        <f t="shared" si="96"/>
        <v/>
      </c>
      <c r="E526" s="15" t="str">
        <f t="shared" si="97"/>
        <v/>
      </c>
      <c r="F526" s="11"/>
      <c r="G526" s="16" t="str">
        <f t="shared" si="98"/>
        <v/>
      </c>
      <c r="H526" s="17"/>
      <c r="I526" s="16" t="str">
        <f t="shared" si="99"/>
        <v/>
      </c>
      <c r="J526" s="16" t="str">
        <f t="shared" si="100"/>
        <v/>
      </c>
      <c r="K526" s="18" t="str">
        <f t="shared" si="101"/>
        <v/>
      </c>
      <c r="L526" s="16" t="str">
        <f t="shared" si="102"/>
        <v/>
      </c>
      <c r="M526" s="16" t="str">
        <f t="shared" si="103"/>
        <v/>
      </c>
      <c r="N526" s="16" t="str">
        <f t="shared" si="104"/>
        <v/>
      </c>
      <c r="O526" s="16" t="str">
        <f t="shared" si="105"/>
        <v/>
      </c>
      <c r="P526" s="16" t="str">
        <f t="shared" si="106"/>
        <v/>
      </c>
      <c r="Q526" s="18" t="str">
        <f t="shared" si="107"/>
        <v/>
      </c>
      <c r="R526" s="19" t="str">
        <f>IF(C526="","",IF(ISNA(MATCH(B526,'Registru oferte'!$B$5:$B$504,0)),"Oferta nu există în registru",IF(N(F526)&lt;=0,"Lipsește cantitatea",IF(AND(ISNUMBER(Q526),Q526&lt;MarjaMin),"Marjă sub minim ("&amp;TEXT(Q526*100,"0")&amp;"%)",""))))</f>
        <v/>
      </c>
      <c r="S526" s="1" t="str">
        <f>IF(B526="","",B526&amp;"|"&amp;COUNTIF($B$5:B526,B526))</f>
        <v/>
      </c>
    </row>
    <row r="527" spans="2:19" x14ac:dyDescent="0.2">
      <c r="B527" s="11"/>
      <c r="C527" s="11"/>
      <c r="D527" s="10" t="str">
        <f t="shared" si="96"/>
        <v/>
      </c>
      <c r="E527" s="15" t="str">
        <f t="shared" si="97"/>
        <v/>
      </c>
      <c r="F527" s="11"/>
      <c r="G527" s="16" t="str">
        <f t="shared" si="98"/>
        <v/>
      </c>
      <c r="H527" s="17"/>
      <c r="I527" s="16" t="str">
        <f t="shared" si="99"/>
        <v/>
      </c>
      <c r="J527" s="16" t="str">
        <f t="shared" si="100"/>
        <v/>
      </c>
      <c r="K527" s="18" t="str">
        <f t="shared" si="101"/>
        <v/>
      </c>
      <c r="L527" s="16" t="str">
        <f t="shared" si="102"/>
        <v/>
      </c>
      <c r="M527" s="16" t="str">
        <f t="shared" si="103"/>
        <v/>
      </c>
      <c r="N527" s="16" t="str">
        <f t="shared" si="104"/>
        <v/>
      </c>
      <c r="O527" s="16" t="str">
        <f t="shared" si="105"/>
        <v/>
      </c>
      <c r="P527" s="16" t="str">
        <f t="shared" si="106"/>
        <v/>
      </c>
      <c r="Q527" s="18" t="str">
        <f t="shared" si="107"/>
        <v/>
      </c>
      <c r="R527" s="19" t="str">
        <f>IF(C527="","",IF(ISNA(MATCH(B527,'Registru oferte'!$B$5:$B$504,0)),"Oferta nu există în registru",IF(N(F527)&lt;=0,"Lipsește cantitatea",IF(AND(ISNUMBER(Q527),Q527&lt;MarjaMin),"Marjă sub minim ("&amp;TEXT(Q527*100,"0")&amp;"%)",""))))</f>
        <v/>
      </c>
      <c r="S527" s="1" t="str">
        <f>IF(B527="","",B527&amp;"|"&amp;COUNTIF($B$5:B527,B527))</f>
        <v/>
      </c>
    </row>
    <row r="528" spans="2:19" x14ac:dyDescent="0.2">
      <c r="B528" s="11"/>
      <c r="C528" s="11"/>
      <c r="D528" s="10" t="str">
        <f t="shared" si="96"/>
        <v/>
      </c>
      <c r="E528" s="15" t="str">
        <f t="shared" si="97"/>
        <v/>
      </c>
      <c r="F528" s="11"/>
      <c r="G528" s="16" t="str">
        <f t="shared" si="98"/>
        <v/>
      </c>
      <c r="H528" s="17"/>
      <c r="I528" s="16" t="str">
        <f t="shared" si="99"/>
        <v/>
      </c>
      <c r="J528" s="16" t="str">
        <f t="shared" si="100"/>
        <v/>
      </c>
      <c r="K528" s="18" t="str">
        <f t="shared" si="101"/>
        <v/>
      </c>
      <c r="L528" s="16" t="str">
        <f t="shared" si="102"/>
        <v/>
      </c>
      <c r="M528" s="16" t="str">
        <f t="shared" si="103"/>
        <v/>
      </c>
      <c r="N528" s="16" t="str">
        <f t="shared" si="104"/>
        <v/>
      </c>
      <c r="O528" s="16" t="str">
        <f t="shared" si="105"/>
        <v/>
      </c>
      <c r="P528" s="16" t="str">
        <f t="shared" si="106"/>
        <v/>
      </c>
      <c r="Q528" s="18" t="str">
        <f t="shared" si="107"/>
        <v/>
      </c>
      <c r="R528" s="19" t="str">
        <f>IF(C528="","",IF(ISNA(MATCH(B528,'Registru oferte'!$B$5:$B$504,0)),"Oferta nu există în registru",IF(N(F528)&lt;=0,"Lipsește cantitatea",IF(AND(ISNUMBER(Q528),Q528&lt;MarjaMin),"Marjă sub minim ("&amp;TEXT(Q528*100,"0")&amp;"%)",""))))</f>
        <v/>
      </c>
      <c r="S528" s="1" t="str">
        <f>IF(B528="","",B528&amp;"|"&amp;COUNTIF($B$5:B528,B528))</f>
        <v/>
      </c>
    </row>
    <row r="529" spans="2:19" x14ac:dyDescent="0.2">
      <c r="B529" s="11"/>
      <c r="C529" s="11"/>
      <c r="D529" s="10" t="str">
        <f t="shared" si="96"/>
        <v/>
      </c>
      <c r="E529" s="15" t="str">
        <f t="shared" si="97"/>
        <v/>
      </c>
      <c r="F529" s="11"/>
      <c r="G529" s="16" t="str">
        <f t="shared" si="98"/>
        <v/>
      </c>
      <c r="H529" s="17"/>
      <c r="I529" s="16" t="str">
        <f t="shared" si="99"/>
        <v/>
      </c>
      <c r="J529" s="16" t="str">
        <f t="shared" si="100"/>
        <v/>
      </c>
      <c r="K529" s="18" t="str">
        <f t="shared" si="101"/>
        <v/>
      </c>
      <c r="L529" s="16" t="str">
        <f t="shared" si="102"/>
        <v/>
      </c>
      <c r="M529" s="16" t="str">
        <f t="shared" si="103"/>
        <v/>
      </c>
      <c r="N529" s="16" t="str">
        <f t="shared" si="104"/>
        <v/>
      </c>
      <c r="O529" s="16" t="str">
        <f t="shared" si="105"/>
        <v/>
      </c>
      <c r="P529" s="16" t="str">
        <f t="shared" si="106"/>
        <v/>
      </c>
      <c r="Q529" s="18" t="str">
        <f t="shared" si="107"/>
        <v/>
      </c>
      <c r="R529" s="19" t="str">
        <f>IF(C529="","",IF(ISNA(MATCH(B529,'Registru oferte'!$B$5:$B$504,0)),"Oferta nu există în registru",IF(N(F529)&lt;=0,"Lipsește cantitatea",IF(AND(ISNUMBER(Q529),Q529&lt;MarjaMin),"Marjă sub minim ("&amp;TEXT(Q529*100,"0")&amp;"%)",""))))</f>
        <v/>
      </c>
      <c r="S529" s="1" t="str">
        <f>IF(B529="","",B529&amp;"|"&amp;COUNTIF($B$5:B529,B529))</f>
        <v/>
      </c>
    </row>
    <row r="530" spans="2:19" x14ac:dyDescent="0.2">
      <c r="B530" s="11"/>
      <c r="C530" s="11"/>
      <c r="D530" s="10" t="str">
        <f t="shared" si="96"/>
        <v/>
      </c>
      <c r="E530" s="15" t="str">
        <f t="shared" si="97"/>
        <v/>
      </c>
      <c r="F530" s="11"/>
      <c r="G530" s="16" t="str">
        <f t="shared" si="98"/>
        <v/>
      </c>
      <c r="H530" s="17"/>
      <c r="I530" s="16" t="str">
        <f t="shared" si="99"/>
        <v/>
      </c>
      <c r="J530" s="16" t="str">
        <f t="shared" si="100"/>
        <v/>
      </c>
      <c r="K530" s="18" t="str">
        <f t="shared" si="101"/>
        <v/>
      </c>
      <c r="L530" s="16" t="str">
        <f t="shared" si="102"/>
        <v/>
      </c>
      <c r="M530" s="16" t="str">
        <f t="shared" si="103"/>
        <v/>
      </c>
      <c r="N530" s="16" t="str">
        <f t="shared" si="104"/>
        <v/>
      </c>
      <c r="O530" s="16" t="str">
        <f t="shared" si="105"/>
        <v/>
      </c>
      <c r="P530" s="16" t="str">
        <f t="shared" si="106"/>
        <v/>
      </c>
      <c r="Q530" s="18" t="str">
        <f t="shared" si="107"/>
        <v/>
      </c>
      <c r="R530" s="19" t="str">
        <f>IF(C530="","",IF(ISNA(MATCH(B530,'Registru oferte'!$B$5:$B$504,0)),"Oferta nu există în registru",IF(N(F530)&lt;=0,"Lipsește cantitatea",IF(AND(ISNUMBER(Q530),Q530&lt;MarjaMin),"Marjă sub minim ("&amp;TEXT(Q530*100,"0")&amp;"%)",""))))</f>
        <v/>
      </c>
      <c r="S530" s="1" t="str">
        <f>IF(B530="","",B530&amp;"|"&amp;COUNTIF($B$5:B530,B530))</f>
        <v/>
      </c>
    </row>
    <row r="531" spans="2:19" x14ac:dyDescent="0.2">
      <c r="B531" s="11"/>
      <c r="C531" s="11"/>
      <c r="D531" s="10" t="str">
        <f t="shared" si="96"/>
        <v/>
      </c>
      <c r="E531" s="15" t="str">
        <f t="shared" si="97"/>
        <v/>
      </c>
      <c r="F531" s="11"/>
      <c r="G531" s="16" t="str">
        <f t="shared" si="98"/>
        <v/>
      </c>
      <c r="H531" s="17"/>
      <c r="I531" s="16" t="str">
        <f t="shared" si="99"/>
        <v/>
      </c>
      <c r="J531" s="16" t="str">
        <f t="shared" si="100"/>
        <v/>
      </c>
      <c r="K531" s="18" t="str">
        <f t="shared" si="101"/>
        <v/>
      </c>
      <c r="L531" s="16" t="str">
        <f t="shared" si="102"/>
        <v/>
      </c>
      <c r="M531" s="16" t="str">
        <f t="shared" si="103"/>
        <v/>
      </c>
      <c r="N531" s="16" t="str">
        <f t="shared" si="104"/>
        <v/>
      </c>
      <c r="O531" s="16" t="str">
        <f t="shared" si="105"/>
        <v/>
      </c>
      <c r="P531" s="16" t="str">
        <f t="shared" si="106"/>
        <v/>
      </c>
      <c r="Q531" s="18" t="str">
        <f t="shared" si="107"/>
        <v/>
      </c>
      <c r="R531" s="19" t="str">
        <f>IF(C531="","",IF(ISNA(MATCH(B531,'Registru oferte'!$B$5:$B$504,0)),"Oferta nu există în registru",IF(N(F531)&lt;=0,"Lipsește cantitatea",IF(AND(ISNUMBER(Q531),Q531&lt;MarjaMin),"Marjă sub minim ("&amp;TEXT(Q531*100,"0")&amp;"%)",""))))</f>
        <v/>
      </c>
      <c r="S531" s="1" t="str">
        <f>IF(B531="","",B531&amp;"|"&amp;COUNTIF($B$5:B531,B531))</f>
        <v/>
      </c>
    </row>
    <row r="532" spans="2:19" x14ac:dyDescent="0.2">
      <c r="B532" s="11"/>
      <c r="C532" s="11"/>
      <c r="D532" s="10" t="str">
        <f t="shared" si="96"/>
        <v/>
      </c>
      <c r="E532" s="15" t="str">
        <f t="shared" si="97"/>
        <v/>
      </c>
      <c r="F532" s="11"/>
      <c r="G532" s="16" t="str">
        <f t="shared" si="98"/>
        <v/>
      </c>
      <c r="H532" s="17"/>
      <c r="I532" s="16" t="str">
        <f t="shared" si="99"/>
        <v/>
      </c>
      <c r="J532" s="16" t="str">
        <f t="shared" si="100"/>
        <v/>
      </c>
      <c r="K532" s="18" t="str">
        <f t="shared" si="101"/>
        <v/>
      </c>
      <c r="L532" s="16" t="str">
        <f t="shared" si="102"/>
        <v/>
      </c>
      <c r="M532" s="16" t="str">
        <f t="shared" si="103"/>
        <v/>
      </c>
      <c r="N532" s="16" t="str">
        <f t="shared" si="104"/>
        <v/>
      </c>
      <c r="O532" s="16" t="str">
        <f t="shared" si="105"/>
        <v/>
      </c>
      <c r="P532" s="16" t="str">
        <f t="shared" si="106"/>
        <v/>
      </c>
      <c r="Q532" s="18" t="str">
        <f t="shared" si="107"/>
        <v/>
      </c>
      <c r="R532" s="19" t="str">
        <f>IF(C532="","",IF(ISNA(MATCH(B532,'Registru oferte'!$B$5:$B$504,0)),"Oferta nu există în registru",IF(N(F532)&lt;=0,"Lipsește cantitatea",IF(AND(ISNUMBER(Q532),Q532&lt;MarjaMin),"Marjă sub minim ("&amp;TEXT(Q532*100,"0")&amp;"%)",""))))</f>
        <v/>
      </c>
      <c r="S532" s="1" t="str">
        <f>IF(B532="","",B532&amp;"|"&amp;COUNTIF($B$5:B532,B532))</f>
        <v/>
      </c>
    </row>
    <row r="533" spans="2:19" x14ac:dyDescent="0.2">
      <c r="B533" s="11"/>
      <c r="C533" s="11"/>
      <c r="D533" s="10" t="str">
        <f t="shared" si="96"/>
        <v/>
      </c>
      <c r="E533" s="15" t="str">
        <f t="shared" si="97"/>
        <v/>
      </c>
      <c r="F533" s="11"/>
      <c r="G533" s="16" t="str">
        <f t="shared" si="98"/>
        <v/>
      </c>
      <c r="H533" s="17"/>
      <c r="I533" s="16" t="str">
        <f t="shared" si="99"/>
        <v/>
      </c>
      <c r="J533" s="16" t="str">
        <f t="shared" si="100"/>
        <v/>
      </c>
      <c r="K533" s="18" t="str">
        <f t="shared" si="101"/>
        <v/>
      </c>
      <c r="L533" s="16" t="str">
        <f t="shared" si="102"/>
        <v/>
      </c>
      <c r="M533" s="16" t="str">
        <f t="shared" si="103"/>
        <v/>
      </c>
      <c r="N533" s="16" t="str">
        <f t="shared" si="104"/>
        <v/>
      </c>
      <c r="O533" s="16" t="str">
        <f t="shared" si="105"/>
        <v/>
      </c>
      <c r="P533" s="16" t="str">
        <f t="shared" si="106"/>
        <v/>
      </c>
      <c r="Q533" s="18" t="str">
        <f t="shared" si="107"/>
        <v/>
      </c>
      <c r="R533" s="19" t="str">
        <f>IF(C533="","",IF(ISNA(MATCH(B533,'Registru oferte'!$B$5:$B$504,0)),"Oferta nu există în registru",IF(N(F533)&lt;=0,"Lipsește cantitatea",IF(AND(ISNUMBER(Q533),Q533&lt;MarjaMin),"Marjă sub minim ("&amp;TEXT(Q533*100,"0")&amp;"%)",""))))</f>
        <v/>
      </c>
      <c r="S533" s="1" t="str">
        <f>IF(B533="","",B533&amp;"|"&amp;COUNTIF($B$5:B533,B533))</f>
        <v/>
      </c>
    </row>
    <row r="534" spans="2:19" x14ac:dyDescent="0.2">
      <c r="B534" s="11"/>
      <c r="C534" s="11"/>
      <c r="D534" s="10" t="str">
        <f t="shared" si="96"/>
        <v/>
      </c>
      <c r="E534" s="15" t="str">
        <f t="shared" si="97"/>
        <v/>
      </c>
      <c r="F534" s="11"/>
      <c r="G534" s="16" t="str">
        <f t="shared" si="98"/>
        <v/>
      </c>
      <c r="H534" s="17"/>
      <c r="I534" s="16" t="str">
        <f t="shared" si="99"/>
        <v/>
      </c>
      <c r="J534" s="16" t="str">
        <f t="shared" si="100"/>
        <v/>
      </c>
      <c r="K534" s="18" t="str">
        <f t="shared" si="101"/>
        <v/>
      </c>
      <c r="L534" s="16" t="str">
        <f t="shared" si="102"/>
        <v/>
      </c>
      <c r="M534" s="16" t="str">
        <f t="shared" si="103"/>
        <v/>
      </c>
      <c r="N534" s="16" t="str">
        <f t="shared" si="104"/>
        <v/>
      </c>
      <c r="O534" s="16" t="str">
        <f t="shared" si="105"/>
        <v/>
      </c>
      <c r="P534" s="16" t="str">
        <f t="shared" si="106"/>
        <v/>
      </c>
      <c r="Q534" s="18" t="str">
        <f t="shared" si="107"/>
        <v/>
      </c>
      <c r="R534" s="19" t="str">
        <f>IF(C534="","",IF(ISNA(MATCH(B534,'Registru oferte'!$B$5:$B$504,0)),"Oferta nu există în registru",IF(N(F534)&lt;=0,"Lipsește cantitatea",IF(AND(ISNUMBER(Q534),Q534&lt;MarjaMin),"Marjă sub minim ("&amp;TEXT(Q534*100,"0")&amp;"%)",""))))</f>
        <v/>
      </c>
      <c r="S534" s="1" t="str">
        <f>IF(B534="","",B534&amp;"|"&amp;COUNTIF($B$5:B534,B534))</f>
        <v/>
      </c>
    </row>
    <row r="535" spans="2:19" x14ac:dyDescent="0.2">
      <c r="B535" s="11"/>
      <c r="C535" s="11"/>
      <c r="D535" s="10" t="str">
        <f t="shared" si="96"/>
        <v/>
      </c>
      <c r="E535" s="15" t="str">
        <f t="shared" si="97"/>
        <v/>
      </c>
      <c r="F535" s="11"/>
      <c r="G535" s="16" t="str">
        <f t="shared" si="98"/>
        <v/>
      </c>
      <c r="H535" s="17"/>
      <c r="I535" s="16" t="str">
        <f t="shared" si="99"/>
        <v/>
      </c>
      <c r="J535" s="16" t="str">
        <f t="shared" si="100"/>
        <v/>
      </c>
      <c r="K535" s="18" t="str">
        <f t="shared" si="101"/>
        <v/>
      </c>
      <c r="L535" s="16" t="str">
        <f t="shared" si="102"/>
        <v/>
      </c>
      <c r="M535" s="16" t="str">
        <f t="shared" si="103"/>
        <v/>
      </c>
      <c r="N535" s="16" t="str">
        <f t="shared" si="104"/>
        <v/>
      </c>
      <c r="O535" s="16" t="str">
        <f t="shared" si="105"/>
        <v/>
      </c>
      <c r="P535" s="16" t="str">
        <f t="shared" si="106"/>
        <v/>
      </c>
      <c r="Q535" s="18" t="str">
        <f t="shared" si="107"/>
        <v/>
      </c>
      <c r="R535" s="19" t="str">
        <f>IF(C535="","",IF(ISNA(MATCH(B535,'Registru oferte'!$B$5:$B$504,0)),"Oferta nu există în registru",IF(N(F535)&lt;=0,"Lipsește cantitatea",IF(AND(ISNUMBER(Q535),Q535&lt;MarjaMin),"Marjă sub minim ("&amp;TEXT(Q535*100,"0")&amp;"%)",""))))</f>
        <v/>
      </c>
      <c r="S535" s="1" t="str">
        <f>IF(B535="","",B535&amp;"|"&amp;COUNTIF($B$5:B535,B535))</f>
        <v/>
      </c>
    </row>
    <row r="536" spans="2:19" x14ac:dyDescent="0.2">
      <c r="B536" s="11"/>
      <c r="C536" s="11"/>
      <c r="D536" s="10" t="str">
        <f t="shared" si="96"/>
        <v/>
      </c>
      <c r="E536" s="15" t="str">
        <f t="shared" si="97"/>
        <v/>
      </c>
      <c r="F536" s="11"/>
      <c r="G536" s="16" t="str">
        <f t="shared" si="98"/>
        <v/>
      </c>
      <c r="H536" s="17"/>
      <c r="I536" s="16" t="str">
        <f t="shared" si="99"/>
        <v/>
      </c>
      <c r="J536" s="16" t="str">
        <f t="shared" si="100"/>
        <v/>
      </c>
      <c r="K536" s="18" t="str">
        <f t="shared" si="101"/>
        <v/>
      </c>
      <c r="L536" s="16" t="str">
        <f t="shared" si="102"/>
        <v/>
      </c>
      <c r="M536" s="16" t="str">
        <f t="shared" si="103"/>
        <v/>
      </c>
      <c r="N536" s="16" t="str">
        <f t="shared" si="104"/>
        <v/>
      </c>
      <c r="O536" s="16" t="str">
        <f t="shared" si="105"/>
        <v/>
      </c>
      <c r="P536" s="16" t="str">
        <f t="shared" si="106"/>
        <v/>
      </c>
      <c r="Q536" s="18" t="str">
        <f t="shared" si="107"/>
        <v/>
      </c>
      <c r="R536" s="19" t="str">
        <f>IF(C536="","",IF(ISNA(MATCH(B536,'Registru oferte'!$B$5:$B$504,0)),"Oferta nu există în registru",IF(N(F536)&lt;=0,"Lipsește cantitatea",IF(AND(ISNUMBER(Q536),Q536&lt;MarjaMin),"Marjă sub minim ("&amp;TEXT(Q536*100,"0")&amp;"%)",""))))</f>
        <v/>
      </c>
      <c r="S536" s="1" t="str">
        <f>IF(B536="","",B536&amp;"|"&amp;COUNTIF($B$5:B536,B536))</f>
        <v/>
      </c>
    </row>
    <row r="537" spans="2:19" x14ac:dyDescent="0.2">
      <c r="B537" s="11"/>
      <c r="C537" s="11"/>
      <c r="D537" s="10" t="str">
        <f t="shared" si="96"/>
        <v/>
      </c>
      <c r="E537" s="15" t="str">
        <f t="shared" si="97"/>
        <v/>
      </c>
      <c r="F537" s="11"/>
      <c r="G537" s="16" t="str">
        <f t="shared" si="98"/>
        <v/>
      </c>
      <c r="H537" s="17"/>
      <c r="I537" s="16" t="str">
        <f t="shared" si="99"/>
        <v/>
      </c>
      <c r="J537" s="16" t="str">
        <f t="shared" si="100"/>
        <v/>
      </c>
      <c r="K537" s="18" t="str">
        <f t="shared" si="101"/>
        <v/>
      </c>
      <c r="L537" s="16" t="str">
        <f t="shared" si="102"/>
        <v/>
      </c>
      <c r="M537" s="16" t="str">
        <f t="shared" si="103"/>
        <v/>
      </c>
      <c r="N537" s="16" t="str">
        <f t="shared" si="104"/>
        <v/>
      </c>
      <c r="O537" s="16" t="str">
        <f t="shared" si="105"/>
        <v/>
      </c>
      <c r="P537" s="16" t="str">
        <f t="shared" si="106"/>
        <v/>
      </c>
      <c r="Q537" s="18" t="str">
        <f t="shared" si="107"/>
        <v/>
      </c>
      <c r="R537" s="19" t="str">
        <f>IF(C537="","",IF(ISNA(MATCH(B537,'Registru oferte'!$B$5:$B$504,0)),"Oferta nu există în registru",IF(N(F537)&lt;=0,"Lipsește cantitatea",IF(AND(ISNUMBER(Q537),Q537&lt;MarjaMin),"Marjă sub minim ("&amp;TEXT(Q537*100,"0")&amp;"%)",""))))</f>
        <v/>
      </c>
      <c r="S537" s="1" t="str">
        <f>IF(B537="","",B537&amp;"|"&amp;COUNTIF($B$5:B537,B537))</f>
        <v/>
      </c>
    </row>
    <row r="538" spans="2:19" x14ac:dyDescent="0.2">
      <c r="B538" s="11"/>
      <c r="C538" s="11"/>
      <c r="D538" s="10" t="str">
        <f t="shared" si="96"/>
        <v/>
      </c>
      <c r="E538" s="15" t="str">
        <f t="shared" si="97"/>
        <v/>
      </c>
      <c r="F538" s="11"/>
      <c r="G538" s="16" t="str">
        <f t="shared" si="98"/>
        <v/>
      </c>
      <c r="H538" s="17"/>
      <c r="I538" s="16" t="str">
        <f t="shared" si="99"/>
        <v/>
      </c>
      <c r="J538" s="16" t="str">
        <f t="shared" si="100"/>
        <v/>
      </c>
      <c r="K538" s="18" t="str">
        <f t="shared" si="101"/>
        <v/>
      </c>
      <c r="L538" s="16" t="str">
        <f t="shared" si="102"/>
        <v/>
      </c>
      <c r="M538" s="16" t="str">
        <f t="shared" si="103"/>
        <v/>
      </c>
      <c r="N538" s="16" t="str">
        <f t="shared" si="104"/>
        <v/>
      </c>
      <c r="O538" s="16" t="str">
        <f t="shared" si="105"/>
        <v/>
      </c>
      <c r="P538" s="16" t="str">
        <f t="shared" si="106"/>
        <v/>
      </c>
      <c r="Q538" s="18" t="str">
        <f t="shared" si="107"/>
        <v/>
      </c>
      <c r="R538" s="19" t="str">
        <f>IF(C538="","",IF(ISNA(MATCH(B538,'Registru oferte'!$B$5:$B$504,0)),"Oferta nu există în registru",IF(N(F538)&lt;=0,"Lipsește cantitatea",IF(AND(ISNUMBER(Q538),Q538&lt;MarjaMin),"Marjă sub minim ("&amp;TEXT(Q538*100,"0")&amp;"%)",""))))</f>
        <v/>
      </c>
      <c r="S538" s="1" t="str">
        <f>IF(B538="","",B538&amp;"|"&amp;COUNTIF($B$5:B538,B538))</f>
        <v/>
      </c>
    </row>
    <row r="539" spans="2:19" x14ac:dyDescent="0.2">
      <c r="B539" s="11"/>
      <c r="C539" s="11"/>
      <c r="D539" s="10" t="str">
        <f t="shared" si="96"/>
        <v/>
      </c>
      <c r="E539" s="15" t="str">
        <f t="shared" si="97"/>
        <v/>
      </c>
      <c r="F539" s="11"/>
      <c r="G539" s="16" t="str">
        <f t="shared" si="98"/>
        <v/>
      </c>
      <c r="H539" s="17"/>
      <c r="I539" s="16" t="str">
        <f t="shared" si="99"/>
        <v/>
      </c>
      <c r="J539" s="16" t="str">
        <f t="shared" si="100"/>
        <v/>
      </c>
      <c r="K539" s="18" t="str">
        <f t="shared" si="101"/>
        <v/>
      </c>
      <c r="L539" s="16" t="str">
        <f t="shared" si="102"/>
        <v/>
      </c>
      <c r="M539" s="16" t="str">
        <f t="shared" si="103"/>
        <v/>
      </c>
      <c r="N539" s="16" t="str">
        <f t="shared" si="104"/>
        <v/>
      </c>
      <c r="O539" s="16" t="str">
        <f t="shared" si="105"/>
        <v/>
      </c>
      <c r="P539" s="16" t="str">
        <f t="shared" si="106"/>
        <v/>
      </c>
      <c r="Q539" s="18" t="str">
        <f t="shared" si="107"/>
        <v/>
      </c>
      <c r="R539" s="19" t="str">
        <f>IF(C539="","",IF(ISNA(MATCH(B539,'Registru oferte'!$B$5:$B$504,0)),"Oferta nu există în registru",IF(N(F539)&lt;=0,"Lipsește cantitatea",IF(AND(ISNUMBER(Q539),Q539&lt;MarjaMin),"Marjă sub minim ("&amp;TEXT(Q539*100,"0")&amp;"%)",""))))</f>
        <v/>
      </c>
      <c r="S539" s="1" t="str">
        <f>IF(B539="","",B539&amp;"|"&amp;COUNTIF($B$5:B539,B539))</f>
        <v/>
      </c>
    </row>
    <row r="540" spans="2:19" x14ac:dyDescent="0.2">
      <c r="B540" s="11"/>
      <c r="C540" s="11"/>
      <c r="D540" s="10" t="str">
        <f t="shared" si="96"/>
        <v/>
      </c>
      <c r="E540" s="15" t="str">
        <f t="shared" si="97"/>
        <v/>
      </c>
      <c r="F540" s="11"/>
      <c r="G540" s="16" t="str">
        <f t="shared" si="98"/>
        <v/>
      </c>
      <c r="H540" s="17"/>
      <c r="I540" s="16" t="str">
        <f t="shared" si="99"/>
        <v/>
      </c>
      <c r="J540" s="16" t="str">
        <f t="shared" si="100"/>
        <v/>
      </c>
      <c r="K540" s="18" t="str">
        <f t="shared" si="101"/>
        <v/>
      </c>
      <c r="L540" s="16" t="str">
        <f t="shared" si="102"/>
        <v/>
      </c>
      <c r="M540" s="16" t="str">
        <f t="shared" si="103"/>
        <v/>
      </c>
      <c r="N540" s="16" t="str">
        <f t="shared" si="104"/>
        <v/>
      </c>
      <c r="O540" s="16" t="str">
        <f t="shared" si="105"/>
        <v/>
      </c>
      <c r="P540" s="16" t="str">
        <f t="shared" si="106"/>
        <v/>
      </c>
      <c r="Q540" s="18" t="str">
        <f t="shared" si="107"/>
        <v/>
      </c>
      <c r="R540" s="19" t="str">
        <f>IF(C540="","",IF(ISNA(MATCH(B540,'Registru oferte'!$B$5:$B$504,0)),"Oferta nu există în registru",IF(N(F540)&lt;=0,"Lipsește cantitatea",IF(AND(ISNUMBER(Q540),Q540&lt;MarjaMin),"Marjă sub minim ("&amp;TEXT(Q540*100,"0")&amp;"%)",""))))</f>
        <v/>
      </c>
      <c r="S540" s="1" t="str">
        <f>IF(B540="","",B540&amp;"|"&amp;COUNTIF($B$5:B540,B540))</f>
        <v/>
      </c>
    </row>
    <row r="541" spans="2:19" x14ac:dyDescent="0.2">
      <c r="B541" s="11"/>
      <c r="C541" s="11"/>
      <c r="D541" s="10" t="str">
        <f t="shared" si="96"/>
        <v/>
      </c>
      <c r="E541" s="15" t="str">
        <f t="shared" si="97"/>
        <v/>
      </c>
      <c r="F541" s="11"/>
      <c r="G541" s="16" t="str">
        <f t="shared" si="98"/>
        <v/>
      </c>
      <c r="H541" s="17"/>
      <c r="I541" s="16" t="str">
        <f t="shared" si="99"/>
        <v/>
      </c>
      <c r="J541" s="16" t="str">
        <f t="shared" si="100"/>
        <v/>
      </c>
      <c r="K541" s="18" t="str">
        <f t="shared" si="101"/>
        <v/>
      </c>
      <c r="L541" s="16" t="str">
        <f t="shared" si="102"/>
        <v/>
      </c>
      <c r="M541" s="16" t="str">
        <f t="shared" si="103"/>
        <v/>
      </c>
      <c r="N541" s="16" t="str">
        <f t="shared" si="104"/>
        <v/>
      </c>
      <c r="O541" s="16" t="str">
        <f t="shared" si="105"/>
        <v/>
      </c>
      <c r="P541" s="16" t="str">
        <f t="shared" si="106"/>
        <v/>
      </c>
      <c r="Q541" s="18" t="str">
        <f t="shared" si="107"/>
        <v/>
      </c>
      <c r="R541" s="19" t="str">
        <f>IF(C541="","",IF(ISNA(MATCH(B541,'Registru oferte'!$B$5:$B$504,0)),"Oferta nu există în registru",IF(N(F541)&lt;=0,"Lipsește cantitatea",IF(AND(ISNUMBER(Q541),Q541&lt;MarjaMin),"Marjă sub minim ("&amp;TEXT(Q541*100,"0")&amp;"%)",""))))</f>
        <v/>
      </c>
      <c r="S541" s="1" t="str">
        <f>IF(B541="","",B541&amp;"|"&amp;COUNTIF($B$5:B541,B541))</f>
        <v/>
      </c>
    </row>
    <row r="542" spans="2:19" x14ac:dyDescent="0.2">
      <c r="B542" s="11"/>
      <c r="C542" s="11"/>
      <c r="D542" s="10" t="str">
        <f t="shared" si="96"/>
        <v/>
      </c>
      <c r="E542" s="15" t="str">
        <f t="shared" si="97"/>
        <v/>
      </c>
      <c r="F542" s="11"/>
      <c r="G542" s="16" t="str">
        <f t="shared" si="98"/>
        <v/>
      </c>
      <c r="H542" s="17"/>
      <c r="I542" s="16" t="str">
        <f t="shared" si="99"/>
        <v/>
      </c>
      <c r="J542" s="16" t="str">
        <f t="shared" si="100"/>
        <v/>
      </c>
      <c r="K542" s="18" t="str">
        <f t="shared" si="101"/>
        <v/>
      </c>
      <c r="L542" s="16" t="str">
        <f t="shared" si="102"/>
        <v/>
      </c>
      <c r="M542" s="16" t="str">
        <f t="shared" si="103"/>
        <v/>
      </c>
      <c r="N542" s="16" t="str">
        <f t="shared" si="104"/>
        <v/>
      </c>
      <c r="O542" s="16" t="str">
        <f t="shared" si="105"/>
        <v/>
      </c>
      <c r="P542" s="16" t="str">
        <f t="shared" si="106"/>
        <v/>
      </c>
      <c r="Q542" s="18" t="str">
        <f t="shared" si="107"/>
        <v/>
      </c>
      <c r="R542" s="19" t="str">
        <f>IF(C542="","",IF(ISNA(MATCH(B542,'Registru oferte'!$B$5:$B$504,0)),"Oferta nu există în registru",IF(N(F542)&lt;=0,"Lipsește cantitatea",IF(AND(ISNUMBER(Q542),Q542&lt;MarjaMin),"Marjă sub minim ("&amp;TEXT(Q542*100,"0")&amp;"%)",""))))</f>
        <v/>
      </c>
      <c r="S542" s="1" t="str">
        <f>IF(B542="","",B542&amp;"|"&amp;COUNTIF($B$5:B542,B542))</f>
        <v/>
      </c>
    </row>
    <row r="543" spans="2:19" x14ac:dyDescent="0.2">
      <c r="B543" s="11"/>
      <c r="C543" s="11"/>
      <c r="D543" s="10" t="str">
        <f t="shared" si="96"/>
        <v/>
      </c>
      <c r="E543" s="15" t="str">
        <f t="shared" si="97"/>
        <v/>
      </c>
      <c r="F543" s="11"/>
      <c r="G543" s="16" t="str">
        <f t="shared" si="98"/>
        <v/>
      </c>
      <c r="H543" s="17"/>
      <c r="I543" s="16" t="str">
        <f t="shared" si="99"/>
        <v/>
      </c>
      <c r="J543" s="16" t="str">
        <f t="shared" si="100"/>
        <v/>
      </c>
      <c r="K543" s="18" t="str">
        <f t="shared" si="101"/>
        <v/>
      </c>
      <c r="L543" s="16" t="str">
        <f t="shared" si="102"/>
        <v/>
      </c>
      <c r="M543" s="16" t="str">
        <f t="shared" si="103"/>
        <v/>
      </c>
      <c r="N543" s="16" t="str">
        <f t="shared" si="104"/>
        <v/>
      </c>
      <c r="O543" s="16" t="str">
        <f t="shared" si="105"/>
        <v/>
      </c>
      <c r="P543" s="16" t="str">
        <f t="shared" si="106"/>
        <v/>
      </c>
      <c r="Q543" s="18" t="str">
        <f t="shared" si="107"/>
        <v/>
      </c>
      <c r="R543" s="19" t="str">
        <f>IF(C543="","",IF(ISNA(MATCH(B543,'Registru oferte'!$B$5:$B$504,0)),"Oferta nu există în registru",IF(N(F543)&lt;=0,"Lipsește cantitatea",IF(AND(ISNUMBER(Q543),Q543&lt;MarjaMin),"Marjă sub minim ("&amp;TEXT(Q543*100,"0")&amp;"%)",""))))</f>
        <v/>
      </c>
      <c r="S543" s="1" t="str">
        <f>IF(B543="","",B543&amp;"|"&amp;COUNTIF($B$5:B543,B543))</f>
        <v/>
      </c>
    </row>
    <row r="544" spans="2:19" x14ac:dyDescent="0.2">
      <c r="B544" s="11"/>
      <c r="C544" s="11"/>
      <c r="D544" s="10" t="str">
        <f t="shared" si="96"/>
        <v/>
      </c>
      <c r="E544" s="15" t="str">
        <f t="shared" si="97"/>
        <v/>
      </c>
      <c r="F544" s="11"/>
      <c r="G544" s="16" t="str">
        <f t="shared" si="98"/>
        <v/>
      </c>
      <c r="H544" s="17"/>
      <c r="I544" s="16" t="str">
        <f t="shared" si="99"/>
        <v/>
      </c>
      <c r="J544" s="16" t="str">
        <f t="shared" si="100"/>
        <v/>
      </c>
      <c r="K544" s="18" t="str">
        <f t="shared" si="101"/>
        <v/>
      </c>
      <c r="L544" s="16" t="str">
        <f t="shared" si="102"/>
        <v/>
      </c>
      <c r="M544" s="16" t="str">
        <f t="shared" si="103"/>
        <v/>
      </c>
      <c r="N544" s="16" t="str">
        <f t="shared" si="104"/>
        <v/>
      </c>
      <c r="O544" s="16" t="str">
        <f t="shared" si="105"/>
        <v/>
      </c>
      <c r="P544" s="16" t="str">
        <f t="shared" si="106"/>
        <v/>
      </c>
      <c r="Q544" s="18" t="str">
        <f t="shared" si="107"/>
        <v/>
      </c>
      <c r="R544" s="19" t="str">
        <f>IF(C544="","",IF(ISNA(MATCH(B544,'Registru oferte'!$B$5:$B$504,0)),"Oferta nu există în registru",IF(N(F544)&lt;=0,"Lipsește cantitatea",IF(AND(ISNUMBER(Q544),Q544&lt;MarjaMin),"Marjă sub minim ("&amp;TEXT(Q544*100,"0")&amp;"%)",""))))</f>
        <v/>
      </c>
      <c r="S544" s="1" t="str">
        <f>IF(B544="","",B544&amp;"|"&amp;COUNTIF($B$5:B544,B544))</f>
        <v/>
      </c>
    </row>
    <row r="545" spans="2:19" x14ac:dyDescent="0.2">
      <c r="B545" s="11"/>
      <c r="C545" s="11"/>
      <c r="D545" s="10" t="str">
        <f t="shared" si="96"/>
        <v/>
      </c>
      <c r="E545" s="15" t="str">
        <f t="shared" si="97"/>
        <v/>
      </c>
      <c r="F545" s="11"/>
      <c r="G545" s="16" t="str">
        <f t="shared" si="98"/>
        <v/>
      </c>
      <c r="H545" s="17"/>
      <c r="I545" s="16" t="str">
        <f t="shared" si="99"/>
        <v/>
      </c>
      <c r="J545" s="16" t="str">
        <f t="shared" si="100"/>
        <v/>
      </c>
      <c r="K545" s="18" t="str">
        <f t="shared" si="101"/>
        <v/>
      </c>
      <c r="L545" s="16" t="str">
        <f t="shared" si="102"/>
        <v/>
      </c>
      <c r="M545" s="16" t="str">
        <f t="shared" si="103"/>
        <v/>
      </c>
      <c r="N545" s="16" t="str">
        <f t="shared" si="104"/>
        <v/>
      </c>
      <c r="O545" s="16" t="str">
        <f t="shared" si="105"/>
        <v/>
      </c>
      <c r="P545" s="16" t="str">
        <f t="shared" si="106"/>
        <v/>
      </c>
      <c r="Q545" s="18" t="str">
        <f t="shared" si="107"/>
        <v/>
      </c>
      <c r="R545" s="19" t="str">
        <f>IF(C545="","",IF(ISNA(MATCH(B545,'Registru oferte'!$B$5:$B$504,0)),"Oferta nu există în registru",IF(N(F545)&lt;=0,"Lipsește cantitatea",IF(AND(ISNUMBER(Q545),Q545&lt;MarjaMin),"Marjă sub minim ("&amp;TEXT(Q545*100,"0")&amp;"%)",""))))</f>
        <v/>
      </c>
      <c r="S545" s="1" t="str">
        <f>IF(B545="","",B545&amp;"|"&amp;COUNTIF($B$5:B545,B545))</f>
        <v/>
      </c>
    </row>
    <row r="546" spans="2:19" x14ac:dyDescent="0.2">
      <c r="B546" s="11"/>
      <c r="C546" s="11"/>
      <c r="D546" s="10" t="str">
        <f t="shared" si="96"/>
        <v/>
      </c>
      <c r="E546" s="15" t="str">
        <f t="shared" si="97"/>
        <v/>
      </c>
      <c r="F546" s="11"/>
      <c r="G546" s="16" t="str">
        <f t="shared" si="98"/>
        <v/>
      </c>
      <c r="H546" s="17"/>
      <c r="I546" s="16" t="str">
        <f t="shared" si="99"/>
        <v/>
      </c>
      <c r="J546" s="16" t="str">
        <f t="shared" si="100"/>
        <v/>
      </c>
      <c r="K546" s="18" t="str">
        <f t="shared" si="101"/>
        <v/>
      </c>
      <c r="L546" s="16" t="str">
        <f t="shared" si="102"/>
        <v/>
      </c>
      <c r="M546" s="16" t="str">
        <f t="shared" si="103"/>
        <v/>
      </c>
      <c r="N546" s="16" t="str">
        <f t="shared" si="104"/>
        <v/>
      </c>
      <c r="O546" s="16" t="str">
        <f t="shared" si="105"/>
        <v/>
      </c>
      <c r="P546" s="16" t="str">
        <f t="shared" si="106"/>
        <v/>
      </c>
      <c r="Q546" s="18" t="str">
        <f t="shared" si="107"/>
        <v/>
      </c>
      <c r="R546" s="19" t="str">
        <f>IF(C546="","",IF(ISNA(MATCH(B546,'Registru oferte'!$B$5:$B$504,0)),"Oferta nu există în registru",IF(N(F546)&lt;=0,"Lipsește cantitatea",IF(AND(ISNUMBER(Q546),Q546&lt;MarjaMin),"Marjă sub minim ("&amp;TEXT(Q546*100,"0")&amp;"%)",""))))</f>
        <v/>
      </c>
      <c r="S546" s="1" t="str">
        <f>IF(B546="","",B546&amp;"|"&amp;COUNTIF($B$5:B546,B546))</f>
        <v/>
      </c>
    </row>
    <row r="547" spans="2:19" x14ac:dyDescent="0.2">
      <c r="B547" s="11"/>
      <c r="C547" s="11"/>
      <c r="D547" s="10" t="str">
        <f t="shared" si="96"/>
        <v/>
      </c>
      <c r="E547" s="15" t="str">
        <f t="shared" si="97"/>
        <v/>
      </c>
      <c r="F547" s="11"/>
      <c r="G547" s="16" t="str">
        <f t="shared" si="98"/>
        <v/>
      </c>
      <c r="H547" s="17"/>
      <c r="I547" s="16" t="str">
        <f t="shared" si="99"/>
        <v/>
      </c>
      <c r="J547" s="16" t="str">
        <f t="shared" si="100"/>
        <v/>
      </c>
      <c r="K547" s="18" t="str">
        <f t="shared" si="101"/>
        <v/>
      </c>
      <c r="L547" s="16" t="str">
        <f t="shared" si="102"/>
        <v/>
      </c>
      <c r="M547" s="16" t="str">
        <f t="shared" si="103"/>
        <v/>
      </c>
      <c r="N547" s="16" t="str">
        <f t="shared" si="104"/>
        <v/>
      </c>
      <c r="O547" s="16" t="str">
        <f t="shared" si="105"/>
        <v/>
      </c>
      <c r="P547" s="16" t="str">
        <f t="shared" si="106"/>
        <v/>
      </c>
      <c r="Q547" s="18" t="str">
        <f t="shared" si="107"/>
        <v/>
      </c>
      <c r="R547" s="19" t="str">
        <f>IF(C547="","",IF(ISNA(MATCH(B547,'Registru oferte'!$B$5:$B$504,0)),"Oferta nu există în registru",IF(N(F547)&lt;=0,"Lipsește cantitatea",IF(AND(ISNUMBER(Q547),Q547&lt;MarjaMin),"Marjă sub minim ("&amp;TEXT(Q547*100,"0")&amp;"%)",""))))</f>
        <v/>
      </c>
      <c r="S547" s="1" t="str">
        <f>IF(B547="","",B547&amp;"|"&amp;COUNTIF($B$5:B547,B547))</f>
        <v/>
      </c>
    </row>
    <row r="548" spans="2:19" x14ac:dyDescent="0.2">
      <c r="B548" s="11"/>
      <c r="C548" s="11"/>
      <c r="D548" s="10" t="str">
        <f t="shared" si="96"/>
        <v/>
      </c>
      <c r="E548" s="15" t="str">
        <f t="shared" si="97"/>
        <v/>
      </c>
      <c r="F548" s="11"/>
      <c r="G548" s="16" t="str">
        <f t="shared" si="98"/>
        <v/>
      </c>
      <c r="H548" s="17"/>
      <c r="I548" s="16" t="str">
        <f t="shared" si="99"/>
        <v/>
      </c>
      <c r="J548" s="16" t="str">
        <f t="shared" si="100"/>
        <v/>
      </c>
      <c r="K548" s="18" t="str">
        <f t="shared" si="101"/>
        <v/>
      </c>
      <c r="L548" s="16" t="str">
        <f t="shared" si="102"/>
        <v/>
      </c>
      <c r="M548" s="16" t="str">
        <f t="shared" si="103"/>
        <v/>
      </c>
      <c r="N548" s="16" t="str">
        <f t="shared" si="104"/>
        <v/>
      </c>
      <c r="O548" s="16" t="str">
        <f t="shared" si="105"/>
        <v/>
      </c>
      <c r="P548" s="16" t="str">
        <f t="shared" si="106"/>
        <v/>
      </c>
      <c r="Q548" s="18" t="str">
        <f t="shared" si="107"/>
        <v/>
      </c>
      <c r="R548" s="19" t="str">
        <f>IF(C548="","",IF(ISNA(MATCH(B548,'Registru oferte'!$B$5:$B$504,0)),"Oferta nu există în registru",IF(N(F548)&lt;=0,"Lipsește cantitatea",IF(AND(ISNUMBER(Q548),Q548&lt;MarjaMin),"Marjă sub minim ("&amp;TEXT(Q548*100,"0")&amp;"%)",""))))</f>
        <v/>
      </c>
      <c r="S548" s="1" t="str">
        <f>IF(B548="","",B548&amp;"|"&amp;COUNTIF($B$5:B548,B548))</f>
        <v/>
      </c>
    </row>
    <row r="549" spans="2:19" x14ac:dyDescent="0.2">
      <c r="B549" s="11"/>
      <c r="C549" s="11"/>
      <c r="D549" s="10" t="str">
        <f t="shared" si="96"/>
        <v/>
      </c>
      <c r="E549" s="15" t="str">
        <f t="shared" si="97"/>
        <v/>
      </c>
      <c r="F549" s="11"/>
      <c r="G549" s="16" t="str">
        <f t="shared" si="98"/>
        <v/>
      </c>
      <c r="H549" s="17"/>
      <c r="I549" s="16" t="str">
        <f t="shared" si="99"/>
        <v/>
      </c>
      <c r="J549" s="16" t="str">
        <f t="shared" si="100"/>
        <v/>
      </c>
      <c r="K549" s="18" t="str">
        <f t="shared" si="101"/>
        <v/>
      </c>
      <c r="L549" s="16" t="str">
        <f t="shared" si="102"/>
        <v/>
      </c>
      <c r="M549" s="16" t="str">
        <f t="shared" si="103"/>
        <v/>
      </c>
      <c r="N549" s="16" t="str">
        <f t="shared" si="104"/>
        <v/>
      </c>
      <c r="O549" s="16" t="str">
        <f t="shared" si="105"/>
        <v/>
      </c>
      <c r="P549" s="16" t="str">
        <f t="shared" si="106"/>
        <v/>
      </c>
      <c r="Q549" s="18" t="str">
        <f t="shared" si="107"/>
        <v/>
      </c>
      <c r="R549" s="19" t="str">
        <f>IF(C549="","",IF(ISNA(MATCH(B549,'Registru oferte'!$B$5:$B$504,0)),"Oferta nu există în registru",IF(N(F549)&lt;=0,"Lipsește cantitatea",IF(AND(ISNUMBER(Q549),Q549&lt;MarjaMin),"Marjă sub minim ("&amp;TEXT(Q549*100,"0")&amp;"%)",""))))</f>
        <v/>
      </c>
      <c r="S549" s="1" t="str">
        <f>IF(B549="","",B549&amp;"|"&amp;COUNTIF($B$5:B549,B549))</f>
        <v/>
      </c>
    </row>
    <row r="550" spans="2:19" x14ac:dyDescent="0.2">
      <c r="B550" s="11"/>
      <c r="C550" s="11"/>
      <c r="D550" s="10" t="str">
        <f t="shared" si="96"/>
        <v/>
      </c>
      <c r="E550" s="15" t="str">
        <f t="shared" si="97"/>
        <v/>
      </c>
      <c r="F550" s="11"/>
      <c r="G550" s="16" t="str">
        <f t="shared" si="98"/>
        <v/>
      </c>
      <c r="H550" s="17"/>
      <c r="I550" s="16" t="str">
        <f t="shared" si="99"/>
        <v/>
      </c>
      <c r="J550" s="16" t="str">
        <f t="shared" si="100"/>
        <v/>
      </c>
      <c r="K550" s="18" t="str">
        <f t="shared" si="101"/>
        <v/>
      </c>
      <c r="L550" s="16" t="str">
        <f t="shared" si="102"/>
        <v/>
      </c>
      <c r="M550" s="16" t="str">
        <f t="shared" si="103"/>
        <v/>
      </c>
      <c r="N550" s="16" t="str">
        <f t="shared" si="104"/>
        <v/>
      </c>
      <c r="O550" s="16" t="str">
        <f t="shared" si="105"/>
        <v/>
      </c>
      <c r="P550" s="16" t="str">
        <f t="shared" si="106"/>
        <v/>
      </c>
      <c r="Q550" s="18" t="str">
        <f t="shared" si="107"/>
        <v/>
      </c>
      <c r="R550" s="19" t="str">
        <f>IF(C550="","",IF(ISNA(MATCH(B550,'Registru oferte'!$B$5:$B$504,0)),"Oferta nu există în registru",IF(N(F550)&lt;=0,"Lipsește cantitatea",IF(AND(ISNUMBER(Q550),Q550&lt;MarjaMin),"Marjă sub minim ("&amp;TEXT(Q550*100,"0")&amp;"%)",""))))</f>
        <v/>
      </c>
      <c r="S550" s="1" t="str">
        <f>IF(B550="","",B550&amp;"|"&amp;COUNTIF($B$5:B550,B550))</f>
        <v/>
      </c>
    </row>
    <row r="551" spans="2:19" x14ac:dyDescent="0.2">
      <c r="B551" s="11"/>
      <c r="C551" s="11"/>
      <c r="D551" s="10" t="str">
        <f t="shared" si="96"/>
        <v/>
      </c>
      <c r="E551" s="15" t="str">
        <f t="shared" si="97"/>
        <v/>
      </c>
      <c r="F551" s="11"/>
      <c r="G551" s="16" t="str">
        <f t="shared" si="98"/>
        <v/>
      </c>
      <c r="H551" s="17"/>
      <c r="I551" s="16" t="str">
        <f t="shared" si="99"/>
        <v/>
      </c>
      <c r="J551" s="16" t="str">
        <f t="shared" si="100"/>
        <v/>
      </c>
      <c r="K551" s="18" t="str">
        <f t="shared" si="101"/>
        <v/>
      </c>
      <c r="L551" s="16" t="str">
        <f t="shared" si="102"/>
        <v/>
      </c>
      <c r="M551" s="16" t="str">
        <f t="shared" si="103"/>
        <v/>
      </c>
      <c r="N551" s="16" t="str">
        <f t="shared" si="104"/>
        <v/>
      </c>
      <c r="O551" s="16" t="str">
        <f t="shared" si="105"/>
        <v/>
      </c>
      <c r="P551" s="16" t="str">
        <f t="shared" si="106"/>
        <v/>
      </c>
      <c r="Q551" s="18" t="str">
        <f t="shared" si="107"/>
        <v/>
      </c>
      <c r="R551" s="19" t="str">
        <f>IF(C551="","",IF(ISNA(MATCH(B551,'Registru oferte'!$B$5:$B$504,0)),"Oferta nu există în registru",IF(N(F551)&lt;=0,"Lipsește cantitatea",IF(AND(ISNUMBER(Q551),Q551&lt;MarjaMin),"Marjă sub minim ("&amp;TEXT(Q551*100,"0")&amp;"%)",""))))</f>
        <v/>
      </c>
      <c r="S551" s="1" t="str">
        <f>IF(B551="","",B551&amp;"|"&amp;COUNTIF($B$5:B551,B551))</f>
        <v/>
      </c>
    </row>
    <row r="552" spans="2:19" x14ac:dyDescent="0.2">
      <c r="B552" s="11"/>
      <c r="C552" s="11"/>
      <c r="D552" s="10" t="str">
        <f t="shared" si="96"/>
        <v/>
      </c>
      <c r="E552" s="15" t="str">
        <f t="shared" si="97"/>
        <v/>
      </c>
      <c r="F552" s="11"/>
      <c r="G552" s="16" t="str">
        <f t="shared" si="98"/>
        <v/>
      </c>
      <c r="H552" s="17"/>
      <c r="I552" s="16" t="str">
        <f t="shared" si="99"/>
        <v/>
      </c>
      <c r="J552" s="16" t="str">
        <f t="shared" si="100"/>
        <v/>
      </c>
      <c r="K552" s="18" t="str">
        <f t="shared" si="101"/>
        <v/>
      </c>
      <c r="L552" s="16" t="str">
        <f t="shared" si="102"/>
        <v/>
      </c>
      <c r="M552" s="16" t="str">
        <f t="shared" si="103"/>
        <v/>
      </c>
      <c r="N552" s="16" t="str">
        <f t="shared" si="104"/>
        <v/>
      </c>
      <c r="O552" s="16" t="str">
        <f t="shared" si="105"/>
        <v/>
      </c>
      <c r="P552" s="16" t="str">
        <f t="shared" si="106"/>
        <v/>
      </c>
      <c r="Q552" s="18" t="str">
        <f t="shared" si="107"/>
        <v/>
      </c>
      <c r="R552" s="19" t="str">
        <f>IF(C552="","",IF(ISNA(MATCH(B552,'Registru oferte'!$B$5:$B$504,0)),"Oferta nu există în registru",IF(N(F552)&lt;=0,"Lipsește cantitatea",IF(AND(ISNUMBER(Q552),Q552&lt;MarjaMin),"Marjă sub minim ("&amp;TEXT(Q552*100,"0")&amp;"%)",""))))</f>
        <v/>
      </c>
      <c r="S552" s="1" t="str">
        <f>IF(B552="","",B552&amp;"|"&amp;COUNTIF($B$5:B552,B552))</f>
        <v/>
      </c>
    </row>
    <row r="553" spans="2:19" x14ac:dyDescent="0.2">
      <c r="B553" s="11"/>
      <c r="C553" s="11"/>
      <c r="D553" s="10" t="str">
        <f t="shared" si="96"/>
        <v/>
      </c>
      <c r="E553" s="15" t="str">
        <f t="shared" si="97"/>
        <v/>
      </c>
      <c r="F553" s="11"/>
      <c r="G553" s="16" t="str">
        <f t="shared" si="98"/>
        <v/>
      </c>
      <c r="H553" s="17"/>
      <c r="I553" s="16" t="str">
        <f t="shared" si="99"/>
        <v/>
      </c>
      <c r="J553" s="16" t="str">
        <f t="shared" si="100"/>
        <v/>
      </c>
      <c r="K553" s="18" t="str">
        <f t="shared" si="101"/>
        <v/>
      </c>
      <c r="L553" s="16" t="str">
        <f t="shared" si="102"/>
        <v/>
      </c>
      <c r="M553" s="16" t="str">
        <f t="shared" si="103"/>
        <v/>
      </c>
      <c r="N553" s="16" t="str">
        <f t="shared" si="104"/>
        <v/>
      </c>
      <c r="O553" s="16" t="str">
        <f t="shared" si="105"/>
        <v/>
      </c>
      <c r="P553" s="16" t="str">
        <f t="shared" si="106"/>
        <v/>
      </c>
      <c r="Q553" s="18" t="str">
        <f t="shared" si="107"/>
        <v/>
      </c>
      <c r="R553" s="19" t="str">
        <f>IF(C553="","",IF(ISNA(MATCH(B553,'Registru oferte'!$B$5:$B$504,0)),"Oferta nu există în registru",IF(N(F553)&lt;=0,"Lipsește cantitatea",IF(AND(ISNUMBER(Q553),Q553&lt;MarjaMin),"Marjă sub minim ("&amp;TEXT(Q553*100,"0")&amp;"%)",""))))</f>
        <v/>
      </c>
      <c r="S553" s="1" t="str">
        <f>IF(B553="","",B553&amp;"|"&amp;COUNTIF($B$5:B553,B553))</f>
        <v/>
      </c>
    </row>
    <row r="554" spans="2:19" x14ac:dyDescent="0.2">
      <c r="B554" s="11"/>
      <c r="C554" s="11"/>
      <c r="D554" s="10" t="str">
        <f t="shared" si="96"/>
        <v/>
      </c>
      <c r="E554" s="15" t="str">
        <f t="shared" si="97"/>
        <v/>
      </c>
      <c r="F554" s="11"/>
      <c r="G554" s="16" t="str">
        <f t="shared" si="98"/>
        <v/>
      </c>
      <c r="H554" s="17"/>
      <c r="I554" s="16" t="str">
        <f t="shared" si="99"/>
        <v/>
      </c>
      <c r="J554" s="16" t="str">
        <f t="shared" si="100"/>
        <v/>
      </c>
      <c r="K554" s="18" t="str">
        <f t="shared" si="101"/>
        <v/>
      </c>
      <c r="L554" s="16" t="str">
        <f t="shared" si="102"/>
        <v/>
      </c>
      <c r="M554" s="16" t="str">
        <f t="shared" si="103"/>
        <v/>
      </c>
      <c r="N554" s="16" t="str">
        <f t="shared" si="104"/>
        <v/>
      </c>
      <c r="O554" s="16" t="str">
        <f t="shared" si="105"/>
        <v/>
      </c>
      <c r="P554" s="16" t="str">
        <f t="shared" si="106"/>
        <v/>
      </c>
      <c r="Q554" s="18" t="str">
        <f t="shared" si="107"/>
        <v/>
      </c>
      <c r="R554" s="19" t="str">
        <f>IF(C554="","",IF(ISNA(MATCH(B554,'Registru oferte'!$B$5:$B$504,0)),"Oferta nu există în registru",IF(N(F554)&lt;=0,"Lipsește cantitatea",IF(AND(ISNUMBER(Q554),Q554&lt;MarjaMin),"Marjă sub minim ("&amp;TEXT(Q554*100,"0")&amp;"%)",""))))</f>
        <v/>
      </c>
      <c r="S554" s="1" t="str">
        <f>IF(B554="","",B554&amp;"|"&amp;COUNTIF($B$5:B554,B554))</f>
        <v/>
      </c>
    </row>
    <row r="555" spans="2:19" x14ac:dyDescent="0.2">
      <c r="B555" s="11"/>
      <c r="C555" s="11"/>
      <c r="D555" s="10" t="str">
        <f t="shared" si="96"/>
        <v/>
      </c>
      <c r="E555" s="15" t="str">
        <f t="shared" si="97"/>
        <v/>
      </c>
      <c r="F555" s="11"/>
      <c r="G555" s="16" t="str">
        <f t="shared" si="98"/>
        <v/>
      </c>
      <c r="H555" s="17"/>
      <c r="I555" s="16" t="str">
        <f t="shared" si="99"/>
        <v/>
      </c>
      <c r="J555" s="16" t="str">
        <f t="shared" si="100"/>
        <v/>
      </c>
      <c r="K555" s="18" t="str">
        <f t="shared" si="101"/>
        <v/>
      </c>
      <c r="L555" s="16" t="str">
        <f t="shared" si="102"/>
        <v/>
      </c>
      <c r="M555" s="16" t="str">
        <f t="shared" si="103"/>
        <v/>
      </c>
      <c r="N555" s="16" t="str">
        <f t="shared" si="104"/>
        <v/>
      </c>
      <c r="O555" s="16" t="str">
        <f t="shared" si="105"/>
        <v/>
      </c>
      <c r="P555" s="16" t="str">
        <f t="shared" si="106"/>
        <v/>
      </c>
      <c r="Q555" s="18" t="str">
        <f t="shared" si="107"/>
        <v/>
      </c>
      <c r="R555" s="19" t="str">
        <f>IF(C555="","",IF(ISNA(MATCH(B555,'Registru oferte'!$B$5:$B$504,0)),"Oferta nu există în registru",IF(N(F555)&lt;=0,"Lipsește cantitatea",IF(AND(ISNUMBER(Q555),Q555&lt;MarjaMin),"Marjă sub minim ("&amp;TEXT(Q555*100,"0")&amp;"%)",""))))</f>
        <v/>
      </c>
      <c r="S555" s="1" t="str">
        <f>IF(B555="","",B555&amp;"|"&amp;COUNTIF($B$5:B555,B555))</f>
        <v/>
      </c>
    </row>
    <row r="556" spans="2:19" x14ac:dyDescent="0.2">
      <c r="B556" s="11"/>
      <c r="C556" s="11"/>
      <c r="D556" s="10" t="str">
        <f t="shared" si="96"/>
        <v/>
      </c>
      <c r="E556" s="15" t="str">
        <f t="shared" si="97"/>
        <v/>
      </c>
      <c r="F556" s="11"/>
      <c r="G556" s="16" t="str">
        <f t="shared" si="98"/>
        <v/>
      </c>
      <c r="H556" s="17"/>
      <c r="I556" s="16" t="str">
        <f t="shared" si="99"/>
        <v/>
      </c>
      <c r="J556" s="16" t="str">
        <f t="shared" si="100"/>
        <v/>
      </c>
      <c r="K556" s="18" t="str">
        <f t="shared" si="101"/>
        <v/>
      </c>
      <c r="L556" s="16" t="str">
        <f t="shared" si="102"/>
        <v/>
      </c>
      <c r="M556" s="16" t="str">
        <f t="shared" si="103"/>
        <v/>
      </c>
      <c r="N556" s="16" t="str">
        <f t="shared" si="104"/>
        <v/>
      </c>
      <c r="O556" s="16" t="str">
        <f t="shared" si="105"/>
        <v/>
      </c>
      <c r="P556" s="16" t="str">
        <f t="shared" si="106"/>
        <v/>
      </c>
      <c r="Q556" s="18" t="str">
        <f t="shared" si="107"/>
        <v/>
      </c>
      <c r="R556" s="19" t="str">
        <f>IF(C556="","",IF(ISNA(MATCH(B556,'Registru oferte'!$B$5:$B$504,0)),"Oferta nu există în registru",IF(N(F556)&lt;=0,"Lipsește cantitatea",IF(AND(ISNUMBER(Q556),Q556&lt;MarjaMin),"Marjă sub minim ("&amp;TEXT(Q556*100,"0")&amp;"%)",""))))</f>
        <v/>
      </c>
      <c r="S556" s="1" t="str">
        <f>IF(B556="","",B556&amp;"|"&amp;COUNTIF($B$5:B556,B556))</f>
        <v/>
      </c>
    </row>
    <row r="557" spans="2:19" x14ac:dyDescent="0.2">
      <c r="B557" s="11"/>
      <c r="C557" s="11"/>
      <c r="D557" s="10" t="str">
        <f t="shared" si="96"/>
        <v/>
      </c>
      <c r="E557" s="15" t="str">
        <f t="shared" si="97"/>
        <v/>
      </c>
      <c r="F557" s="11"/>
      <c r="G557" s="16" t="str">
        <f t="shared" si="98"/>
        <v/>
      </c>
      <c r="H557" s="17"/>
      <c r="I557" s="16" t="str">
        <f t="shared" si="99"/>
        <v/>
      </c>
      <c r="J557" s="16" t="str">
        <f t="shared" si="100"/>
        <v/>
      </c>
      <c r="K557" s="18" t="str">
        <f t="shared" si="101"/>
        <v/>
      </c>
      <c r="L557" s="16" t="str">
        <f t="shared" si="102"/>
        <v/>
      </c>
      <c r="M557" s="16" t="str">
        <f t="shared" si="103"/>
        <v/>
      </c>
      <c r="N557" s="16" t="str">
        <f t="shared" si="104"/>
        <v/>
      </c>
      <c r="O557" s="16" t="str">
        <f t="shared" si="105"/>
        <v/>
      </c>
      <c r="P557" s="16" t="str">
        <f t="shared" si="106"/>
        <v/>
      </c>
      <c r="Q557" s="18" t="str">
        <f t="shared" si="107"/>
        <v/>
      </c>
      <c r="R557" s="19" t="str">
        <f>IF(C557="","",IF(ISNA(MATCH(B557,'Registru oferte'!$B$5:$B$504,0)),"Oferta nu există în registru",IF(N(F557)&lt;=0,"Lipsește cantitatea",IF(AND(ISNUMBER(Q557),Q557&lt;MarjaMin),"Marjă sub minim ("&amp;TEXT(Q557*100,"0")&amp;"%)",""))))</f>
        <v/>
      </c>
      <c r="S557" s="1" t="str">
        <f>IF(B557="","",B557&amp;"|"&amp;COUNTIF($B$5:B557,B557))</f>
        <v/>
      </c>
    </row>
    <row r="558" spans="2:19" x14ac:dyDescent="0.2">
      <c r="B558" s="11"/>
      <c r="C558" s="11"/>
      <c r="D558" s="10" t="str">
        <f t="shared" si="96"/>
        <v/>
      </c>
      <c r="E558" s="15" t="str">
        <f t="shared" si="97"/>
        <v/>
      </c>
      <c r="F558" s="11"/>
      <c r="G558" s="16" t="str">
        <f t="shared" si="98"/>
        <v/>
      </c>
      <c r="H558" s="17"/>
      <c r="I558" s="16" t="str">
        <f t="shared" si="99"/>
        <v/>
      </c>
      <c r="J558" s="16" t="str">
        <f t="shared" si="100"/>
        <v/>
      </c>
      <c r="K558" s="18" t="str">
        <f t="shared" si="101"/>
        <v/>
      </c>
      <c r="L558" s="16" t="str">
        <f t="shared" si="102"/>
        <v/>
      </c>
      <c r="M558" s="16" t="str">
        <f t="shared" si="103"/>
        <v/>
      </c>
      <c r="N558" s="16" t="str">
        <f t="shared" si="104"/>
        <v/>
      </c>
      <c r="O558" s="16" t="str">
        <f t="shared" si="105"/>
        <v/>
      </c>
      <c r="P558" s="16" t="str">
        <f t="shared" si="106"/>
        <v/>
      </c>
      <c r="Q558" s="18" t="str">
        <f t="shared" si="107"/>
        <v/>
      </c>
      <c r="R558" s="19" t="str">
        <f>IF(C558="","",IF(ISNA(MATCH(B558,'Registru oferte'!$B$5:$B$504,0)),"Oferta nu există în registru",IF(N(F558)&lt;=0,"Lipsește cantitatea",IF(AND(ISNUMBER(Q558),Q558&lt;MarjaMin),"Marjă sub minim ("&amp;TEXT(Q558*100,"0")&amp;"%)",""))))</f>
        <v/>
      </c>
      <c r="S558" s="1" t="str">
        <f>IF(B558="","",B558&amp;"|"&amp;COUNTIF($B$5:B558,B558))</f>
        <v/>
      </c>
    </row>
    <row r="559" spans="2:19" x14ac:dyDescent="0.2">
      <c r="B559" s="11"/>
      <c r="C559" s="11"/>
      <c r="D559" s="10" t="str">
        <f t="shared" si="96"/>
        <v/>
      </c>
      <c r="E559" s="15" t="str">
        <f t="shared" si="97"/>
        <v/>
      </c>
      <c r="F559" s="11"/>
      <c r="G559" s="16" t="str">
        <f t="shared" si="98"/>
        <v/>
      </c>
      <c r="H559" s="17"/>
      <c r="I559" s="16" t="str">
        <f t="shared" si="99"/>
        <v/>
      </c>
      <c r="J559" s="16" t="str">
        <f t="shared" si="100"/>
        <v/>
      </c>
      <c r="K559" s="18" t="str">
        <f t="shared" si="101"/>
        <v/>
      </c>
      <c r="L559" s="16" t="str">
        <f t="shared" si="102"/>
        <v/>
      </c>
      <c r="M559" s="16" t="str">
        <f t="shared" si="103"/>
        <v/>
      </c>
      <c r="N559" s="16" t="str">
        <f t="shared" si="104"/>
        <v/>
      </c>
      <c r="O559" s="16" t="str">
        <f t="shared" si="105"/>
        <v/>
      </c>
      <c r="P559" s="16" t="str">
        <f t="shared" si="106"/>
        <v/>
      </c>
      <c r="Q559" s="18" t="str">
        <f t="shared" si="107"/>
        <v/>
      </c>
      <c r="R559" s="19" t="str">
        <f>IF(C559="","",IF(ISNA(MATCH(B559,'Registru oferte'!$B$5:$B$504,0)),"Oferta nu există în registru",IF(N(F559)&lt;=0,"Lipsește cantitatea",IF(AND(ISNUMBER(Q559),Q559&lt;MarjaMin),"Marjă sub minim ("&amp;TEXT(Q559*100,"0")&amp;"%)",""))))</f>
        <v/>
      </c>
      <c r="S559" s="1" t="str">
        <f>IF(B559="","",B559&amp;"|"&amp;COUNTIF($B$5:B559,B559))</f>
        <v/>
      </c>
    </row>
    <row r="560" spans="2:19" x14ac:dyDescent="0.2">
      <c r="B560" s="11"/>
      <c r="C560" s="11"/>
      <c r="D560" s="10" t="str">
        <f t="shared" si="96"/>
        <v/>
      </c>
      <c r="E560" s="15" t="str">
        <f t="shared" si="97"/>
        <v/>
      </c>
      <c r="F560" s="11"/>
      <c r="G560" s="16" t="str">
        <f t="shared" si="98"/>
        <v/>
      </c>
      <c r="H560" s="17"/>
      <c r="I560" s="16" t="str">
        <f t="shared" si="99"/>
        <v/>
      </c>
      <c r="J560" s="16" t="str">
        <f t="shared" si="100"/>
        <v/>
      </c>
      <c r="K560" s="18" t="str">
        <f t="shared" si="101"/>
        <v/>
      </c>
      <c r="L560" s="16" t="str">
        <f t="shared" si="102"/>
        <v/>
      </c>
      <c r="M560" s="16" t="str">
        <f t="shared" si="103"/>
        <v/>
      </c>
      <c r="N560" s="16" t="str">
        <f t="shared" si="104"/>
        <v/>
      </c>
      <c r="O560" s="16" t="str">
        <f t="shared" si="105"/>
        <v/>
      </c>
      <c r="P560" s="16" t="str">
        <f t="shared" si="106"/>
        <v/>
      </c>
      <c r="Q560" s="18" t="str">
        <f t="shared" si="107"/>
        <v/>
      </c>
      <c r="R560" s="19" t="str">
        <f>IF(C560="","",IF(ISNA(MATCH(B560,'Registru oferte'!$B$5:$B$504,0)),"Oferta nu există în registru",IF(N(F560)&lt;=0,"Lipsește cantitatea",IF(AND(ISNUMBER(Q560),Q560&lt;MarjaMin),"Marjă sub minim ("&amp;TEXT(Q560*100,"0")&amp;"%)",""))))</f>
        <v/>
      </c>
      <c r="S560" s="1" t="str">
        <f>IF(B560="","",B560&amp;"|"&amp;COUNTIF($B$5:B560,B560))</f>
        <v/>
      </c>
    </row>
    <row r="561" spans="2:19" x14ac:dyDescent="0.2">
      <c r="B561" s="11"/>
      <c r="C561" s="11"/>
      <c r="D561" s="10" t="str">
        <f t="shared" si="96"/>
        <v/>
      </c>
      <c r="E561" s="15" t="str">
        <f t="shared" si="97"/>
        <v/>
      </c>
      <c r="F561" s="11"/>
      <c r="G561" s="16" t="str">
        <f t="shared" si="98"/>
        <v/>
      </c>
      <c r="H561" s="17"/>
      <c r="I561" s="16" t="str">
        <f t="shared" si="99"/>
        <v/>
      </c>
      <c r="J561" s="16" t="str">
        <f t="shared" si="100"/>
        <v/>
      </c>
      <c r="K561" s="18" t="str">
        <f t="shared" si="101"/>
        <v/>
      </c>
      <c r="L561" s="16" t="str">
        <f t="shared" si="102"/>
        <v/>
      </c>
      <c r="M561" s="16" t="str">
        <f t="shared" si="103"/>
        <v/>
      </c>
      <c r="N561" s="16" t="str">
        <f t="shared" si="104"/>
        <v/>
      </c>
      <c r="O561" s="16" t="str">
        <f t="shared" si="105"/>
        <v/>
      </c>
      <c r="P561" s="16" t="str">
        <f t="shared" si="106"/>
        <v/>
      </c>
      <c r="Q561" s="18" t="str">
        <f t="shared" si="107"/>
        <v/>
      </c>
      <c r="R561" s="19" t="str">
        <f>IF(C561="","",IF(ISNA(MATCH(B561,'Registru oferte'!$B$5:$B$504,0)),"Oferta nu există în registru",IF(N(F561)&lt;=0,"Lipsește cantitatea",IF(AND(ISNUMBER(Q561),Q561&lt;MarjaMin),"Marjă sub minim ("&amp;TEXT(Q561*100,"0")&amp;"%)",""))))</f>
        <v/>
      </c>
      <c r="S561" s="1" t="str">
        <f>IF(B561="","",B561&amp;"|"&amp;COUNTIF($B$5:B561,B561))</f>
        <v/>
      </c>
    </row>
    <row r="562" spans="2:19" x14ac:dyDescent="0.2">
      <c r="B562" s="11"/>
      <c r="C562" s="11"/>
      <c r="D562" s="10" t="str">
        <f t="shared" si="96"/>
        <v/>
      </c>
      <c r="E562" s="15" t="str">
        <f t="shared" si="97"/>
        <v/>
      </c>
      <c r="F562" s="11"/>
      <c r="G562" s="16" t="str">
        <f t="shared" si="98"/>
        <v/>
      </c>
      <c r="H562" s="17"/>
      <c r="I562" s="16" t="str">
        <f t="shared" si="99"/>
        <v/>
      </c>
      <c r="J562" s="16" t="str">
        <f t="shared" si="100"/>
        <v/>
      </c>
      <c r="K562" s="18" t="str">
        <f t="shared" si="101"/>
        <v/>
      </c>
      <c r="L562" s="16" t="str">
        <f t="shared" si="102"/>
        <v/>
      </c>
      <c r="M562" s="16" t="str">
        <f t="shared" si="103"/>
        <v/>
      </c>
      <c r="N562" s="16" t="str">
        <f t="shared" si="104"/>
        <v/>
      </c>
      <c r="O562" s="16" t="str">
        <f t="shared" si="105"/>
        <v/>
      </c>
      <c r="P562" s="16" t="str">
        <f t="shared" si="106"/>
        <v/>
      </c>
      <c r="Q562" s="18" t="str">
        <f t="shared" si="107"/>
        <v/>
      </c>
      <c r="R562" s="19" t="str">
        <f>IF(C562="","",IF(ISNA(MATCH(B562,'Registru oferte'!$B$5:$B$504,0)),"Oferta nu există în registru",IF(N(F562)&lt;=0,"Lipsește cantitatea",IF(AND(ISNUMBER(Q562),Q562&lt;MarjaMin),"Marjă sub minim ("&amp;TEXT(Q562*100,"0")&amp;"%)",""))))</f>
        <v/>
      </c>
      <c r="S562" s="1" t="str">
        <f>IF(B562="","",B562&amp;"|"&amp;COUNTIF($B$5:B562,B562))</f>
        <v/>
      </c>
    </row>
    <row r="563" spans="2:19" x14ac:dyDescent="0.2">
      <c r="B563" s="11"/>
      <c r="C563" s="11"/>
      <c r="D563" s="10" t="str">
        <f t="shared" si="96"/>
        <v/>
      </c>
      <c r="E563" s="15" t="str">
        <f t="shared" si="97"/>
        <v/>
      </c>
      <c r="F563" s="11"/>
      <c r="G563" s="16" t="str">
        <f t="shared" si="98"/>
        <v/>
      </c>
      <c r="H563" s="17"/>
      <c r="I563" s="16" t="str">
        <f t="shared" si="99"/>
        <v/>
      </c>
      <c r="J563" s="16" t="str">
        <f t="shared" si="100"/>
        <v/>
      </c>
      <c r="K563" s="18" t="str">
        <f t="shared" si="101"/>
        <v/>
      </c>
      <c r="L563" s="16" t="str">
        <f t="shared" si="102"/>
        <v/>
      </c>
      <c r="M563" s="16" t="str">
        <f t="shared" si="103"/>
        <v/>
      </c>
      <c r="N563" s="16" t="str">
        <f t="shared" si="104"/>
        <v/>
      </c>
      <c r="O563" s="16" t="str">
        <f t="shared" si="105"/>
        <v/>
      </c>
      <c r="P563" s="16" t="str">
        <f t="shared" si="106"/>
        <v/>
      </c>
      <c r="Q563" s="18" t="str">
        <f t="shared" si="107"/>
        <v/>
      </c>
      <c r="R563" s="19" t="str">
        <f>IF(C563="","",IF(ISNA(MATCH(B563,'Registru oferte'!$B$5:$B$504,0)),"Oferta nu există în registru",IF(N(F563)&lt;=0,"Lipsește cantitatea",IF(AND(ISNUMBER(Q563),Q563&lt;MarjaMin),"Marjă sub minim ("&amp;TEXT(Q563*100,"0")&amp;"%)",""))))</f>
        <v/>
      </c>
      <c r="S563" s="1" t="str">
        <f>IF(B563="","",B563&amp;"|"&amp;COUNTIF($B$5:B563,B563))</f>
        <v/>
      </c>
    </row>
    <row r="564" spans="2:19" x14ac:dyDescent="0.2">
      <c r="B564" s="11"/>
      <c r="C564" s="11"/>
      <c r="D564" s="10" t="str">
        <f t="shared" si="96"/>
        <v/>
      </c>
      <c r="E564" s="15" t="str">
        <f t="shared" si="97"/>
        <v/>
      </c>
      <c r="F564" s="11"/>
      <c r="G564" s="16" t="str">
        <f t="shared" si="98"/>
        <v/>
      </c>
      <c r="H564" s="17"/>
      <c r="I564" s="16" t="str">
        <f t="shared" si="99"/>
        <v/>
      </c>
      <c r="J564" s="16" t="str">
        <f t="shared" si="100"/>
        <v/>
      </c>
      <c r="K564" s="18" t="str">
        <f t="shared" si="101"/>
        <v/>
      </c>
      <c r="L564" s="16" t="str">
        <f t="shared" si="102"/>
        <v/>
      </c>
      <c r="M564" s="16" t="str">
        <f t="shared" si="103"/>
        <v/>
      </c>
      <c r="N564" s="16" t="str">
        <f t="shared" si="104"/>
        <v/>
      </c>
      <c r="O564" s="16" t="str">
        <f t="shared" si="105"/>
        <v/>
      </c>
      <c r="P564" s="16" t="str">
        <f t="shared" si="106"/>
        <v/>
      </c>
      <c r="Q564" s="18" t="str">
        <f t="shared" si="107"/>
        <v/>
      </c>
      <c r="R564" s="19" t="str">
        <f>IF(C564="","",IF(ISNA(MATCH(B564,'Registru oferte'!$B$5:$B$504,0)),"Oferta nu există în registru",IF(N(F564)&lt;=0,"Lipsește cantitatea",IF(AND(ISNUMBER(Q564),Q564&lt;MarjaMin),"Marjă sub minim ("&amp;TEXT(Q564*100,"0")&amp;"%)",""))))</f>
        <v/>
      </c>
      <c r="S564" s="1" t="str">
        <f>IF(B564="","",B564&amp;"|"&amp;COUNTIF($B$5:B564,B564))</f>
        <v/>
      </c>
    </row>
    <row r="565" spans="2:19" x14ac:dyDescent="0.2">
      <c r="B565" s="11"/>
      <c r="C565" s="11"/>
      <c r="D565" s="10" t="str">
        <f t="shared" si="96"/>
        <v/>
      </c>
      <c r="E565" s="15" t="str">
        <f t="shared" si="97"/>
        <v/>
      </c>
      <c r="F565" s="11"/>
      <c r="G565" s="16" t="str">
        <f t="shared" si="98"/>
        <v/>
      </c>
      <c r="H565" s="17"/>
      <c r="I565" s="16" t="str">
        <f t="shared" si="99"/>
        <v/>
      </c>
      <c r="J565" s="16" t="str">
        <f t="shared" si="100"/>
        <v/>
      </c>
      <c r="K565" s="18" t="str">
        <f t="shared" si="101"/>
        <v/>
      </c>
      <c r="L565" s="16" t="str">
        <f t="shared" si="102"/>
        <v/>
      </c>
      <c r="M565" s="16" t="str">
        <f t="shared" si="103"/>
        <v/>
      </c>
      <c r="N565" s="16" t="str">
        <f t="shared" si="104"/>
        <v/>
      </c>
      <c r="O565" s="16" t="str">
        <f t="shared" si="105"/>
        <v/>
      </c>
      <c r="P565" s="16" t="str">
        <f t="shared" si="106"/>
        <v/>
      </c>
      <c r="Q565" s="18" t="str">
        <f t="shared" si="107"/>
        <v/>
      </c>
      <c r="R565" s="19" t="str">
        <f>IF(C565="","",IF(ISNA(MATCH(B565,'Registru oferte'!$B$5:$B$504,0)),"Oferta nu există în registru",IF(N(F565)&lt;=0,"Lipsește cantitatea",IF(AND(ISNUMBER(Q565),Q565&lt;MarjaMin),"Marjă sub minim ("&amp;TEXT(Q565*100,"0")&amp;"%)",""))))</f>
        <v/>
      </c>
      <c r="S565" s="1" t="str">
        <f>IF(B565="","",B565&amp;"|"&amp;COUNTIF($B$5:B565,B565))</f>
        <v/>
      </c>
    </row>
    <row r="566" spans="2:19" x14ac:dyDescent="0.2">
      <c r="B566" s="11"/>
      <c r="C566" s="11"/>
      <c r="D566" s="10" t="str">
        <f t="shared" si="96"/>
        <v/>
      </c>
      <c r="E566" s="15" t="str">
        <f t="shared" si="97"/>
        <v/>
      </c>
      <c r="F566" s="11"/>
      <c r="G566" s="16" t="str">
        <f t="shared" si="98"/>
        <v/>
      </c>
      <c r="H566" s="17"/>
      <c r="I566" s="16" t="str">
        <f t="shared" si="99"/>
        <v/>
      </c>
      <c r="J566" s="16" t="str">
        <f t="shared" si="100"/>
        <v/>
      </c>
      <c r="K566" s="18" t="str">
        <f t="shared" si="101"/>
        <v/>
      </c>
      <c r="L566" s="16" t="str">
        <f t="shared" si="102"/>
        <v/>
      </c>
      <c r="M566" s="16" t="str">
        <f t="shared" si="103"/>
        <v/>
      </c>
      <c r="N566" s="16" t="str">
        <f t="shared" si="104"/>
        <v/>
      </c>
      <c r="O566" s="16" t="str">
        <f t="shared" si="105"/>
        <v/>
      </c>
      <c r="P566" s="16" t="str">
        <f t="shared" si="106"/>
        <v/>
      </c>
      <c r="Q566" s="18" t="str">
        <f t="shared" si="107"/>
        <v/>
      </c>
      <c r="R566" s="19" t="str">
        <f>IF(C566="","",IF(ISNA(MATCH(B566,'Registru oferte'!$B$5:$B$504,0)),"Oferta nu există în registru",IF(N(F566)&lt;=0,"Lipsește cantitatea",IF(AND(ISNUMBER(Q566),Q566&lt;MarjaMin),"Marjă sub minim ("&amp;TEXT(Q566*100,"0")&amp;"%)",""))))</f>
        <v/>
      </c>
      <c r="S566" s="1" t="str">
        <f>IF(B566="","",B566&amp;"|"&amp;COUNTIF($B$5:B566,B566))</f>
        <v/>
      </c>
    </row>
    <row r="567" spans="2:19" x14ac:dyDescent="0.2">
      <c r="B567" s="11"/>
      <c r="C567" s="11"/>
      <c r="D567" s="10" t="str">
        <f t="shared" si="96"/>
        <v/>
      </c>
      <c r="E567" s="15" t="str">
        <f t="shared" si="97"/>
        <v/>
      </c>
      <c r="F567" s="11"/>
      <c r="G567" s="16" t="str">
        <f t="shared" si="98"/>
        <v/>
      </c>
      <c r="H567" s="17"/>
      <c r="I567" s="16" t="str">
        <f t="shared" si="99"/>
        <v/>
      </c>
      <c r="J567" s="16" t="str">
        <f t="shared" si="100"/>
        <v/>
      </c>
      <c r="K567" s="18" t="str">
        <f t="shared" si="101"/>
        <v/>
      </c>
      <c r="L567" s="16" t="str">
        <f t="shared" si="102"/>
        <v/>
      </c>
      <c r="M567" s="16" t="str">
        <f t="shared" si="103"/>
        <v/>
      </c>
      <c r="N567" s="16" t="str">
        <f t="shared" si="104"/>
        <v/>
      </c>
      <c r="O567" s="16" t="str">
        <f t="shared" si="105"/>
        <v/>
      </c>
      <c r="P567" s="16" t="str">
        <f t="shared" si="106"/>
        <v/>
      </c>
      <c r="Q567" s="18" t="str">
        <f t="shared" si="107"/>
        <v/>
      </c>
      <c r="R567" s="19" t="str">
        <f>IF(C567="","",IF(ISNA(MATCH(B567,'Registru oferte'!$B$5:$B$504,0)),"Oferta nu există în registru",IF(N(F567)&lt;=0,"Lipsește cantitatea",IF(AND(ISNUMBER(Q567),Q567&lt;MarjaMin),"Marjă sub minim ("&amp;TEXT(Q567*100,"0")&amp;"%)",""))))</f>
        <v/>
      </c>
      <c r="S567" s="1" t="str">
        <f>IF(B567="","",B567&amp;"|"&amp;COUNTIF($B$5:B567,B567))</f>
        <v/>
      </c>
    </row>
    <row r="568" spans="2:19" x14ac:dyDescent="0.2">
      <c r="B568" s="11"/>
      <c r="C568" s="11"/>
      <c r="D568" s="10" t="str">
        <f t="shared" si="96"/>
        <v/>
      </c>
      <c r="E568" s="15" t="str">
        <f t="shared" si="97"/>
        <v/>
      </c>
      <c r="F568" s="11"/>
      <c r="G568" s="16" t="str">
        <f t="shared" si="98"/>
        <v/>
      </c>
      <c r="H568" s="17"/>
      <c r="I568" s="16" t="str">
        <f t="shared" si="99"/>
        <v/>
      </c>
      <c r="J568" s="16" t="str">
        <f t="shared" si="100"/>
        <v/>
      </c>
      <c r="K568" s="18" t="str">
        <f t="shared" si="101"/>
        <v/>
      </c>
      <c r="L568" s="16" t="str">
        <f t="shared" si="102"/>
        <v/>
      </c>
      <c r="M568" s="16" t="str">
        <f t="shared" si="103"/>
        <v/>
      </c>
      <c r="N568" s="16" t="str">
        <f t="shared" si="104"/>
        <v/>
      </c>
      <c r="O568" s="16" t="str">
        <f t="shared" si="105"/>
        <v/>
      </c>
      <c r="P568" s="16" t="str">
        <f t="shared" si="106"/>
        <v/>
      </c>
      <c r="Q568" s="18" t="str">
        <f t="shared" si="107"/>
        <v/>
      </c>
      <c r="R568" s="19" t="str">
        <f>IF(C568="","",IF(ISNA(MATCH(B568,'Registru oferte'!$B$5:$B$504,0)),"Oferta nu există în registru",IF(N(F568)&lt;=0,"Lipsește cantitatea",IF(AND(ISNUMBER(Q568),Q568&lt;MarjaMin),"Marjă sub minim ("&amp;TEXT(Q568*100,"0")&amp;"%)",""))))</f>
        <v/>
      </c>
      <c r="S568" s="1" t="str">
        <f>IF(B568="","",B568&amp;"|"&amp;COUNTIF($B$5:B568,B568))</f>
        <v/>
      </c>
    </row>
    <row r="569" spans="2:19" x14ac:dyDescent="0.2">
      <c r="B569" s="11"/>
      <c r="C569" s="11"/>
      <c r="D569" s="10" t="str">
        <f t="shared" si="96"/>
        <v/>
      </c>
      <c r="E569" s="15" t="str">
        <f t="shared" si="97"/>
        <v/>
      </c>
      <c r="F569" s="11"/>
      <c r="G569" s="16" t="str">
        <f t="shared" si="98"/>
        <v/>
      </c>
      <c r="H569" s="17"/>
      <c r="I569" s="16" t="str">
        <f t="shared" si="99"/>
        <v/>
      </c>
      <c r="J569" s="16" t="str">
        <f t="shared" si="100"/>
        <v/>
      </c>
      <c r="K569" s="18" t="str">
        <f t="shared" si="101"/>
        <v/>
      </c>
      <c r="L569" s="16" t="str">
        <f t="shared" si="102"/>
        <v/>
      </c>
      <c r="M569" s="16" t="str">
        <f t="shared" si="103"/>
        <v/>
      </c>
      <c r="N569" s="16" t="str">
        <f t="shared" si="104"/>
        <v/>
      </c>
      <c r="O569" s="16" t="str">
        <f t="shared" si="105"/>
        <v/>
      </c>
      <c r="P569" s="16" t="str">
        <f t="shared" si="106"/>
        <v/>
      </c>
      <c r="Q569" s="18" t="str">
        <f t="shared" si="107"/>
        <v/>
      </c>
      <c r="R569" s="19" t="str">
        <f>IF(C569="","",IF(ISNA(MATCH(B569,'Registru oferte'!$B$5:$B$504,0)),"Oferta nu există în registru",IF(N(F569)&lt;=0,"Lipsește cantitatea",IF(AND(ISNUMBER(Q569),Q569&lt;MarjaMin),"Marjă sub minim ("&amp;TEXT(Q569*100,"0")&amp;"%)",""))))</f>
        <v/>
      </c>
      <c r="S569" s="1" t="str">
        <f>IF(B569="","",B569&amp;"|"&amp;COUNTIF($B$5:B569,B569))</f>
        <v/>
      </c>
    </row>
    <row r="570" spans="2:19" x14ac:dyDescent="0.2">
      <c r="B570" s="11"/>
      <c r="C570" s="11"/>
      <c r="D570" s="10" t="str">
        <f t="shared" si="96"/>
        <v/>
      </c>
      <c r="E570" s="15" t="str">
        <f t="shared" si="97"/>
        <v/>
      </c>
      <c r="F570" s="11"/>
      <c r="G570" s="16" t="str">
        <f t="shared" si="98"/>
        <v/>
      </c>
      <c r="H570" s="17"/>
      <c r="I570" s="16" t="str">
        <f t="shared" si="99"/>
        <v/>
      </c>
      <c r="J570" s="16" t="str">
        <f t="shared" si="100"/>
        <v/>
      </c>
      <c r="K570" s="18" t="str">
        <f t="shared" si="101"/>
        <v/>
      </c>
      <c r="L570" s="16" t="str">
        <f t="shared" si="102"/>
        <v/>
      </c>
      <c r="M570" s="16" t="str">
        <f t="shared" si="103"/>
        <v/>
      </c>
      <c r="N570" s="16" t="str">
        <f t="shared" si="104"/>
        <v/>
      </c>
      <c r="O570" s="16" t="str">
        <f t="shared" si="105"/>
        <v/>
      </c>
      <c r="P570" s="16" t="str">
        <f t="shared" si="106"/>
        <v/>
      </c>
      <c r="Q570" s="18" t="str">
        <f t="shared" si="107"/>
        <v/>
      </c>
      <c r="R570" s="19" t="str">
        <f>IF(C570="","",IF(ISNA(MATCH(B570,'Registru oferte'!$B$5:$B$504,0)),"Oferta nu există în registru",IF(N(F570)&lt;=0,"Lipsește cantitatea",IF(AND(ISNUMBER(Q570),Q570&lt;MarjaMin),"Marjă sub minim ("&amp;TEXT(Q570*100,"0")&amp;"%)",""))))</f>
        <v/>
      </c>
      <c r="S570" s="1" t="str">
        <f>IF(B570="","",B570&amp;"|"&amp;COUNTIF($B$5:B570,B570))</f>
        <v/>
      </c>
    </row>
    <row r="571" spans="2:19" x14ac:dyDescent="0.2">
      <c r="B571" s="11"/>
      <c r="C571" s="11"/>
      <c r="D571" s="10" t="str">
        <f t="shared" si="96"/>
        <v/>
      </c>
      <c r="E571" s="15" t="str">
        <f t="shared" si="97"/>
        <v/>
      </c>
      <c r="F571" s="11"/>
      <c r="G571" s="16" t="str">
        <f t="shared" si="98"/>
        <v/>
      </c>
      <c r="H571" s="17"/>
      <c r="I571" s="16" t="str">
        <f t="shared" si="99"/>
        <v/>
      </c>
      <c r="J571" s="16" t="str">
        <f t="shared" si="100"/>
        <v/>
      </c>
      <c r="K571" s="18" t="str">
        <f t="shared" si="101"/>
        <v/>
      </c>
      <c r="L571" s="16" t="str">
        <f t="shared" si="102"/>
        <v/>
      </c>
      <c r="M571" s="16" t="str">
        <f t="shared" si="103"/>
        <v/>
      </c>
      <c r="N571" s="16" t="str">
        <f t="shared" si="104"/>
        <v/>
      </c>
      <c r="O571" s="16" t="str">
        <f t="shared" si="105"/>
        <v/>
      </c>
      <c r="P571" s="16" t="str">
        <f t="shared" si="106"/>
        <v/>
      </c>
      <c r="Q571" s="18" t="str">
        <f t="shared" si="107"/>
        <v/>
      </c>
      <c r="R571" s="19" t="str">
        <f>IF(C571="","",IF(ISNA(MATCH(B571,'Registru oferte'!$B$5:$B$504,0)),"Oferta nu există în registru",IF(N(F571)&lt;=0,"Lipsește cantitatea",IF(AND(ISNUMBER(Q571),Q571&lt;MarjaMin),"Marjă sub minim ("&amp;TEXT(Q571*100,"0")&amp;"%)",""))))</f>
        <v/>
      </c>
      <c r="S571" s="1" t="str">
        <f>IF(B571="","",B571&amp;"|"&amp;COUNTIF($B$5:B571,B571))</f>
        <v/>
      </c>
    </row>
    <row r="572" spans="2:19" x14ac:dyDescent="0.2">
      <c r="B572" s="11"/>
      <c r="C572" s="11"/>
      <c r="D572" s="10" t="str">
        <f t="shared" si="96"/>
        <v/>
      </c>
      <c r="E572" s="15" t="str">
        <f t="shared" si="97"/>
        <v/>
      </c>
      <c r="F572" s="11"/>
      <c r="G572" s="16" t="str">
        <f t="shared" si="98"/>
        <v/>
      </c>
      <c r="H572" s="17"/>
      <c r="I572" s="16" t="str">
        <f t="shared" si="99"/>
        <v/>
      </c>
      <c r="J572" s="16" t="str">
        <f t="shared" si="100"/>
        <v/>
      </c>
      <c r="K572" s="18" t="str">
        <f t="shared" si="101"/>
        <v/>
      </c>
      <c r="L572" s="16" t="str">
        <f t="shared" si="102"/>
        <v/>
      </c>
      <c r="M572" s="16" t="str">
        <f t="shared" si="103"/>
        <v/>
      </c>
      <c r="N572" s="16" t="str">
        <f t="shared" si="104"/>
        <v/>
      </c>
      <c r="O572" s="16" t="str">
        <f t="shared" si="105"/>
        <v/>
      </c>
      <c r="P572" s="16" t="str">
        <f t="shared" si="106"/>
        <v/>
      </c>
      <c r="Q572" s="18" t="str">
        <f t="shared" si="107"/>
        <v/>
      </c>
      <c r="R572" s="19" t="str">
        <f>IF(C572="","",IF(ISNA(MATCH(B572,'Registru oferte'!$B$5:$B$504,0)),"Oferta nu există în registru",IF(N(F572)&lt;=0,"Lipsește cantitatea",IF(AND(ISNUMBER(Q572),Q572&lt;MarjaMin),"Marjă sub minim ("&amp;TEXT(Q572*100,"0")&amp;"%)",""))))</f>
        <v/>
      </c>
      <c r="S572" s="1" t="str">
        <f>IF(B572="","",B572&amp;"|"&amp;COUNTIF($B$5:B572,B572))</f>
        <v/>
      </c>
    </row>
    <row r="573" spans="2:19" x14ac:dyDescent="0.2">
      <c r="B573" s="11"/>
      <c r="C573" s="11"/>
      <c r="D573" s="10" t="str">
        <f t="shared" si="96"/>
        <v/>
      </c>
      <c r="E573" s="15" t="str">
        <f t="shared" si="97"/>
        <v/>
      </c>
      <c r="F573" s="11"/>
      <c r="G573" s="16" t="str">
        <f t="shared" si="98"/>
        <v/>
      </c>
      <c r="H573" s="17"/>
      <c r="I573" s="16" t="str">
        <f t="shared" si="99"/>
        <v/>
      </c>
      <c r="J573" s="16" t="str">
        <f t="shared" si="100"/>
        <v/>
      </c>
      <c r="K573" s="18" t="str">
        <f t="shared" si="101"/>
        <v/>
      </c>
      <c r="L573" s="16" t="str">
        <f t="shared" si="102"/>
        <v/>
      </c>
      <c r="M573" s="16" t="str">
        <f t="shared" si="103"/>
        <v/>
      </c>
      <c r="N573" s="16" t="str">
        <f t="shared" si="104"/>
        <v/>
      </c>
      <c r="O573" s="16" t="str">
        <f t="shared" si="105"/>
        <v/>
      </c>
      <c r="P573" s="16" t="str">
        <f t="shared" si="106"/>
        <v/>
      </c>
      <c r="Q573" s="18" t="str">
        <f t="shared" si="107"/>
        <v/>
      </c>
      <c r="R573" s="19" t="str">
        <f>IF(C573="","",IF(ISNA(MATCH(B573,'Registru oferte'!$B$5:$B$504,0)),"Oferta nu există în registru",IF(N(F573)&lt;=0,"Lipsește cantitatea",IF(AND(ISNUMBER(Q573),Q573&lt;MarjaMin),"Marjă sub minim ("&amp;TEXT(Q573*100,"0")&amp;"%)",""))))</f>
        <v/>
      </c>
      <c r="S573" s="1" t="str">
        <f>IF(B573="","",B573&amp;"|"&amp;COUNTIF($B$5:B573,B573))</f>
        <v/>
      </c>
    </row>
    <row r="574" spans="2:19" x14ac:dyDescent="0.2">
      <c r="B574" s="11"/>
      <c r="C574" s="11"/>
      <c r="D574" s="10" t="str">
        <f t="shared" si="96"/>
        <v/>
      </c>
      <c r="E574" s="15" t="str">
        <f t="shared" si="97"/>
        <v/>
      </c>
      <c r="F574" s="11"/>
      <c r="G574" s="16" t="str">
        <f t="shared" si="98"/>
        <v/>
      </c>
      <c r="H574" s="17"/>
      <c r="I574" s="16" t="str">
        <f t="shared" si="99"/>
        <v/>
      </c>
      <c r="J574" s="16" t="str">
        <f t="shared" si="100"/>
        <v/>
      </c>
      <c r="K574" s="18" t="str">
        <f t="shared" si="101"/>
        <v/>
      </c>
      <c r="L574" s="16" t="str">
        <f t="shared" si="102"/>
        <v/>
      </c>
      <c r="M574" s="16" t="str">
        <f t="shared" si="103"/>
        <v/>
      </c>
      <c r="N574" s="16" t="str">
        <f t="shared" si="104"/>
        <v/>
      </c>
      <c r="O574" s="16" t="str">
        <f t="shared" si="105"/>
        <v/>
      </c>
      <c r="P574" s="16" t="str">
        <f t="shared" si="106"/>
        <v/>
      </c>
      <c r="Q574" s="18" t="str">
        <f t="shared" si="107"/>
        <v/>
      </c>
      <c r="R574" s="19" t="str">
        <f>IF(C574="","",IF(ISNA(MATCH(B574,'Registru oferte'!$B$5:$B$504,0)),"Oferta nu există în registru",IF(N(F574)&lt;=0,"Lipsește cantitatea",IF(AND(ISNUMBER(Q574),Q574&lt;MarjaMin),"Marjă sub minim ("&amp;TEXT(Q574*100,"0")&amp;"%)",""))))</f>
        <v/>
      </c>
      <c r="S574" s="1" t="str">
        <f>IF(B574="","",B574&amp;"|"&amp;COUNTIF($B$5:B574,B574))</f>
        <v/>
      </c>
    </row>
    <row r="575" spans="2:19" x14ac:dyDescent="0.2">
      <c r="B575" s="11"/>
      <c r="C575" s="11"/>
      <c r="D575" s="10" t="str">
        <f t="shared" si="96"/>
        <v/>
      </c>
      <c r="E575" s="15" t="str">
        <f t="shared" si="97"/>
        <v/>
      </c>
      <c r="F575" s="11"/>
      <c r="G575" s="16" t="str">
        <f t="shared" si="98"/>
        <v/>
      </c>
      <c r="H575" s="17"/>
      <c r="I575" s="16" t="str">
        <f t="shared" si="99"/>
        <v/>
      </c>
      <c r="J575" s="16" t="str">
        <f t="shared" si="100"/>
        <v/>
      </c>
      <c r="K575" s="18" t="str">
        <f t="shared" si="101"/>
        <v/>
      </c>
      <c r="L575" s="16" t="str">
        <f t="shared" si="102"/>
        <v/>
      </c>
      <c r="M575" s="16" t="str">
        <f t="shared" si="103"/>
        <v/>
      </c>
      <c r="N575" s="16" t="str">
        <f t="shared" si="104"/>
        <v/>
      </c>
      <c r="O575" s="16" t="str">
        <f t="shared" si="105"/>
        <v/>
      </c>
      <c r="P575" s="16" t="str">
        <f t="shared" si="106"/>
        <v/>
      </c>
      <c r="Q575" s="18" t="str">
        <f t="shared" si="107"/>
        <v/>
      </c>
      <c r="R575" s="19" t="str">
        <f>IF(C575="","",IF(ISNA(MATCH(B575,'Registru oferte'!$B$5:$B$504,0)),"Oferta nu există în registru",IF(N(F575)&lt;=0,"Lipsește cantitatea",IF(AND(ISNUMBER(Q575),Q575&lt;MarjaMin),"Marjă sub minim ("&amp;TEXT(Q575*100,"0")&amp;"%)",""))))</f>
        <v/>
      </c>
      <c r="S575" s="1" t="str">
        <f>IF(B575="","",B575&amp;"|"&amp;COUNTIF($B$5:B575,B575))</f>
        <v/>
      </c>
    </row>
    <row r="576" spans="2:19" x14ac:dyDescent="0.2">
      <c r="B576" s="11"/>
      <c r="C576" s="11"/>
      <c r="D576" s="10" t="str">
        <f t="shared" si="96"/>
        <v/>
      </c>
      <c r="E576" s="15" t="str">
        <f t="shared" si="97"/>
        <v/>
      </c>
      <c r="F576" s="11"/>
      <c r="G576" s="16" t="str">
        <f t="shared" si="98"/>
        <v/>
      </c>
      <c r="H576" s="17"/>
      <c r="I576" s="16" t="str">
        <f t="shared" si="99"/>
        <v/>
      </c>
      <c r="J576" s="16" t="str">
        <f t="shared" si="100"/>
        <v/>
      </c>
      <c r="K576" s="18" t="str">
        <f t="shared" si="101"/>
        <v/>
      </c>
      <c r="L576" s="16" t="str">
        <f t="shared" si="102"/>
        <v/>
      </c>
      <c r="M576" s="16" t="str">
        <f t="shared" si="103"/>
        <v/>
      </c>
      <c r="N576" s="16" t="str">
        <f t="shared" si="104"/>
        <v/>
      </c>
      <c r="O576" s="16" t="str">
        <f t="shared" si="105"/>
        <v/>
      </c>
      <c r="P576" s="16" t="str">
        <f t="shared" si="106"/>
        <v/>
      </c>
      <c r="Q576" s="18" t="str">
        <f t="shared" si="107"/>
        <v/>
      </c>
      <c r="R576" s="19" t="str">
        <f>IF(C576="","",IF(ISNA(MATCH(B576,'Registru oferte'!$B$5:$B$504,0)),"Oferta nu există în registru",IF(N(F576)&lt;=0,"Lipsește cantitatea",IF(AND(ISNUMBER(Q576),Q576&lt;MarjaMin),"Marjă sub minim ("&amp;TEXT(Q576*100,"0")&amp;"%)",""))))</f>
        <v/>
      </c>
      <c r="S576" s="1" t="str">
        <f>IF(B576="","",B576&amp;"|"&amp;COUNTIF($B$5:B576,B576))</f>
        <v/>
      </c>
    </row>
    <row r="577" spans="2:19" x14ac:dyDescent="0.2">
      <c r="B577" s="11"/>
      <c r="C577" s="11"/>
      <c r="D577" s="10" t="str">
        <f t="shared" si="96"/>
        <v/>
      </c>
      <c r="E577" s="15" t="str">
        <f t="shared" si="97"/>
        <v/>
      </c>
      <c r="F577" s="11"/>
      <c r="G577" s="16" t="str">
        <f t="shared" si="98"/>
        <v/>
      </c>
      <c r="H577" s="17"/>
      <c r="I577" s="16" t="str">
        <f t="shared" si="99"/>
        <v/>
      </c>
      <c r="J577" s="16" t="str">
        <f t="shared" si="100"/>
        <v/>
      </c>
      <c r="K577" s="18" t="str">
        <f t="shared" si="101"/>
        <v/>
      </c>
      <c r="L577" s="16" t="str">
        <f t="shared" si="102"/>
        <v/>
      </c>
      <c r="M577" s="16" t="str">
        <f t="shared" si="103"/>
        <v/>
      </c>
      <c r="N577" s="16" t="str">
        <f t="shared" si="104"/>
        <v/>
      </c>
      <c r="O577" s="16" t="str">
        <f t="shared" si="105"/>
        <v/>
      </c>
      <c r="P577" s="16" t="str">
        <f t="shared" si="106"/>
        <v/>
      </c>
      <c r="Q577" s="18" t="str">
        <f t="shared" si="107"/>
        <v/>
      </c>
      <c r="R577" s="19" t="str">
        <f>IF(C577="","",IF(ISNA(MATCH(B577,'Registru oferte'!$B$5:$B$504,0)),"Oferta nu există în registru",IF(N(F577)&lt;=0,"Lipsește cantitatea",IF(AND(ISNUMBER(Q577),Q577&lt;MarjaMin),"Marjă sub minim ("&amp;TEXT(Q577*100,"0")&amp;"%)",""))))</f>
        <v/>
      </c>
      <c r="S577" s="1" t="str">
        <f>IF(B577="","",B577&amp;"|"&amp;COUNTIF($B$5:B577,B577))</f>
        <v/>
      </c>
    </row>
    <row r="578" spans="2:19" x14ac:dyDescent="0.2">
      <c r="B578" s="11"/>
      <c r="C578" s="11"/>
      <c r="D578" s="10" t="str">
        <f t="shared" si="96"/>
        <v/>
      </c>
      <c r="E578" s="15" t="str">
        <f t="shared" si="97"/>
        <v/>
      </c>
      <c r="F578" s="11"/>
      <c r="G578" s="16" t="str">
        <f t="shared" si="98"/>
        <v/>
      </c>
      <c r="H578" s="17"/>
      <c r="I578" s="16" t="str">
        <f t="shared" si="99"/>
        <v/>
      </c>
      <c r="J578" s="16" t="str">
        <f t="shared" si="100"/>
        <v/>
      </c>
      <c r="K578" s="18" t="str">
        <f t="shared" si="101"/>
        <v/>
      </c>
      <c r="L578" s="16" t="str">
        <f t="shared" si="102"/>
        <v/>
      </c>
      <c r="M578" s="16" t="str">
        <f t="shared" si="103"/>
        <v/>
      </c>
      <c r="N578" s="16" t="str">
        <f t="shared" si="104"/>
        <v/>
      </c>
      <c r="O578" s="16" t="str">
        <f t="shared" si="105"/>
        <v/>
      </c>
      <c r="P578" s="16" t="str">
        <f t="shared" si="106"/>
        <v/>
      </c>
      <c r="Q578" s="18" t="str">
        <f t="shared" si="107"/>
        <v/>
      </c>
      <c r="R578" s="19" t="str">
        <f>IF(C578="","",IF(ISNA(MATCH(B578,'Registru oferte'!$B$5:$B$504,0)),"Oferta nu există în registru",IF(N(F578)&lt;=0,"Lipsește cantitatea",IF(AND(ISNUMBER(Q578),Q578&lt;MarjaMin),"Marjă sub minim ("&amp;TEXT(Q578*100,"0")&amp;"%)",""))))</f>
        <v/>
      </c>
      <c r="S578" s="1" t="str">
        <f>IF(B578="","",B578&amp;"|"&amp;COUNTIF($B$5:B578,B578))</f>
        <v/>
      </c>
    </row>
    <row r="579" spans="2:19" x14ac:dyDescent="0.2">
      <c r="B579" s="11"/>
      <c r="C579" s="11"/>
      <c r="D579" s="10" t="str">
        <f t="shared" si="96"/>
        <v/>
      </c>
      <c r="E579" s="15" t="str">
        <f t="shared" si="97"/>
        <v/>
      </c>
      <c r="F579" s="11"/>
      <c r="G579" s="16" t="str">
        <f t="shared" si="98"/>
        <v/>
      </c>
      <c r="H579" s="17"/>
      <c r="I579" s="16" t="str">
        <f t="shared" si="99"/>
        <v/>
      </c>
      <c r="J579" s="16" t="str">
        <f t="shared" si="100"/>
        <v/>
      </c>
      <c r="K579" s="18" t="str">
        <f t="shared" si="101"/>
        <v/>
      </c>
      <c r="L579" s="16" t="str">
        <f t="shared" si="102"/>
        <v/>
      </c>
      <c r="M579" s="16" t="str">
        <f t="shared" si="103"/>
        <v/>
      </c>
      <c r="N579" s="16" t="str">
        <f t="shared" si="104"/>
        <v/>
      </c>
      <c r="O579" s="16" t="str">
        <f t="shared" si="105"/>
        <v/>
      </c>
      <c r="P579" s="16" t="str">
        <f t="shared" si="106"/>
        <v/>
      </c>
      <c r="Q579" s="18" t="str">
        <f t="shared" si="107"/>
        <v/>
      </c>
      <c r="R579" s="19" t="str">
        <f>IF(C579="","",IF(ISNA(MATCH(B579,'Registru oferte'!$B$5:$B$504,0)),"Oferta nu există în registru",IF(N(F579)&lt;=0,"Lipsește cantitatea",IF(AND(ISNUMBER(Q579),Q579&lt;MarjaMin),"Marjă sub minim ("&amp;TEXT(Q579*100,"0")&amp;"%)",""))))</f>
        <v/>
      </c>
      <c r="S579" s="1" t="str">
        <f>IF(B579="","",B579&amp;"|"&amp;COUNTIF($B$5:B579,B579))</f>
        <v/>
      </c>
    </row>
    <row r="580" spans="2:19" x14ac:dyDescent="0.2">
      <c r="B580" s="11"/>
      <c r="C580" s="11"/>
      <c r="D580" s="10" t="str">
        <f t="shared" si="96"/>
        <v/>
      </c>
      <c r="E580" s="15" t="str">
        <f t="shared" si="97"/>
        <v/>
      </c>
      <c r="F580" s="11"/>
      <c r="G580" s="16" t="str">
        <f t="shared" si="98"/>
        <v/>
      </c>
      <c r="H580" s="17"/>
      <c r="I580" s="16" t="str">
        <f t="shared" si="99"/>
        <v/>
      </c>
      <c r="J580" s="16" t="str">
        <f t="shared" si="100"/>
        <v/>
      </c>
      <c r="K580" s="18" t="str">
        <f t="shared" si="101"/>
        <v/>
      </c>
      <c r="L580" s="16" t="str">
        <f t="shared" si="102"/>
        <v/>
      </c>
      <c r="M580" s="16" t="str">
        <f t="shared" si="103"/>
        <v/>
      </c>
      <c r="N580" s="16" t="str">
        <f t="shared" si="104"/>
        <v/>
      </c>
      <c r="O580" s="16" t="str">
        <f t="shared" si="105"/>
        <v/>
      </c>
      <c r="P580" s="16" t="str">
        <f t="shared" si="106"/>
        <v/>
      </c>
      <c r="Q580" s="18" t="str">
        <f t="shared" si="107"/>
        <v/>
      </c>
      <c r="R580" s="19" t="str">
        <f>IF(C580="","",IF(ISNA(MATCH(B580,'Registru oferte'!$B$5:$B$504,0)),"Oferta nu există în registru",IF(N(F580)&lt;=0,"Lipsește cantitatea",IF(AND(ISNUMBER(Q580),Q580&lt;MarjaMin),"Marjă sub minim ("&amp;TEXT(Q580*100,"0")&amp;"%)",""))))</f>
        <v/>
      </c>
      <c r="S580" s="1" t="str">
        <f>IF(B580="","",B580&amp;"|"&amp;COUNTIF($B$5:B580,B580))</f>
        <v/>
      </c>
    </row>
    <row r="581" spans="2:19" x14ac:dyDescent="0.2">
      <c r="B581" s="11"/>
      <c r="C581" s="11"/>
      <c r="D581" s="10" t="str">
        <f t="shared" ref="D581:D644" si="108">IF(C581="","",IFERROR(VLOOKUP(C581,TabCat,2,FALSE),"Cod inexistent"))</f>
        <v/>
      </c>
      <c r="E581" s="15" t="str">
        <f t="shared" ref="E581:E644" si="109">IF(C581="","",IFERROR(VLOOKUP(C581,TabCat,3,FALSE),""))</f>
        <v/>
      </c>
      <c r="F581" s="11"/>
      <c r="G581" s="16" t="str">
        <f t="shared" ref="G581:G644" si="110">IF(C581="","",IFERROR(VLOOKUP(C581,TabCat,4,FALSE),0))</f>
        <v/>
      </c>
      <c r="H581" s="17"/>
      <c r="I581" s="16" t="str">
        <f t="shared" ref="I581:I644" si="111">IF(C581="","",ROUND(G581*(1-N(H581)),2))</f>
        <v/>
      </c>
      <c r="J581" s="16" t="str">
        <f t="shared" ref="J581:J644" si="112">IF(C581="","",ROUND(I581*N(F581),2))</f>
        <v/>
      </c>
      <c r="K581" s="18" t="str">
        <f t="shared" ref="K581:K644" si="113">IF(C581="","",IFERROR(VLOOKUP(C581,TabCat,6,FALSE),0))</f>
        <v/>
      </c>
      <c r="L581" s="16" t="str">
        <f t="shared" ref="L581:L644" si="114">IF(C581="","",ROUND(J581*K581,2))</f>
        <v/>
      </c>
      <c r="M581" s="16" t="str">
        <f t="shared" ref="M581:M644" si="115">IF(C581="","",J581+L581)</f>
        <v/>
      </c>
      <c r="N581" s="16" t="str">
        <f t="shared" ref="N581:N644" si="116">IF(C581="","",IFERROR(VLOOKUP(C581,TabCat,5,FALSE),0))</f>
        <v/>
      </c>
      <c r="O581" s="16" t="str">
        <f t="shared" ref="O581:O644" si="117">IF(C581="","",ROUND(N581*N(F581),2))</f>
        <v/>
      </c>
      <c r="P581" s="16" t="str">
        <f t="shared" ref="P581:P644" si="118">IF(C581="","",J581-O581)</f>
        <v/>
      </c>
      <c r="Q581" s="18" t="str">
        <f t="shared" ref="Q581:Q644" si="119">IF(OR(C581="",N(J581)=0),"",P581/J581)</f>
        <v/>
      </c>
      <c r="R581" s="19" t="str">
        <f>IF(C581="","",IF(ISNA(MATCH(B581,'Registru oferte'!$B$5:$B$504,0)),"Oferta nu există în registru",IF(N(F581)&lt;=0,"Lipsește cantitatea",IF(AND(ISNUMBER(Q581),Q581&lt;MarjaMin),"Marjă sub minim ("&amp;TEXT(Q581*100,"0")&amp;"%)",""))))</f>
        <v/>
      </c>
      <c r="S581" s="1" t="str">
        <f>IF(B581="","",B581&amp;"|"&amp;COUNTIF($B$5:B581,B581))</f>
        <v/>
      </c>
    </row>
    <row r="582" spans="2:19" x14ac:dyDescent="0.2">
      <c r="B582" s="11"/>
      <c r="C582" s="11"/>
      <c r="D582" s="10" t="str">
        <f t="shared" si="108"/>
        <v/>
      </c>
      <c r="E582" s="15" t="str">
        <f t="shared" si="109"/>
        <v/>
      </c>
      <c r="F582" s="11"/>
      <c r="G582" s="16" t="str">
        <f t="shared" si="110"/>
        <v/>
      </c>
      <c r="H582" s="17"/>
      <c r="I582" s="16" t="str">
        <f t="shared" si="111"/>
        <v/>
      </c>
      <c r="J582" s="16" t="str">
        <f t="shared" si="112"/>
        <v/>
      </c>
      <c r="K582" s="18" t="str">
        <f t="shared" si="113"/>
        <v/>
      </c>
      <c r="L582" s="16" t="str">
        <f t="shared" si="114"/>
        <v/>
      </c>
      <c r="M582" s="16" t="str">
        <f t="shared" si="115"/>
        <v/>
      </c>
      <c r="N582" s="16" t="str">
        <f t="shared" si="116"/>
        <v/>
      </c>
      <c r="O582" s="16" t="str">
        <f t="shared" si="117"/>
        <v/>
      </c>
      <c r="P582" s="16" t="str">
        <f t="shared" si="118"/>
        <v/>
      </c>
      <c r="Q582" s="18" t="str">
        <f t="shared" si="119"/>
        <v/>
      </c>
      <c r="R582" s="19" t="str">
        <f>IF(C582="","",IF(ISNA(MATCH(B582,'Registru oferte'!$B$5:$B$504,0)),"Oferta nu există în registru",IF(N(F582)&lt;=0,"Lipsește cantitatea",IF(AND(ISNUMBER(Q582),Q582&lt;MarjaMin),"Marjă sub minim ("&amp;TEXT(Q582*100,"0")&amp;"%)",""))))</f>
        <v/>
      </c>
      <c r="S582" s="1" t="str">
        <f>IF(B582="","",B582&amp;"|"&amp;COUNTIF($B$5:B582,B582))</f>
        <v/>
      </c>
    </row>
    <row r="583" spans="2:19" x14ac:dyDescent="0.2">
      <c r="B583" s="11"/>
      <c r="C583" s="11"/>
      <c r="D583" s="10" t="str">
        <f t="shared" si="108"/>
        <v/>
      </c>
      <c r="E583" s="15" t="str">
        <f t="shared" si="109"/>
        <v/>
      </c>
      <c r="F583" s="11"/>
      <c r="G583" s="16" t="str">
        <f t="shared" si="110"/>
        <v/>
      </c>
      <c r="H583" s="17"/>
      <c r="I583" s="16" t="str">
        <f t="shared" si="111"/>
        <v/>
      </c>
      <c r="J583" s="16" t="str">
        <f t="shared" si="112"/>
        <v/>
      </c>
      <c r="K583" s="18" t="str">
        <f t="shared" si="113"/>
        <v/>
      </c>
      <c r="L583" s="16" t="str">
        <f t="shared" si="114"/>
        <v/>
      </c>
      <c r="M583" s="16" t="str">
        <f t="shared" si="115"/>
        <v/>
      </c>
      <c r="N583" s="16" t="str">
        <f t="shared" si="116"/>
        <v/>
      </c>
      <c r="O583" s="16" t="str">
        <f t="shared" si="117"/>
        <v/>
      </c>
      <c r="P583" s="16" t="str">
        <f t="shared" si="118"/>
        <v/>
      </c>
      <c r="Q583" s="18" t="str">
        <f t="shared" si="119"/>
        <v/>
      </c>
      <c r="R583" s="19" t="str">
        <f>IF(C583="","",IF(ISNA(MATCH(B583,'Registru oferte'!$B$5:$B$504,0)),"Oferta nu există în registru",IF(N(F583)&lt;=0,"Lipsește cantitatea",IF(AND(ISNUMBER(Q583),Q583&lt;MarjaMin),"Marjă sub minim ("&amp;TEXT(Q583*100,"0")&amp;"%)",""))))</f>
        <v/>
      </c>
      <c r="S583" s="1" t="str">
        <f>IF(B583="","",B583&amp;"|"&amp;COUNTIF($B$5:B583,B583))</f>
        <v/>
      </c>
    </row>
    <row r="584" spans="2:19" x14ac:dyDescent="0.2">
      <c r="B584" s="11"/>
      <c r="C584" s="11"/>
      <c r="D584" s="10" t="str">
        <f t="shared" si="108"/>
        <v/>
      </c>
      <c r="E584" s="15" t="str">
        <f t="shared" si="109"/>
        <v/>
      </c>
      <c r="F584" s="11"/>
      <c r="G584" s="16" t="str">
        <f t="shared" si="110"/>
        <v/>
      </c>
      <c r="H584" s="17"/>
      <c r="I584" s="16" t="str">
        <f t="shared" si="111"/>
        <v/>
      </c>
      <c r="J584" s="16" t="str">
        <f t="shared" si="112"/>
        <v/>
      </c>
      <c r="K584" s="18" t="str">
        <f t="shared" si="113"/>
        <v/>
      </c>
      <c r="L584" s="16" t="str">
        <f t="shared" si="114"/>
        <v/>
      </c>
      <c r="M584" s="16" t="str">
        <f t="shared" si="115"/>
        <v/>
      </c>
      <c r="N584" s="16" t="str">
        <f t="shared" si="116"/>
        <v/>
      </c>
      <c r="O584" s="16" t="str">
        <f t="shared" si="117"/>
        <v/>
      </c>
      <c r="P584" s="16" t="str">
        <f t="shared" si="118"/>
        <v/>
      </c>
      <c r="Q584" s="18" t="str">
        <f t="shared" si="119"/>
        <v/>
      </c>
      <c r="R584" s="19" t="str">
        <f>IF(C584="","",IF(ISNA(MATCH(B584,'Registru oferte'!$B$5:$B$504,0)),"Oferta nu există în registru",IF(N(F584)&lt;=0,"Lipsește cantitatea",IF(AND(ISNUMBER(Q584),Q584&lt;MarjaMin),"Marjă sub minim ("&amp;TEXT(Q584*100,"0")&amp;"%)",""))))</f>
        <v/>
      </c>
      <c r="S584" s="1" t="str">
        <f>IF(B584="","",B584&amp;"|"&amp;COUNTIF($B$5:B584,B584))</f>
        <v/>
      </c>
    </row>
    <row r="585" spans="2:19" x14ac:dyDescent="0.2">
      <c r="B585" s="11"/>
      <c r="C585" s="11"/>
      <c r="D585" s="10" t="str">
        <f t="shared" si="108"/>
        <v/>
      </c>
      <c r="E585" s="15" t="str">
        <f t="shared" si="109"/>
        <v/>
      </c>
      <c r="F585" s="11"/>
      <c r="G585" s="16" t="str">
        <f t="shared" si="110"/>
        <v/>
      </c>
      <c r="H585" s="17"/>
      <c r="I585" s="16" t="str">
        <f t="shared" si="111"/>
        <v/>
      </c>
      <c r="J585" s="16" t="str">
        <f t="shared" si="112"/>
        <v/>
      </c>
      <c r="K585" s="18" t="str">
        <f t="shared" si="113"/>
        <v/>
      </c>
      <c r="L585" s="16" t="str">
        <f t="shared" si="114"/>
        <v/>
      </c>
      <c r="M585" s="16" t="str">
        <f t="shared" si="115"/>
        <v/>
      </c>
      <c r="N585" s="16" t="str">
        <f t="shared" si="116"/>
        <v/>
      </c>
      <c r="O585" s="16" t="str">
        <f t="shared" si="117"/>
        <v/>
      </c>
      <c r="P585" s="16" t="str">
        <f t="shared" si="118"/>
        <v/>
      </c>
      <c r="Q585" s="18" t="str">
        <f t="shared" si="119"/>
        <v/>
      </c>
      <c r="R585" s="19" t="str">
        <f>IF(C585="","",IF(ISNA(MATCH(B585,'Registru oferte'!$B$5:$B$504,0)),"Oferta nu există în registru",IF(N(F585)&lt;=0,"Lipsește cantitatea",IF(AND(ISNUMBER(Q585),Q585&lt;MarjaMin),"Marjă sub minim ("&amp;TEXT(Q585*100,"0")&amp;"%)",""))))</f>
        <v/>
      </c>
      <c r="S585" s="1" t="str">
        <f>IF(B585="","",B585&amp;"|"&amp;COUNTIF($B$5:B585,B585))</f>
        <v/>
      </c>
    </row>
    <row r="586" spans="2:19" x14ac:dyDescent="0.2">
      <c r="B586" s="11"/>
      <c r="C586" s="11"/>
      <c r="D586" s="10" t="str">
        <f t="shared" si="108"/>
        <v/>
      </c>
      <c r="E586" s="15" t="str">
        <f t="shared" si="109"/>
        <v/>
      </c>
      <c r="F586" s="11"/>
      <c r="G586" s="16" t="str">
        <f t="shared" si="110"/>
        <v/>
      </c>
      <c r="H586" s="17"/>
      <c r="I586" s="16" t="str">
        <f t="shared" si="111"/>
        <v/>
      </c>
      <c r="J586" s="16" t="str">
        <f t="shared" si="112"/>
        <v/>
      </c>
      <c r="K586" s="18" t="str">
        <f t="shared" si="113"/>
        <v/>
      </c>
      <c r="L586" s="16" t="str">
        <f t="shared" si="114"/>
        <v/>
      </c>
      <c r="M586" s="16" t="str">
        <f t="shared" si="115"/>
        <v/>
      </c>
      <c r="N586" s="16" t="str">
        <f t="shared" si="116"/>
        <v/>
      </c>
      <c r="O586" s="16" t="str">
        <f t="shared" si="117"/>
        <v/>
      </c>
      <c r="P586" s="16" t="str">
        <f t="shared" si="118"/>
        <v/>
      </c>
      <c r="Q586" s="18" t="str">
        <f t="shared" si="119"/>
        <v/>
      </c>
      <c r="R586" s="19" t="str">
        <f>IF(C586="","",IF(ISNA(MATCH(B586,'Registru oferte'!$B$5:$B$504,0)),"Oferta nu există în registru",IF(N(F586)&lt;=0,"Lipsește cantitatea",IF(AND(ISNUMBER(Q586),Q586&lt;MarjaMin),"Marjă sub minim ("&amp;TEXT(Q586*100,"0")&amp;"%)",""))))</f>
        <v/>
      </c>
      <c r="S586" s="1" t="str">
        <f>IF(B586="","",B586&amp;"|"&amp;COUNTIF($B$5:B586,B586))</f>
        <v/>
      </c>
    </row>
    <row r="587" spans="2:19" x14ac:dyDescent="0.2">
      <c r="B587" s="11"/>
      <c r="C587" s="11"/>
      <c r="D587" s="10" t="str">
        <f t="shared" si="108"/>
        <v/>
      </c>
      <c r="E587" s="15" t="str">
        <f t="shared" si="109"/>
        <v/>
      </c>
      <c r="F587" s="11"/>
      <c r="G587" s="16" t="str">
        <f t="shared" si="110"/>
        <v/>
      </c>
      <c r="H587" s="17"/>
      <c r="I587" s="16" t="str">
        <f t="shared" si="111"/>
        <v/>
      </c>
      <c r="J587" s="16" t="str">
        <f t="shared" si="112"/>
        <v/>
      </c>
      <c r="K587" s="18" t="str">
        <f t="shared" si="113"/>
        <v/>
      </c>
      <c r="L587" s="16" t="str">
        <f t="shared" si="114"/>
        <v/>
      </c>
      <c r="M587" s="16" t="str">
        <f t="shared" si="115"/>
        <v/>
      </c>
      <c r="N587" s="16" t="str">
        <f t="shared" si="116"/>
        <v/>
      </c>
      <c r="O587" s="16" t="str">
        <f t="shared" si="117"/>
        <v/>
      </c>
      <c r="P587" s="16" t="str">
        <f t="shared" si="118"/>
        <v/>
      </c>
      <c r="Q587" s="18" t="str">
        <f t="shared" si="119"/>
        <v/>
      </c>
      <c r="R587" s="19" t="str">
        <f>IF(C587="","",IF(ISNA(MATCH(B587,'Registru oferte'!$B$5:$B$504,0)),"Oferta nu există în registru",IF(N(F587)&lt;=0,"Lipsește cantitatea",IF(AND(ISNUMBER(Q587),Q587&lt;MarjaMin),"Marjă sub minim ("&amp;TEXT(Q587*100,"0")&amp;"%)",""))))</f>
        <v/>
      </c>
      <c r="S587" s="1" t="str">
        <f>IF(B587="","",B587&amp;"|"&amp;COUNTIF($B$5:B587,B587))</f>
        <v/>
      </c>
    </row>
    <row r="588" spans="2:19" x14ac:dyDescent="0.2">
      <c r="B588" s="11"/>
      <c r="C588" s="11"/>
      <c r="D588" s="10" t="str">
        <f t="shared" si="108"/>
        <v/>
      </c>
      <c r="E588" s="15" t="str">
        <f t="shared" si="109"/>
        <v/>
      </c>
      <c r="F588" s="11"/>
      <c r="G588" s="16" t="str">
        <f t="shared" si="110"/>
        <v/>
      </c>
      <c r="H588" s="17"/>
      <c r="I588" s="16" t="str">
        <f t="shared" si="111"/>
        <v/>
      </c>
      <c r="J588" s="16" t="str">
        <f t="shared" si="112"/>
        <v/>
      </c>
      <c r="K588" s="18" t="str">
        <f t="shared" si="113"/>
        <v/>
      </c>
      <c r="L588" s="16" t="str">
        <f t="shared" si="114"/>
        <v/>
      </c>
      <c r="M588" s="16" t="str">
        <f t="shared" si="115"/>
        <v/>
      </c>
      <c r="N588" s="16" t="str">
        <f t="shared" si="116"/>
        <v/>
      </c>
      <c r="O588" s="16" t="str">
        <f t="shared" si="117"/>
        <v/>
      </c>
      <c r="P588" s="16" t="str">
        <f t="shared" si="118"/>
        <v/>
      </c>
      <c r="Q588" s="18" t="str">
        <f t="shared" si="119"/>
        <v/>
      </c>
      <c r="R588" s="19" t="str">
        <f>IF(C588="","",IF(ISNA(MATCH(B588,'Registru oferte'!$B$5:$B$504,0)),"Oferta nu există în registru",IF(N(F588)&lt;=0,"Lipsește cantitatea",IF(AND(ISNUMBER(Q588),Q588&lt;MarjaMin),"Marjă sub minim ("&amp;TEXT(Q588*100,"0")&amp;"%)",""))))</f>
        <v/>
      </c>
      <c r="S588" s="1" t="str">
        <f>IF(B588="","",B588&amp;"|"&amp;COUNTIF($B$5:B588,B588))</f>
        <v/>
      </c>
    </row>
    <row r="589" spans="2:19" x14ac:dyDescent="0.2">
      <c r="B589" s="11"/>
      <c r="C589" s="11"/>
      <c r="D589" s="10" t="str">
        <f t="shared" si="108"/>
        <v/>
      </c>
      <c r="E589" s="15" t="str">
        <f t="shared" si="109"/>
        <v/>
      </c>
      <c r="F589" s="11"/>
      <c r="G589" s="16" t="str">
        <f t="shared" si="110"/>
        <v/>
      </c>
      <c r="H589" s="17"/>
      <c r="I589" s="16" t="str">
        <f t="shared" si="111"/>
        <v/>
      </c>
      <c r="J589" s="16" t="str">
        <f t="shared" si="112"/>
        <v/>
      </c>
      <c r="K589" s="18" t="str">
        <f t="shared" si="113"/>
        <v/>
      </c>
      <c r="L589" s="16" t="str">
        <f t="shared" si="114"/>
        <v/>
      </c>
      <c r="M589" s="16" t="str">
        <f t="shared" si="115"/>
        <v/>
      </c>
      <c r="N589" s="16" t="str">
        <f t="shared" si="116"/>
        <v/>
      </c>
      <c r="O589" s="16" t="str">
        <f t="shared" si="117"/>
        <v/>
      </c>
      <c r="P589" s="16" t="str">
        <f t="shared" si="118"/>
        <v/>
      </c>
      <c r="Q589" s="18" t="str">
        <f t="shared" si="119"/>
        <v/>
      </c>
      <c r="R589" s="19" t="str">
        <f>IF(C589="","",IF(ISNA(MATCH(B589,'Registru oferte'!$B$5:$B$504,0)),"Oferta nu există în registru",IF(N(F589)&lt;=0,"Lipsește cantitatea",IF(AND(ISNUMBER(Q589),Q589&lt;MarjaMin),"Marjă sub minim ("&amp;TEXT(Q589*100,"0")&amp;"%)",""))))</f>
        <v/>
      </c>
      <c r="S589" s="1" t="str">
        <f>IF(B589="","",B589&amp;"|"&amp;COUNTIF($B$5:B589,B589))</f>
        <v/>
      </c>
    </row>
    <row r="590" spans="2:19" x14ac:dyDescent="0.2">
      <c r="B590" s="11"/>
      <c r="C590" s="11"/>
      <c r="D590" s="10" t="str">
        <f t="shared" si="108"/>
        <v/>
      </c>
      <c r="E590" s="15" t="str">
        <f t="shared" si="109"/>
        <v/>
      </c>
      <c r="F590" s="11"/>
      <c r="G590" s="16" t="str">
        <f t="shared" si="110"/>
        <v/>
      </c>
      <c r="H590" s="17"/>
      <c r="I590" s="16" t="str">
        <f t="shared" si="111"/>
        <v/>
      </c>
      <c r="J590" s="16" t="str">
        <f t="shared" si="112"/>
        <v/>
      </c>
      <c r="K590" s="18" t="str">
        <f t="shared" si="113"/>
        <v/>
      </c>
      <c r="L590" s="16" t="str">
        <f t="shared" si="114"/>
        <v/>
      </c>
      <c r="M590" s="16" t="str">
        <f t="shared" si="115"/>
        <v/>
      </c>
      <c r="N590" s="16" t="str">
        <f t="shared" si="116"/>
        <v/>
      </c>
      <c r="O590" s="16" t="str">
        <f t="shared" si="117"/>
        <v/>
      </c>
      <c r="P590" s="16" t="str">
        <f t="shared" si="118"/>
        <v/>
      </c>
      <c r="Q590" s="18" t="str">
        <f t="shared" si="119"/>
        <v/>
      </c>
      <c r="R590" s="19" t="str">
        <f>IF(C590="","",IF(ISNA(MATCH(B590,'Registru oferte'!$B$5:$B$504,0)),"Oferta nu există în registru",IF(N(F590)&lt;=0,"Lipsește cantitatea",IF(AND(ISNUMBER(Q590),Q590&lt;MarjaMin),"Marjă sub minim ("&amp;TEXT(Q590*100,"0")&amp;"%)",""))))</f>
        <v/>
      </c>
      <c r="S590" s="1" t="str">
        <f>IF(B590="","",B590&amp;"|"&amp;COUNTIF($B$5:B590,B590))</f>
        <v/>
      </c>
    </row>
    <row r="591" spans="2:19" x14ac:dyDescent="0.2">
      <c r="B591" s="11"/>
      <c r="C591" s="11"/>
      <c r="D591" s="10" t="str">
        <f t="shared" si="108"/>
        <v/>
      </c>
      <c r="E591" s="15" t="str">
        <f t="shared" si="109"/>
        <v/>
      </c>
      <c r="F591" s="11"/>
      <c r="G591" s="16" t="str">
        <f t="shared" si="110"/>
        <v/>
      </c>
      <c r="H591" s="17"/>
      <c r="I591" s="16" t="str">
        <f t="shared" si="111"/>
        <v/>
      </c>
      <c r="J591" s="16" t="str">
        <f t="shared" si="112"/>
        <v/>
      </c>
      <c r="K591" s="18" t="str">
        <f t="shared" si="113"/>
        <v/>
      </c>
      <c r="L591" s="16" t="str">
        <f t="shared" si="114"/>
        <v/>
      </c>
      <c r="M591" s="16" t="str">
        <f t="shared" si="115"/>
        <v/>
      </c>
      <c r="N591" s="16" t="str">
        <f t="shared" si="116"/>
        <v/>
      </c>
      <c r="O591" s="16" t="str">
        <f t="shared" si="117"/>
        <v/>
      </c>
      <c r="P591" s="16" t="str">
        <f t="shared" si="118"/>
        <v/>
      </c>
      <c r="Q591" s="18" t="str">
        <f t="shared" si="119"/>
        <v/>
      </c>
      <c r="R591" s="19" t="str">
        <f>IF(C591="","",IF(ISNA(MATCH(B591,'Registru oferte'!$B$5:$B$504,0)),"Oferta nu există în registru",IF(N(F591)&lt;=0,"Lipsește cantitatea",IF(AND(ISNUMBER(Q591),Q591&lt;MarjaMin),"Marjă sub minim ("&amp;TEXT(Q591*100,"0")&amp;"%)",""))))</f>
        <v/>
      </c>
      <c r="S591" s="1" t="str">
        <f>IF(B591="","",B591&amp;"|"&amp;COUNTIF($B$5:B591,B591))</f>
        <v/>
      </c>
    </row>
    <row r="592" spans="2:19" x14ac:dyDescent="0.2">
      <c r="B592" s="11"/>
      <c r="C592" s="11"/>
      <c r="D592" s="10" t="str">
        <f t="shared" si="108"/>
        <v/>
      </c>
      <c r="E592" s="15" t="str">
        <f t="shared" si="109"/>
        <v/>
      </c>
      <c r="F592" s="11"/>
      <c r="G592" s="16" t="str">
        <f t="shared" si="110"/>
        <v/>
      </c>
      <c r="H592" s="17"/>
      <c r="I592" s="16" t="str">
        <f t="shared" si="111"/>
        <v/>
      </c>
      <c r="J592" s="16" t="str">
        <f t="shared" si="112"/>
        <v/>
      </c>
      <c r="K592" s="18" t="str">
        <f t="shared" si="113"/>
        <v/>
      </c>
      <c r="L592" s="16" t="str">
        <f t="shared" si="114"/>
        <v/>
      </c>
      <c r="M592" s="16" t="str">
        <f t="shared" si="115"/>
        <v/>
      </c>
      <c r="N592" s="16" t="str">
        <f t="shared" si="116"/>
        <v/>
      </c>
      <c r="O592" s="16" t="str">
        <f t="shared" si="117"/>
        <v/>
      </c>
      <c r="P592" s="16" t="str">
        <f t="shared" si="118"/>
        <v/>
      </c>
      <c r="Q592" s="18" t="str">
        <f t="shared" si="119"/>
        <v/>
      </c>
      <c r="R592" s="19" t="str">
        <f>IF(C592="","",IF(ISNA(MATCH(B592,'Registru oferte'!$B$5:$B$504,0)),"Oferta nu există în registru",IF(N(F592)&lt;=0,"Lipsește cantitatea",IF(AND(ISNUMBER(Q592),Q592&lt;MarjaMin),"Marjă sub minim ("&amp;TEXT(Q592*100,"0")&amp;"%)",""))))</f>
        <v/>
      </c>
      <c r="S592" s="1" t="str">
        <f>IF(B592="","",B592&amp;"|"&amp;COUNTIF($B$5:B592,B592))</f>
        <v/>
      </c>
    </row>
    <row r="593" spans="2:19" x14ac:dyDescent="0.2">
      <c r="B593" s="11"/>
      <c r="C593" s="11"/>
      <c r="D593" s="10" t="str">
        <f t="shared" si="108"/>
        <v/>
      </c>
      <c r="E593" s="15" t="str">
        <f t="shared" si="109"/>
        <v/>
      </c>
      <c r="F593" s="11"/>
      <c r="G593" s="16" t="str">
        <f t="shared" si="110"/>
        <v/>
      </c>
      <c r="H593" s="17"/>
      <c r="I593" s="16" t="str">
        <f t="shared" si="111"/>
        <v/>
      </c>
      <c r="J593" s="16" t="str">
        <f t="shared" si="112"/>
        <v/>
      </c>
      <c r="K593" s="18" t="str">
        <f t="shared" si="113"/>
        <v/>
      </c>
      <c r="L593" s="16" t="str">
        <f t="shared" si="114"/>
        <v/>
      </c>
      <c r="M593" s="16" t="str">
        <f t="shared" si="115"/>
        <v/>
      </c>
      <c r="N593" s="16" t="str">
        <f t="shared" si="116"/>
        <v/>
      </c>
      <c r="O593" s="16" t="str">
        <f t="shared" si="117"/>
        <v/>
      </c>
      <c r="P593" s="16" t="str">
        <f t="shared" si="118"/>
        <v/>
      </c>
      <c r="Q593" s="18" t="str">
        <f t="shared" si="119"/>
        <v/>
      </c>
      <c r="R593" s="19" t="str">
        <f>IF(C593="","",IF(ISNA(MATCH(B593,'Registru oferte'!$B$5:$B$504,0)),"Oferta nu există în registru",IF(N(F593)&lt;=0,"Lipsește cantitatea",IF(AND(ISNUMBER(Q593),Q593&lt;MarjaMin),"Marjă sub minim ("&amp;TEXT(Q593*100,"0")&amp;"%)",""))))</f>
        <v/>
      </c>
      <c r="S593" s="1" t="str">
        <f>IF(B593="","",B593&amp;"|"&amp;COUNTIF($B$5:B593,B593))</f>
        <v/>
      </c>
    </row>
    <row r="594" spans="2:19" x14ac:dyDescent="0.2">
      <c r="B594" s="11"/>
      <c r="C594" s="11"/>
      <c r="D594" s="10" t="str">
        <f t="shared" si="108"/>
        <v/>
      </c>
      <c r="E594" s="15" t="str">
        <f t="shared" si="109"/>
        <v/>
      </c>
      <c r="F594" s="11"/>
      <c r="G594" s="16" t="str">
        <f t="shared" si="110"/>
        <v/>
      </c>
      <c r="H594" s="17"/>
      <c r="I594" s="16" t="str">
        <f t="shared" si="111"/>
        <v/>
      </c>
      <c r="J594" s="16" t="str">
        <f t="shared" si="112"/>
        <v/>
      </c>
      <c r="K594" s="18" t="str">
        <f t="shared" si="113"/>
        <v/>
      </c>
      <c r="L594" s="16" t="str">
        <f t="shared" si="114"/>
        <v/>
      </c>
      <c r="M594" s="16" t="str">
        <f t="shared" si="115"/>
        <v/>
      </c>
      <c r="N594" s="16" t="str">
        <f t="shared" si="116"/>
        <v/>
      </c>
      <c r="O594" s="16" t="str">
        <f t="shared" si="117"/>
        <v/>
      </c>
      <c r="P594" s="16" t="str">
        <f t="shared" si="118"/>
        <v/>
      </c>
      <c r="Q594" s="18" t="str">
        <f t="shared" si="119"/>
        <v/>
      </c>
      <c r="R594" s="19" t="str">
        <f>IF(C594="","",IF(ISNA(MATCH(B594,'Registru oferte'!$B$5:$B$504,0)),"Oferta nu există în registru",IF(N(F594)&lt;=0,"Lipsește cantitatea",IF(AND(ISNUMBER(Q594),Q594&lt;MarjaMin),"Marjă sub minim ("&amp;TEXT(Q594*100,"0")&amp;"%)",""))))</f>
        <v/>
      </c>
      <c r="S594" s="1" t="str">
        <f>IF(B594="","",B594&amp;"|"&amp;COUNTIF($B$5:B594,B594))</f>
        <v/>
      </c>
    </row>
    <row r="595" spans="2:19" x14ac:dyDescent="0.2">
      <c r="B595" s="11"/>
      <c r="C595" s="11"/>
      <c r="D595" s="10" t="str">
        <f t="shared" si="108"/>
        <v/>
      </c>
      <c r="E595" s="15" t="str">
        <f t="shared" si="109"/>
        <v/>
      </c>
      <c r="F595" s="11"/>
      <c r="G595" s="16" t="str">
        <f t="shared" si="110"/>
        <v/>
      </c>
      <c r="H595" s="17"/>
      <c r="I595" s="16" t="str">
        <f t="shared" si="111"/>
        <v/>
      </c>
      <c r="J595" s="16" t="str">
        <f t="shared" si="112"/>
        <v/>
      </c>
      <c r="K595" s="18" t="str">
        <f t="shared" si="113"/>
        <v/>
      </c>
      <c r="L595" s="16" t="str">
        <f t="shared" si="114"/>
        <v/>
      </c>
      <c r="M595" s="16" t="str">
        <f t="shared" si="115"/>
        <v/>
      </c>
      <c r="N595" s="16" t="str">
        <f t="shared" si="116"/>
        <v/>
      </c>
      <c r="O595" s="16" t="str">
        <f t="shared" si="117"/>
        <v/>
      </c>
      <c r="P595" s="16" t="str">
        <f t="shared" si="118"/>
        <v/>
      </c>
      <c r="Q595" s="18" t="str">
        <f t="shared" si="119"/>
        <v/>
      </c>
      <c r="R595" s="19" t="str">
        <f>IF(C595="","",IF(ISNA(MATCH(B595,'Registru oferte'!$B$5:$B$504,0)),"Oferta nu există în registru",IF(N(F595)&lt;=0,"Lipsește cantitatea",IF(AND(ISNUMBER(Q595),Q595&lt;MarjaMin),"Marjă sub minim ("&amp;TEXT(Q595*100,"0")&amp;"%)",""))))</f>
        <v/>
      </c>
      <c r="S595" s="1" t="str">
        <f>IF(B595="","",B595&amp;"|"&amp;COUNTIF($B$5:B595,B595))</f>
        <v/>
      </c>
    </row>
    <row r="596" spans="2:19" x14ac:dyDescent="0.2">
      <c r="B596" s="11"/>
      <c r="C596" s="11"/>
      <c r="D596" s="10" t="str">
        <f t="shared" si="108"/>
        <v/>
      </c>
      <c r="E596" s="15" t="str">
        <f t="shared" si="109"/>
        <v/>
      </c>
      <c r="F596" s="11"/>
      <c r="G596" s="16" t="str">
        <f t="shared" si="110"/>
        <v/>
      </c>
      <c r="H596" s="17"/>
      <c r="I596" s="16" t="str">
        <f t="shared" si="111"/>
        <v/>
      </c>
      <c r="J596" s="16" t="str">
        <f t="shared" si="112"/>
        <v/>
      </c>
      <c r="K596" s="18" t="str">
        <f t="shared" si="113"/>
        <v/>
      </c>
      <c r="L596" s="16" t="str">
        <f t="shared" si="114"/>
        <v/>
      </c>
      <c r="M596" s="16" t="str">
        <f t="shared" si="115"/>
        <v/>
      </c>
      <c r="N596" s="16" t="str">
        <f t="shared" si="116"/>
        <v/>
      </c>
      <c r="O596" s="16" t="str">
        <f t="shared" si="117"/>
        <v/>
      </c>
      <c r="P596" s="16" t="str">
        <f t="shared" si="118"/>
        <v/>
      </c>
      <c r="Q596" s="18" t="str">
        <f t="shared" si="119"/>
        <v/>
      </c>
      <c r="R596" s="19" t="str">
        <f>IF(C596="","",IF(ISNA(MATCH(B596,'Registru oferte'!$B$5:$B$504,0)),"Oferta nu există în registru",IF(N(F596)&lt;=0,"Lipsește cantitatea",IF(AND(ISNUMBER(Q596),Q596&lt;MarjaMin),"Marjă sub minim ("&amp;TEXT(Q596*100,"0")&amp;"%)",""))))</f>
        <v/>
      </c>
      <c r="S596" s="1" t="str">
        <f>IF(B596="","",B596&amp;"|"&amp;COUNTIF($B$5:B596,B596))</f>
        <v/>
      </c>
    </row>
    <row r="597" spans="2:19" x14ac:dyDescent="0.2">
      <c r="B597" s="11"/>
      <c r="C597" s="11"/>
      <c r="D597" s="10" t="str">
        <f t="shared" si="108"/>
        <v/>
      </c>
      <c r="E597" s="15" t="str">
        <f t="shared" si="109"/>
        <v/>
      </c>
      <c r="F597" s="11"/>
      <c r="G597" s="16" t="str">
        <f t="shared" si="110"/>
        <v/>
      </c>
      <c r="H597" s="17"/>
      <c r="I597" s="16" t="str">
        <f t="shared" si="111"/>
        <v/>
      </c>
      <c r="J597" s="16" t="str">
        <f t="shared" si="112"/>
        <v/>
      </c>
      <c r="K597" s="18" t="str">
        <f t="shared" si="113"/>
        <v/>
      </c>
      <c r="L597" s="16" t="str">
        <f t="shared" si="114"/>
        <v/>
      </c>
      <c r="M597" s="16" t="str">
        <f t="shared" si="115"/>
        <v/>
      </c>
      <c r="N597" s="16" t="str">
        <f t="shared" si="116"/>
        <v/>
      </c>
      <c r="O597" s="16" t="str">
        <f t="shared" si="117"/>
        <v/>
      </c>
      <c r="P597" s="16" t="str">
        <f t="shared" si="118"/>
        <v/>
      </c>
      <c r="Q597" s="18" t="str">
        <f t="shared" si="119"/>
        <v/>
      </c>
      <c r="R597" s="19" t="str">
        <f>IF(C597="","",IF(ISNA(MATCH(B597,'Registru oferte'!$B$5:$B$504,0)),"Oferta nu există în registru",IF(N(F597)&lt;=0,"Lipsește cantitatea",IF(AND(ISNUMBER(Q597),Q597&lt;MarjaMin),"Marjă sub minim ("&amp;TEXT(Q597*100,"0")&amp;"%)",""))))</f>
        <v/>
      </c>
      <c r="S597" s="1" t="str">
        <f>IF(B597="","",B597&amp;"|"&amp;COUNTIF($B$5:B597,B597))</f>
        <v/>
      </c>
    </row>
    <row r="598" spans="2:19" x14ac:dyDescent="0.2">
      <c r="B598" s="11"/>
      <c r="C598" s="11"/>
      <c r="D598" s="10" t="str">
        <f t="shared" si="108"/>
        <v/>
      </c>
      <c r="E598" s="15" t="str">
        <f t="shared" si="109"/>
        <v/>
      </c>
      <c r="F598" s="11"/>
      <c r="G598" s="16" t="str">
        <f t="shared" si="110"/>
        <v/>
      </c>
      <c r="H598" s="17"/>
      <c r="I598" s="16" t="str">
        <f t="shared" si="111"/>
        <v/>
      </c>
      <c r="J598" s="16" t="str">
        <f t="shared" si="112"/>
        <v/>
      </c>
      <c r="K598" s="18" t="str">
        <f t="shared" si="113"/>
        <v/>
      </c>
      <c r="L598" s="16" t="str">
        <f t="shared" si="114"/>
        <v/>
      </c>
      <c r="M598" s="16" t="str">
        <f t="shared" si="115"/>
        <v/>
      </c>
      <c r="N598" s="16" t="str">
        <f t="shared" si="116"/>
        <v/>
      </c>
      <c r="O598" s="16" t="str">
        <f t="shared" si="117"/>
        <v/>
      </c>
      <c r="P598" s="16" t="str">
        <f t="shared" si="118"/>
        <v/>
      </c>
      <c r="Q598" s="18" t="str">
        <f t="shared" si="119"/>
        <v/>
      </c>
      <c r="R598" s="19" t="str">
        <f>IF(C598="","",IF(ISNA(MATCH(B598,'Registru oferte'!$B$5:$B$504,0)),"Oferta nu există în registru",IF(N(F598)&lt;=0,"Lipsește cantitatea",IF(AND(ISNUMBER(Q598),Q598&lt;MarjaMin),"Marjă sub minim ("&amp;TEXT(Q598*100,"0")&amp;"%)",""))))</f>
        <v/>
      </c>
      <c r="S598" s="1" t="str">
        <f>IF(B598="","",B598&amp;"|"&amp;COUNTIF($B$5:B598,B598))</f>
        <v/>
      </c>
    </row>
    <row r="599" spans="2:19" x14ac:dyDescent="0.2">
      <c r="B599" s="11"/>
      <c r="C599" s="11"/>
      <c r="D599" s="10" t="str">
        <f t="shared" si="108"/>
        <v/>
      </c>
      <c r="E599" s="15" t="str">
        <f t="shared" si="109"/>
        <v/>
      </c>
      <c r="F599" s="11"/>
      <c r="G599" s="16" t="str">
        <f t="shared" si="110"/>
        <v/>
      </c>
      <c r="H599" s="17"/>
      <c r="I599" s="16" t="str">
        <f t="shared" si="111"/>
        <v/>
      </c>
      <c r="J599" s="16" t="str">
        <f t="shared" si="112"/>
        <v/>
      </c>
      <c r="K599" s="18" t="str">
        <f t="shared" si="113"/>
        <v/>
      </c>
      <c r="L599" s="16" t="str">
        <f t="shared" si="114"/>
        <v/>
      </c>
      <c r="M599" s="16" t="str">
        <f t="shared" si="115"/>
        <v/>
      </c>
      <c r="N599" s="16" t="str">
        <f t="shared" si="116"/>
        <v/>
      </c>
      <c r="O599" s="16" t="str">
        <f t="shared" si="117"/>
        <v/>
      </c>
      <c r="P599" s="16" t="str">
        <f t="shared" si="118"/>
        <v/>
      </c>
      <c r="Q599" s="18" t="str">
        <f t="shared" si="119"/>
        <v/>
      </c>
      <c r="R599" s="19" t="str">
        <f>IF(C599="","",IF(ISNA(MATCH(B599,'Registru oferte'!$B$5:$B$504,0)),"Oferta nu există în registru",IF(N(F599)&lt;=0,"Lipsește cantitatea",IF(AND(ISNUMBER(Q599),Q599&lt;MarjaMin),"Marjă sub minim ("&amp;TEXT(Q599*100,"0")&amp;"%)",""))))</f>
        <v/>
      </c>
      <c r="S599" s="1" t="str">
        <f>IF(B599="","",B599&amp;"|"&amp;COUNTIF($B$5:B599,B599))</f>
        <v/>
      </c>
    </row>
    <row r="600" spans="2:19" x14ac:dyDescent="0.2">
      <c r="B600" s="11"/>
      <c r="C600" s="11"/>
      <c r="D600" s="10" t="str">
        <f t="shared" si="108"/>
        <v/>
      </c>
      <c r="E600" s="15" t="str">
        <f t="shared" si="109"/>
        <v/>
      </c>
      <c r="F600" s="11"/>
      <c r="G600" s="16" t="str">
        <f t="shared" si="110"/>
        <v/>
      </c>
      <c r="H600" s="17"/>
      <c r="I600" s="16" t="str">
        <f t="shared" si="111"/>
        <v/>
      </c>
      <c r="J600" s="16" t="str">
        <f t="shared" si="112"/>
        <v/>
      </c>
      <c r="K600" s="18" t="str">
        <f t="shared" si="113"/>
        <v/>
      </c>
      <c r="L600" s="16" t="str">
        <f t="shared" si="114"/>
        <v/>
      </c>
      <c r="M600" s="16" t="str">
        <f t="shared" si="115"/>
        <v/>
      </c>
      <c r="N600" s="16" t="str">
        <f t="shared" si="116"/>
        <v/>
      </c>
      <c r="O600" s="16" t="str">
        <f t="shared" si="117"/>
        <v/>
      </c>
      <c r="P600" s="16" t="str">
        <f t="shared" si="118"/>
        <v/>
      </c>
      <c r="Q600" s="18" t="str">
        <f t="shared" si="119"/>
        <v/>
      </c>
      <c r="R600" s="19" t="str">
        <f>IF(C600="","",IF(ISNA(MATCH(B600,'Registru oferte'!$B$5:$B$504,0)),"Oferta nu există în registru",IF(N(F600)&lt;=0,"Lipsește cantitatea",IF(AND(ISNUMBER(Q600),Q600&lt;MarjaMin),"Marjă sub minim ("&amp;TEXT(Q600*100,"0")&amp;"%)",""))))</f>
        <v/>
      </c>
      <c r="S600" s="1" t="str">
        <f>IF(B600="","",B600&amp;"|"&amp;COUNTIF($B$5:B600,B600))</f>
        <v/>
      </c>
    </row>
    <row r="601" spans="2:19" x14ac:dyDescent="0.2">
      <c r="B601" s="11"/>
      <c r="C601" s="11"/>
      <c r="D601" s="10" t="str">
        <f t="shared" si="108"/>
        <v/>
      </c>
      <c r="E601" s="15" t="str">
        <f t="shared" si="109"/>
        <v/>
      </c>
      <c r="F601" s="11"/>
      <c r="G601" s="16" t="str">
        <f t="shared" si="110"/>
        <v/>
      </c>
      <c r="H601" s="17"/>
      <c r="I601" s="16" t="str">
        <f t="shared" si="111"/>
        <v/>
      </c>
      <c r="J601" s="16" t="str">
        <f t="shared" si="112"/>
        <v/>
      </c>
      <c r="K601" s="18" t="str">
        <f t="shared" si="113"/>
        <v/>
      </c>
      <c r="L601" s="16" t="str">
        <f t="shared" si="114"/>
        <v/>
      </c>
      <c r="M601" s="16" t="str">
        <f t="shared" si="115"/>
        <v/>
      </c>
      <c r="N601" s="16" t="str">
        <f t="shared" si="116"/>
        <v/>
      </c>
      <c r="O601" s="16" t="str">
        <f t="shared" si="117"/>
        <v/>
      </c>
      <c r="P601" s="16" t="str">
        <f t="shared" si="118"/>
        <v/>
      </c>
      <c r="Q601" s="18" t="str">
        <f t="shared" si="119"/>
        <v/>
      </c>
      <c r="R601" s="19" t="str">
        <f>IF(C601="","",IF(ISNA(MATCH(B601,'Registru oferte'!$B$5:$B$504,0)),"Oferta nu există în registru",IF(N(F601)&lt;=0,"Lipsește cantitatea",IF(AND(ISNUMBER(Q601),Q601&lt;MarjaMin),"Marjă sub minim ("&amp;TEXT(Q601*100,"0")&amp;"%)",""))))</f>
        <v/>
      </c>
      <c r="S601" s="1" t="str">
        <f>IF(B601="","",B601&amp;"|"&amp;COUNTIF($B$5:B601,B601))</f>
        <v/>
      </c>
    </row>
    <row r="602" spans="2:19" x14ac:dyDescent="0.2">
      <c r="B602" s="11"/>
      <c r="C602" s="11"/>
      <c r="D602" s="10" t="str">
        <f t="shared" si="108"/>
        <v/>
      </c>
      <c r="E602" s="15" t="str">
        <f t="shared" si="109"/>
        <v/>
      </c>
      <c r="F602" s="11"/>
      <c r="G602" s="16" t="str">
        <f t="shared" si="110"/>
        <v/>
      </c>
      <c r="H602" s="17"/>
      <c r="I602" s="16" t="str">
        <f t="shared" si="111"/>
        <v/>
      </c>
      <c r="J602" s="16" t="str">
        <f t="shared" si="112"/>
        <v/>
      </c>
      <c r="K602" s="18" t="str">
        <f t="shared" si="113"/>
        <v/>
      </c>
      <c r="L602" s="16" t="str">
        <f t="shared" si="114"/>
        <v/>
      </c>
      <c r="M602" s="16" t="str">
        <f t="shared" si="115"/>
        <v/>
      </c>
      <c r="N602" s="16" t="str">
        <f t="shared" si="116"/>
        <v/>
      </c>
      <c r="O602" s="16" t="str">
        <f t="shared" si="117"/>
        <v/>
      </c>
      <c r="P602" s="16" t="str">
        <f t="shared" si="118"/>
        <v/>
      </c>
      <c r="Q602" s="18" t="str">
        <f t="shared" si="119"/>
        <v/>
      </c>
      <c r="R602" s="19" t="str">
        <f>IF(C602="","",IF(ISNA(MATCH(B602,'Registru oferte'!$B$5:$B$504,0)),"Oferta nu există în registru",IF(N(F602)&lt;=0,"Lipsește cantitatea",IF(AND(ISNUMBER(Q602),Q602&lt;MarjaMin),"Marjă sub minim ("&amp;TEXT(Q602*100,"0")&amp;"%)",""))))</f>
        <v/>
      </c>
      <c r="S602" s="1" t="str">
        <f>IF(B602="","",B602&amp;"|"&amp;COUNTIF($B$5:B602,B602))</f>
        <v/>
      </c>
    </row>
    <row r="603" spans="2:19" x14ac:dyDescent="0.2">
      <c r="B603" s="11"/>
      <c r="C603" s="11"/>
      <c r="D603" s="10" t="str">
        <f t="shared" si="108"/>
        <v/>
      </c>
      <c r="E603" s="15" t="str">
        <f t="shared" si="109"/>
        <v/>
      </c>
      <c r="F603" s="11"/>
      <c r="G603" s="16" t="str">
        <f t="shared" si="110"/>
        <v/>
      </c>
      <c r="H603" s="17"/>
      <c r="I603" s="16" t="str">
        <f t="shared" si="111"/>
        <v/>
      </c>
      <c r="J603" s="16" t="str">
        <f t="shared" si="112"/>
        <v/>
      </c>
      <c r="K603" s="18" t="str">
        <f t="shared" si="113"/>
        <v/>
      </c>
      <c r="L603" s="16" t="str">
        <f t="shared" si="114"/>
        <v/>
      </c>
      <c r="M603" s="16" t="str">
        <f t="shared" si="115"/>
        <v/>
      </c>
      <c r="N603" s="16" t="str">
        <f t="shared" si="116"/>
        <v/>
      </c>
      <c r="O603" s="16" t="str">
        <f t="shared" si="117"/>
        <v/>
      </c>
      <c r="P603" s="16" t="str">
        <f t="shared" si="118"/>
        <v/>
      </c>
      <c r="Q603" s="18" t="str">
        <f t="shared" si="119"/>
        <v/>
      </c>
      <c r="R603" s="19" t="str">
        <f>IF(C603="","",IF(ISNA(MATCH(B603,'Registru oferte'!$B$5:$B$504,0)),"Oferta nu există în registru",IF(N(F603)&lt;=0,"Lipsește cantitatea",IF(AND(ISNUMBER(Q603),Q603&lt;MarjaMin),"Marjă sub minim ("&amp;TEXT(Q603*100,"0")&amp;"%)",""))))</f>
        <v/>
      </c>
      <c r="S603" s="1" t="str">
        <f>IF(B603="","",B603&amp;"|"&amp;COUNTIF($B$5:B603,B603))</f>
        <v/>
      </c>
    </row>
    <row r="604" spans="2:19" x14ac:dyDescent="0.2">
      <c r="B604" s="11"/>
      <c r="C604" s="11"/>
      <c r="D604" s="10" t="str">
        <f t="shared" si="108"/>
        <v/>
      </c>
      <c r="E604" s="15" t="str">
        <f t="shared" si="109"/>
        <v/>
      </c>
      <c r="F604" s="11"/>
      <c r="G604" s="16" t="str">
        <f t="shared" si="110"/>
        <v/>
      </c>
      <c r="H604" s="17"/>
      <c r="I604" s="16" t="str">
        <f t="shared" si="111"/>
        <v/>
      </c>
      <c r="J604" s="16" t="str">
        <f t="shared" si="112"/>
        <v/>
      </c>
      <c r="K604" s="18" t="str">
        <f t="shared" si="113"/>
        <v/>
      </c>
      <c r="L604" s="16" t="str">
        <f t="shared" si="114"/>
        <v/>
      </c>
      <c r="M604" s="16" t="str">
        <f t="shared" si="115"/>
        <v/>
      </c>
      <c r="N604" s="16" t="str">
        <f t="shared" si="116"/>
        <v/>
      </c>
      <c r="O604" s="16" t="str">
        <f t="shared" si="117"/>
        <v/>
      </c>
      <c r="P604" s="16" t="str">
        <f t="shared" si="118"/>
        <v/>
      </c>
      <c r="Q604" s="18" t="str">
        <f t="shared" si="119"/>
        <v/>
      </c>
      <c r="R604" s="19" t="str">
        <f>IF(C604="","",IF(ISNA(MATCH(B604,'Registru oferte'!$B$5:$B$504,0)),"Oferta nu există în registru",IF(N(F604)&lt;=0,"Lipsește cantitatea",IF(AND(ISNUMBER(Q604),Q604&lt;MarjaMin),"Marjă sub minim ("&amp;TEXT(Q604*100,"0")&amp;"%)",""))))</f>
        <v/>
      </c>
      <c r="S604" s="1" t="str">
        <f>IF(B604="","",B604&amp;"|"&amp;COUNTIF($B$5:B604,B604))</f>
        <v/>
      </c>
    </row>
    <row r="605" spans="2:19" x14ac:dyDescent="0.2">
      <c r="B605" s="11"/>
      <c r="C605" s="11"/>
      <c r="D605" s="10" t="str">
        <f t="shared" si="108"/>
        <v/>
      </c>
      <c r="E605" s="15" t="str">
        <f t="shared" si="109"/>
        <v/>
      </c>
      <c r="F605" s="11"/>
      <c r="G605" s="16" t="str">
        <f t="shared" si="110"/>
        <v/>
      </c>
      <c r="H605" s="17"/>
      <c r="I605" s="16" t="str">
        <f t="shared" si="111"/>
        <v/>
      </c>
      <c r="J605" s="16" t="str">
        <f t="shared" si="112"/>
        <v/>
      </c>
      <c r="K605" s="18" t="str">
        <f t="shared" si="113"/>
        <v/>
      </c>
      <c r="L605" s="16" t="str">
        <f t="shared" si="114"/>
        <v/>
      </c>
      <c r="M605" s="16" t="str">
        <f t="shared" si="115"/>
        <v/>
      </c>
      <c r="N605" s="16" t="str">
        <f t="shared" si="116"/>
        <v/>
      </c>
      <c r="O605" s="16" t="str">
        <f t="shared" si="117"/>
        <v/>
      </c>
      <c r="P605" s="16" t="str">
        <f t="shared" si="118"/>
        <v/>
      </c>
      <c r="Q605" s="18" t="str">
        <f t="shared" si="119"/>
        <v/>
      </c>
      <c r="R605" s="19" t="str">
        <f>IF(C605="","",IF(ISNA(MATCH(B605,'Registru oferte'!$B$5:$B$504,0)),"Oferta nu există în registru",IF(N(F605)&lt;=0,"Lipsește cantitatea",IF(AND(ISNUMBER(Q605),Q605&lt;MarjaMin),"Marjă sub minim ("&amp;TEXT(Q605*100,"0")&amp;"%)",""))))</f>
        <v/>
      </c>
      <c r="S605" s="1" t="str">
        <f>IF(B605="","",B605&amp;"|"&amp;COUNTIF($B$5:B605,B605))</f>
        <v/>
      </c>
    </row>
    <row r="606" spans="2:19" x14ac:dyDescent="0.2">
      <c r="B606" s="11"/>
      <c r="C606" s="11"/>
      <c r="D606" s="10" t="str">
        <f t="shared" si="108"/>
        <v/>
      </c>
      <c r="E606" s="15" t="str">
        <f t="shared" si="109"/>
        <v/>
      </c>
      <c r="F606" s="11"/>
      <c r="G606" s="16" t="str">
        <f t="shared" si="110"/>
        <v/>
      </c>
      <c r="H606" s="17"/>
      <c r="I606" s="16" t="str">
        <f t="shared" si="111"/>
        <v/>
      </c>
      <c r="J606" s="16" t="str">
        <f t="shared" si="112"/>
        <v/>
      </c>
      <c r="K606" s="18" t="str">
        <f t="shared" si="113"/>
        <v/>
      </c>
      <c r="L606" s="16" t="str">
        <f t="shared" si="114"/>
        <v/>
      </c>
      <c r="M606" s="16" t="str">
        <f t="shared" si="115"/>
        <v/>
      </c>
      <c r="N606" s="16" t="str">
        <f t="shared" si="116"/>
        <v/>
      </c>
      <c r="O606" s="16" t="str">
        <f t="shared" si="117"/>
        <v/>
      </c>
      <c r="P606" s="16" t="str">
        <f t="shared" si="118"/>
        <v/>
      </c>
      <c r="Q606" s="18" t="str">
        <f t="shared" si="119"/>
        <v/>
      </c>
      <c r="R606" s="19" t="str">
        <f>IF(C606="","",IF(ISNA(MATCH(B606,'Registru oferte'!$B$5:$B$504,0)),"Oferta nu există în registru",IF(N(F606)&lt;=0,"Lipsește cantitatea",IF(AND(ISNUMBER(Q606),Q606&lt;MarjaMin),"Marjă sub minim ("&amp;TEXT(Q606*100,"0")&amp;"%)",""))))</f>
        <v/>
      </c>
      <c r="S606" s="1" t="str">
        <f>IF(B606="","",B606&amp;"|"&amp;COUNTIF($B$5:B606,B606))</f>
        <v/>
      </c>
    </row>
    <row r="607" spans="2:19" x14ac:dyDescent="0.2">
      <c r="B607" s="11"/>
      <c r="C607" s="11"/>
      <c r="D607" s="10" t="str">
        <f t="shared" si="108"/>
        <v/>
      </c>
      <c r="E607" s="15" t="str">
        <f t="shared" si="109"/>
        <v/>
      </c>
      <c r="F607" s="11"/>
      <c r="G607" s="16" t="str">
        <f t="shared" si="110"/>
        <v/>
      </c>
      <c r="H607" s="17"/>
      <c r="I607" s="16" t="str">
        <f t="shared" si="111"/>
        <v/>
      </c>
      <c r="J607" s="16" t="str">
        <f t="shared" si="112"/>
        <v/>
      </c>
      <c r="K607" s="18" t="str">
        <f t="shared" si="113"/>
        <v/>
      </c>
      <c r="L607" s="16" t="str">
        <f t="shared" si="114"/>
        <v/>
      </c>
      <c r="M607" s="16" t="str">
        <f t="shared" si="115"/>
        <v/>
      </c>
      <c r="N607" s="16" t="str">
        <f t="shared" si="116"/>
        <v/>
      </c>
      <c r="O607" s="16" t="str">
        <f t="shared" si="117"/>
        <v/>
      </c>
      <c r="P607" s="16" t="str">
        <f t="shared" si="118"/>
        <v/>
      </c>
      <c r="Q607" s="18" t="str">
        <f t="shared" si="119"/>
        <v/>
      </c>
      <c r="R607" s="19" t="str">
        <f>IF(C607="","",IF(ISNA(MATCH(B607,'Registru oferte'!$B$5:$B$504,0)),"Oferta nu există în registru",IF(N(F607)&lt;=0,"Lipsește cantitatea",IF(AND(ISNUMBER(Q607),Q607&lt;MarjaMin),"Marjă sub minim ("&amp;TEXT(Q607*100,"0")&amp;"%)",""))))</f>
        <v/>
      </c>
      <c r="S607" s="1" t="str">
        <f>IF(B607="","",B607&amp;"|"&amp;COUNTIF($B$5:B607,B607))</f>
        <v/>
      </c>
    </row>
    <row r="608" spans="2:19" x14ac:dyDescent="0.2">
      <c r="B608" s="11"/>
      <c r="C608" s="11"/>
      <c r="D608" s="10" t="str">
        <f t="shared" si="108"/>
        <v/>
      </c>
      <c r="E608" s="15" t="str">
        <f t="shared" si="109"/>
        <v/>
      </c>
      <c r="F608" s="11"/>
      <c r="G608" s="16" t="str">
        <f t="shared" si="110"/>
        <v/>
      </c>
      <c r="H608" s="17"/>
      <c r="I608" s="16" t="str">
        <f t="shared" si="111"/>
        <v/>
      </c>
      <c r="J608" s="16" t="str">
        <f t="shared" si="112"/>
        <v/>
      </c>
      <c r="K608" s="18" t="str">
        <f t="shared" si="113"/>
        <v/>
      </c>
      <c r="L608" s="16" t="str">
        <f t="shared" si="114"/>
        <v/>
      </c>
      <c r="M608" s="16" t="str">
        <f t="shared" si="115"/>
        <v/>
      </c>
      <c r="N608" s="16" t="str">
        <f t="shared" si="116"/>
        <v/>
      </c>
      <c r="O608" s="16" t="str">
        <f t="shared" si="117"/>
        <v/>
      </c>
      <c r="P608" s="16" t="str">
        <f t="shared" si="118"/>
        <v/>
      </c>
      <c r="Q608" s="18" t="str">
        <f t="shared" si="119"/>
        <v/>
      </c>
      <c r="R608" s="19" t="str">
        <f>IF(C608="","",IF(ISNA(MATCH(B608,'Registru oferte'!$B$5:$B$504,0)),"Oferta nu există în registru",IF(N(F608)&lt;=0,"Lipsește cantitatea",IF(AND(ISNUMBER(Q608),Q608&lt;MarjaMin),"Marjă sub minim ("&amp;TEXT(Q608*100,"0")&amp;"%)",""))))</f>
        <v/>
      </c>
      <c r="S608" s="1" t="str">
        <f>IF(B608="","",B608&amp;"|"&amp;COUNTIF($B$5:B608,B608))</f>
        <v/>
      </c>
    </row>
    <row r="609" spans="2:19" x14ac:dyDescent="0.2">
      <c r="B609" s="11"/>
      <c r="C609" s="11"/>
      <c r="D609" s="10" t="str">
        <f t="shared" si="108"/>
        <v/>
      </c>
      <c r="E609" s="15" t="str">
        <f t="shared" si="109"/>
        <v/>
      </c>
      <c r="F609" s="11"/>
      <c r="G609" s="16" t="str">
        <f t="shared" si="110"/>
        <v/>
      </c>
      <c r="H609" s="17"/>
      <c r="I609" s="16" t="str">
        <f t="shared" si="111"/>
        <v/>
      </c>
      <c r="J609" s="16" t="str">
        <f t="shared" si="112"/>
        <v/>
      </c>
      <c r="K609" s="18" t="str">
        <f t="shared" si="113"/>
        <v/>
      </c>
      <c r="L609" s="16" t="str">
        <f t="shared" si="114"/>
        <v/>
      </c>
      <c r="M609" s="16" t="str">
        <f t="shared" si="115"/>
        <v/>
      </c>
      <c r="N609" s="16" t="str">
        <f t="shared" si="116"/>
        <v/>
      </c>
      <c r="O609" s="16" t="str">
        <f t="shared" si="117"/>
        <v/>
      </c>
      <c r="P609" s="16" t="str">
        <f t="shared" si="118"/>
        <v/>
      </c>
      <c r="Q609" s="18" t="str">
        <f t="shared" si="119"/>
        <v/>
      </c>
      <c r="R609" s="19" t="str">
        <f>IF(C609="","",IF(ISNA(MATCH(B609,'Registru oferte'!$B$5:$B$504,0)),"Oferta nu există în registru",IF(N(F609)&lt;=0,"Lipsește cantitatea",IF(AND(ISNUMBER(Q609),Q609&lt;MarjaMin),"Marjă sub minim ("&amp;TEXT(Q609*100,"0")&amp;"%)",""))))</f>
        <v/>
      </c>
      <c r="S609" s="1" t="str">
        <f>IF(B609="","",B609&amp;"|"&amp;COUNTIF($B$5:B609,B609))</f>
        <v/>
      </c>
    </row>
    <row r="610" spans="2:19" x14ac:dyDescent="0.2">
      <c r="B610" s="11"/>
      <c r="C610" s="11"/>
      <c r="D610" s="10" t="str">
        <f t="shared" si="108"/>
        <v/>
      </c>
      <c r="E610" s="15" t="str">
        <f t="shared" si="109"/>
        <v/>
      </c>
      <c r="F610" s="11"/>
      <c r="G610" s="16" t="str">
        <f t="shared" si="110"/>
        <v/>
      </c>
      <c r="H610" s="17"/>
      <c r="I610" s="16" t="str">
        <f t="shared" si="111"/>
        <v/>
      </c>
      <c r="J610" s="16" t="str">
        <f t="shared" si="112"/>
        <v/>
      </c>
      <c r="K610" s="18" t="str">
        <f t="shared" si="113"/>
        <v/>
      </c>
      <c r="L610" s="16" t="str">
        <f t="shared" si="114"/>
        <v/>
      </c>
      <c r="M610" s="16" t="str">
        <f t="shared" si="115"/>
        <v/>
      </c>
      <c r="N610" s="16" t="str">
        <f t="shared" si="116"/>
        <v/>
      </c>
      <c r="O610" s="16" t="str">
        <f t="shared" si="117"/>
        <v/>
      </c>
      <c r="P610" s="16" t="str">
        <f t="shared" si="118"/>
        <v/>
      </c>
      <c r="Q610" s="18" t="str">
        <f t="shared" si="119"/>
        <v/>
      </c>
      <c r="R610" s="19" t="str">
        <f>IF(C610="","",IF(ISNA(MATCH(B610,'Registru oferte'!$B$5:$B$504,0)),"Oferta nu există în registru",IF(N(F610)&lt;=0,"Lipsește cantitatea",IF(AND(ISNUMBER(Q610),Q610&lt;MarjaMin),"Marjă sub minim ("&amp;TEXT(Q610*100,"0")&amp;"%)",""))))</f>
        <v/>
      </c>
      <c r="S610" s="1" t="str">
        <f>IF(B610="","",B610&amp;"|"&amp;COUNTIF($B$5:B610,B610))</f>
        <v/>
      </c>
    </row>
    <row r="611" spans="2:19" x14ac:dyDescent="0.2">
      <c r="B611" s="11"/>
      <c r="C611" s="11"/>
      <c r="D611" s="10" t="str">
        <f t="shared" si="108"/>
        <v/>
      </c>
      <c r="E611" s="15" t="str">
        <f t="shared" si="109"/>
        <v/>
      </c>
      <c r="F611" s="11"/>
      <c r="G611" s="16" t="str">
        <f t="shared" si="110"/>
        <v/>
      </c>
      <c r="H611" s="17"/>
      <c r="I611" s="16" t="str">
        <f t="shared" si="111"/>
        <v/>
      </c>
      <c r="J611" s="16" t="str">
        <f t="shared" si="112"/>
        <v/>
      </c>
      <c r="K611" s="18" t="str">
        <f t="shared" si="113"/>
        <v/>
      </c>
      <c r="L611" s="16" t="str">
        <f t="shared" si="114"/>
        <v/>
      </c>
      <c r="M611" s="16" t="str">
        <f t="shared" si="115"/>
        <v/>
      </c>
      <c r="N611" s="16" t="str">
        <f t="shared" si="116"/>
        <v/>
      </c>
      <c r="O611" s="16" t="str">
        <f t="shared" si="117"/>
        <v/>
      </c>
      <c r="P611" s="16" t="str">
        <f t="shared" si="118"/>
        <v/>
      </c>
      <c r="Q611" s="18" t="str">
        <f t="shared" si="119"/>
        <v/>
      </c>
      <c r="R611" s="19" t="str">
        <f>IF(C611="","",IF(ISNA(MATCH(B611,'Registru oferte'!$B$5:$B$504,0)),"Oferta nu există în registru",IF(N(F611)&lt;=0,"Lipsește cantitatea",IF(AND(ISNUMBER(Q611),Q611&lt;MarjaMin),"Marjă sub minim ("&amp;TEXT(Q611*100,"0")&amp;"%)",""))))</f>
        <v/>
      </c>
      <c r="S611" s="1" t="str">
        <f>IF(B611="","",B611&amp;"|"&amp;COUNTIF($B$5:B611,B611))</f>
        <v/>
      </c>
    </row>
    <row r="612" spans="2:19" x14ac:dyDescent="0.2">
      <c r="B612" s="11"/>
      <c r="C612" s="11"/>
      <c r="D612" s="10" t="str">
        <f t="shared" si="108"/>
        <v/>
      </c>
      <c r="E612" s="15" t="str">
        <f t="shared" si="109"/>
        <v/>
      </c>
      <c r="F612" s="11"/>
      <c r="G612" s="16" t="str">
        <f t="shared" si="110"/>
        <v/>
      </c>
      <c r="H612" s="17"/>
      <c r="I612" s="16" t="str">
        <f t="shared" si="111"/>
        <v/>
      </c>
      <c r="J612" s="16" t="str">
        <f t="shared" si="112"/>
        <v/>
      </c>
      <c r="K612" s="18" t="str">
        <f t="shared" si="113"/>
        <v/>
      </c>
      <c r="L612" s="16" t="str">
        <f t="shared" si="114"/>
        <v/>
      </c>
      <c r="M612" s="16" t="str">
        <f t="shared" si="115"/>
        <v/>
      </c>
      <c r="N612" s="16" t="str">
        <f t="shared" si="116"/>
        <v/>
      </c>
      <c r="O612" s="16" t="str">
        <f t="shared" si="117"/>
        <v/>
      </c>
      <c r="P612" s="16" t="str">
        <f t="shared" si="118"/>
        <v/>
      </c>
      <c r="Q612" s="18" t="str">
        <f t="shared" si="119"/>
        <v/>
      </c>
      <c r="R612" s="19" t="str">
        <f>IF(C612="","",IF(ISNA(MATCH(B612,'Registru oferte'!$B$5:$B$504,0)),"Oferta nu există în registru",IF(N(F612)&lt;=0,"Lipsește cantitatea",IF(AND(ISNUMBER(Q612),Q612&lt;MarjaMin),"Marjă sub minim ("&amp;TEXT(Q612*100,"0")&amp;"%)",""))))</f>
        <v/>
      </c>
      <c r="S612" s="1" t="str">
        <f>IF(B612="","",B612&amp;"|"&amp;COUNTIF($B$5:B612,B612))</f>
        <v/>
      </c>
    </row>
    <row r="613" spans="2:19" x14ac:dyDescent="0.2">
      <c r="B613" s="11"/>
      <c r="C613" s="11"/>
      <c r="D613" s="10" t="str">
        <f t="shared" si="108"/>
        <v/>
      </c>
      <c r="E613" s="15" t="str">
        <f t="shared" si="109"/>
        <v/>
      </c>
      <c r="F613" s="11"/>
      <c r="G613" s="16" t="str">
        <f t="shared" si="110"/>
        <v/>
      </c>
      <c r="H613" s="17"/>
      <c r="I613" s="16" t="str">
        <f t="shared" si="111"/>
        <v/>
      </c>
      <c r="J613" s="16" t="str">
        <f t="shared" si="112"/>
        <v/>
      </c>
      <c r="K613" s="18" t="str">
        <f t="shared" si="113"/>
        <v/>
      </c>
      <c r="L613" s="16" t="str">
        <f t="shared" si="114"/>
        <v/>
      </c>
      <c r="M613" s="16" t="str">
        <f t="shared" si="115"/>
        <v/>
      </c>
      <c r="N613" s="16" t="str">
        <f t="shared" si="116"/>
        <v/>
      </c>
      <c r="O613" s="16" t="str">
        <f t="shared" si="117"/>
        <v/>
      </c>
      <c r="P613" s="16" t="str">
        <f t="shared" si="118"/>
        <v/>
      </c>
      <c r="Q613" s="18" t="str">
        <f t="shared" si="119"/>
        <v/>
      </c>
      <c r="R613" s="19" t="str">
        <f>IF(C613="","",IF(ISNA(MATCH(B613,'Registru oferte'!$B$5:$B$504,0)),"Oferta nu există în registru",IF(N(F613)&lt;=0,"Lipsește cantitatea",IF(AND(ISNUMBER(Q613),Q613&lt;MarjaMin),"Marjă sub minim ("&amp;TEXT(Q613*100,"0")&amp;"%)",""))))</f>
        <v/>
      </c>
      <c r="S613" s="1" t="str">
        <f>IF(B613="","",B613&amp;"|"&amp;COUNTIF($B$5:B613,B613))</f>
        <v/>
      </c>
    </row>
    <row r="614" spans="2:19" x14ac:dyDescent="0.2">
      <c r="B614" s="11"/>
      <c r="C614" s="11"/>
      <c r="D614" s="10" t="str">
        <f t="shared" si="108"/>
        <v/>
      </c>
      <c r="E614" s="15" t="str">
        <f t="shared" si="109"/>
        <v/>
      </c>
      <c r="F614" s="11"/>
      <c r="G614" s="16" t="str">
        <f t="shared" si="110"/>
        <v/>
      </c>
      <c r="H614" s="17"/>
      <c r="I614" s="16" t="str">
        <f t="shared" si="111"/>
        <v/>
      </c>
      <c r="J614" s="16" t="str">
        <f t="shared" si="112"/>
        <v/>
      </c>
      <c r="K614" s="18" t="str">
        <f t="shared" si="113"/>
        <v/>
      </c>
      <c r="L614" s="16" t="str">
        <f t="shared" si="114"/>
        <v/>
      </c>
      <c r="M614" s="16" t="str">
        <f t="shared" si="115"/>
        <v/>
      </c>
      <c r="N614" s="16" t="str">
        <f t="shared" si="116"/>
        <v/>
      </c>
      <c r="O614" s="16" t="str">
        <f t="shared" si="117"/>
        <v/>
      </c>
      <c r="P614" s="16" t="str">
        <f t="shared" si="118"/>
        <v/>
      </c>
      <c r="Q614" s="18" t="str">
        <f t="shared" si="119"/>
        <v/>
      </c>
      <c r="R614" s="19" t="str">
        <f>IF(C614="","",IF(ISNA(MATCH(B614,'Registru oferte'!$B$5:$B$504,0)),"Oferta nu există în registru",IF(N(F614)&lt;=0,"Lipsește cantitatea",IF(AND(ISNUMBER(Q614),Q614&lt;MarjaMin),"Marjă sub minim ("&amp;TEXT(Q614*100,"0")&amp;"%)",""))))</f>
        <v/>
      </c>
      <c r="S614" s="1" t="str">
        <f>IF(B614="","",B614&amp;"|"&amp;COUNTIF($B$5:B614,B614))</f>
        <v/>
      </c>
    </row>
    <row r="615" spans="2:19" x14ac:dyDescent="0.2">
      <c r="B615" s="11"/>
      <c r="C615" s="11"/>
      <c r="D615" s="10" t="str">
        <f t="shared" si="108"/>
        <v/>
      </c>
      <c r="E615" s="15" t="str">
        <f t="shared" si="109"/>
        <v/>
      </c>
      <c r="F615" s="11"/>
      <c r="G615" s="16" t="str">
        <f t="shared" si="110"/>
        <v/>
      </c>
      <c r="H615" s="17"/>
      <c r="I615" s="16" t="str">
        <f t="shared" si="111"/>
        <v/>
      </c>
      <c r="J615" s="16" t="str">
        <f t="shared" si="112"/>
        <v/>
      </c>
      <c r="K615" s="18" t="str">
        <f t="shared" si="113"/>
        <v/>
      </c>
      <c r="L615" s="16" t="str">
        <f t="shared" si="114"/>
        <v/>
      </c>
      <c r="M615" s="16" t="str">
        <f t="shared" si="115"/>
        <v/>
      </c>
      <c r="N615" s="16" t="str">
        <f t="shared" si="116"/>
        <v/>
      </c>
      <c r="O615" s="16" t="str">
        <f t="shared" si="117"/>
        <v/>
      </c>
      <c r="P615" s="16" t="str">
        <f t="shared" si="118"/>
        <v/>
      </c>
      <c r="Q615" s="18" t="str">
        <f t="shared" si="119"/>
        <v/>
      </c>
      <c r="R615" s="19" t="str">
        <f>IF(C615="","",IF(ISNA(MATCH(B615,'Registru oferte'!$B$5:$B$504,0)),"Oferta nu există în registru",IF(N(F615)&lt;=0,"Lipsește cantitatea",IF(AND(ISNUMBER(Q615),Q615&lt;MarjaMin),"Marjă sub minim ("&amp;TEXT(Q615*100,"0")&amp;"%)",""))))</f>
        <v/>
      </c>
      <c r="S615" s="1" t="str">
        <f>IF(B615="","",B615&amp;"|"&amp;COUNTIF($B$5:B615,B615))</f>
        <v/>
      </c>
    </row>
    <row r="616" spans="2:19" x14ac:dyDescent="0.2">
      <c r="B616" s="11"/>
      <c r="C616" s="11"/>
      <c r="D616" s="10" t="str">
        <f t="shared" si="108"/>
        <v/>
      </c>
      <c r="E616" s="15" t="str">
        <f t="shared" si="109"/>
        <v/>
      </c>
      <c r="F616" s="11"/>
      <c r="G616" s="16" t="str">
        <f t="shared" si="110"/>
        <v/>
      </c>
      <c r="H616" s="17"/>
      <c r="I616" s="16" t="str">
        <f t="shared" si="111"/>
        <v/>
      </c>
      <c r="J616" s="16" t="str">
        <f t="shared" si="112"/>
        <v/>
      </c>
      <c r="K616" s="18" t="str">
        <f t="shared" si="113"/>
        <v/>
      </c>
      <c r="L616" s="16" t="str">
        <f t="shared" si="114"/>
        <v/>
      </c>
      <c r="M616" s="16" t="str">
        <f t="shared" si="115"/>
        <v/>
      </c>
      <c r="N616" s="16" t="str">
        <f t="shared" si="116"/>
        <v/>
      </c>
      <c r="O616" s="16" t="str">
        <f t="shared" si="117"/>
        <v/>
      </c>
      <c r="P616" s="16" t="str">
        <f t="shared" si="118"/>
        <v/>
      </c>
      <c r="Q616" s="18" t="str">
        <f t="shared" si="119"/>
        <v/>
      </c>
      <c r="R616" s="19" t="str">
        <f>IF(C616="","",IF(ISNA(MATCH(B616,'Registru oferte'!$B$5:$B$504,0)),"Oferta nu există în registru",IF(N(F616)&lt;=0,"Lipsește cantitatea",IF(AND(ISNUMBER(Q616),Q616&lt;MarjaMin),"Marjă sub minim ("&amp;TEXT(Q616*100,"0")&amp;"%)",""))))</f>
        <v/>
      </c>
      <c r="S616" s="1" t="str">
        <f>IF(B616="","",B616&amp;"|"&amp;COUNTIF($B$5:B616,B616))</f>
        <v/>
      </c>
    </row>
    <row r="617" spans="2:19" x14ac:dyDescent="0.2">
      <c r="B617" s="11"/>
      <c r="C617" s="11"/>
      <c r="D617" s="10" t="str">
        <f t="shared" si="108"/>
        <v/>
      </c>
      <c r="E617" s="15" t="str">
        <f t="shared" si="109"/>
        <v/>
      </c>
      <c r="F617" s="11"/>
      <c r="G617" s="16" t="str">
        <f t="shared" si="110"/>
        <v/>
      </c>
      <c r="H617" s="17"/>
      <c r="I617" s="16" t="str">
        <f t="shared" si="111"/>
        <v/>
      </c>
      <c r="J617" s="16" t="str">
        <f t="shared" si="112"/>
        <v/>
      </c>
      <c r="K617" s="18" t="str">
        <f t="shared" si="113"/>
        <v/>
      </c>
      <c r="L617" s="16" t="str">
        <f t="shared" si="114"/>
        <v/>
      </c>
      <c r="M617" s="16" t="str">
        <f t="shared" si="115"/>
        <v/>
      </c>
      <c r="N617" s="16" t="str">
        <f t="shared" si="116"/>
        <v/>
      </c>
      <c r="O617" s="16" t="str">
        <f t="shared" si="117"/>
        <v/>
      </c>
      <c r="P617" s="16" t="str">
        <f t="shared" si="118"/>
        <v/>
      </c>
      <c r="Q617" s="18" t="str">
        <f t="shared" si="119"/>
        <v/>
      </c>
      <c r="R617" s="19" t="str">
        <f>IF(C617="","",IF(ISNA(MATCH(B617,'Registru oferte'!$B$5:$B$504,0)),"Oferta nu există în registru",IF(N(F617)&lt;=0,"Lipsește cantitatea",IF(AND(ISNUMBER(Q617),Q617&lt;MarjaMin),"Marjă sub minim ("&amp;TEXT(Q617*100,"0")&amp;"%)",""))))</f>
        <v/>
      </c>
      <c r="S617" s="1" t="str">
        <f>IF(B617="","",B617&amp;"|"&amp;COUNTIF($B$5:B617,B617))</f>
        <v/>
      </c>
    </row>
    <row r="618" spans="2:19" x14ac:dyDescent="0.2">
      <c r="B618" s="11"/>
      <c r="C618" s="11"/>
      <c r="D618" s="10" t="str">
        <f t="shared" si="108"/>
        <v/>
      </c>
      <c r="E618" s="15" t="str">
        <f t="shared" si="109"/>
        <v/>
      </c>
      <c r="F618" s="11"/>
      <c r="G618" s="16" t="str">
        <f t="shared" si="110"/>
        <v/>
      </c>
      <c r="H618" s="17"/>
      <c r="I618" s="16" t="str">
        <f t="shared" si="111"/>
        <v/>
      </c>
      <c r="J618" s="16" t="str">
        <f t="shared" si="112"/>
        <v/>
      </c>
      <c r="K618" s="18" t="str">
        <f t="shared" si="113"/>
        <v/>
      </c>
      <c r="L618" s="16" t="str">
        <f t="shared" si="114"/>
        <v/>
      </c>
      <c r="M618" s="16" t="str">
        <f t="shared" si="115"/>
        <v/>
      </c>
      <c r="N618" s="16" t="str">
        <f t="shared" si="116"/>
        <v/>
      </c>
      <c r="O618" s="16" t="str">
        <f t="shared" si="117"/>
        <v/>
      </c>
      <c r="P618" s="16" t="str">
        <f t="shared" si="118"/>
        <v/>
      </c>
      <c r="Q618" s="18" t="str">
        <f t="shared" si="119"/>
        <v/>
      </c>
      <c r="R618" s="19" t="str">
        <f>IF(C618="","",IF(ISNA(MATCH(B618,'Registru oferte'!$B$5:$B$504,0)),"Oferta nu există în registru",IF(N(F618)&lt;=0,"Lipsește cantitatea",IF(AND(ISNUMBER(Q618),Q618&lt;MarjaMin),"Marjă sub minim ("&amp;TEXT(Q618*100,"0")&amp;"%)",""))))</f>
        <v/>
      </c>
      <c r="S618" s="1" t="str">
        <f>IF(B618="","",B618&amp;"|"&amp;COUNTIF($B$5:B618,B618))</f>
        <v/>
      </c>
    </row>
    <row r="619" spans="2:19" x14ac:dyDescent="0.2">
      <c r="B619" s="11"/>
      <c r="C619" s="11"/>
      <c r="D619" s="10" t="str">
        <f t="shared" si="108"/>
        <v/>
      </c>
      <c r="E619" s="15" t="str">
        <f t="shared" si="109"/>
        <v/>
      </c>
      <c r="F619" s="11"/>
      <c r="G619" s="16" t="str">
        <f t="shared" si="110"/>
        <v/>
      </c>
      <c r="H619" s="17"/>
      <c r="I619" s="16" t="str">
        <f t="shared" si="111"/>
        <v/>
      </c>
      <c r="J619" s="16" t="str">
        <f t="shared" si="112"/>
        <v/>
      </c>
      <c r="K619" s="18" t="str">
        <f t="shared" si="113"/>
        <v/>
      </c>
      <c r="L619" s="16" t="str">
        <f t="shared" si="114"/>
        <v/>
      </c>
      <c r="M619" s="16" t="str">
        <f t="shared" si="115"/>
        <v/>
      </c>
      <c r="N619" s="16" t="str">
        <f t="shared" si="116"/>
        <v/>
      </c>
      <c r="O619" s="16" t="str">
        <f t="shared" si="117"/>
        <v/>
      </c>
      <c r="P619" s="16" t="str">
        <f t="shared" si="118"/>
        <v/>
      </c>
      <c r="Q619" s="18" t="str">
        <f t="shared" si="119"/>
        <v/>
      </c>
      <c r="R619" s="19" t="str">
        <f>IF(C619="","",IF(ISNA(MATCH(B619,'Registru oferte'!$B$5:$B$504,0)),"Oferta nu există în registru",IF(N(F619)&lt;=0,"Lipsește cantitatea",IF(AND(ISNUMBER(Q619),Q619&lt;MarjaMin),"Marjă sub minim ("&amp;TEXT(Q619*100,"0")&amp;"%)",""))))</f>
        <v/>
      </c>
      <c r="S619" s="1" t="str">
        <f>IF(B619="","",B619&amp;"|"&amp;COUNTIF($B$5:B619,B619))</f>
        <v/>
      </c>
    </row>
    <row r="620" spans="2:19" x14ac:dyDescent="0.2">
      <c r="B620" s="11"/>
      <c r="C620" s="11"/>
      <c r="D620" s="10" t="str">
        <f t="shared" si="108"/>
        <v/>
      </c>
      <c r="E620" s="15" t="str">
        <f t="shared" si="109"/>
        <v/>
      </c>
      <c r="F620" s="11"/>
      <c r="G620" s="16" t="str">
        <f t="shared" si="110"/>
        <v/>
      </c>
      <c r="H620" s="17"/>
      <c r="I620" s="16" t="str">
        <f t="shared" si="111"/>
        <v/>
      </c>
      <c r="J620" s="16" t="str">
        <f t="shared" si="112"/>
        <v/>
      </c>
      <c r="K620" s="18" t="str">
        <f t="shared" si="113"/>
        <v/>
      </c>
      <c r="L620" s="16" t="str">
        <f t="shared" si="114"/>
        <v/>
      </c>
      <c r="M620" s="16" t="str">
        <f t="shared" si="115"/>
        <v/>
      </c>
      <c r="N620" s="16" t="str">
        <f t="shared" si="116"/>
        <v/>
      </c>
      <c r="O620" s="16" t="str">
        <f t="shared" si="117"/>
        <v/>
      </c>
      <c r="P620" s="16" t="str">
        <f t="shared" si="118"/>
        <v/>
      </c>
      <c r="Q620" s="18" t="str">
        <f t="shared" si="119"/>
        <v/>
      </c>
      <c r="R620" s="19" t="str">
        <f>IF(C620="","",IF(ISNA(MATCH(B620,'Registru oferte'!$B$5:$B$504,0)),"Oferta nu există în registru",IF(N(F620)&lt;=0,"Lipsește cantitatea",IF(AND(ISNUMBER(Q620),Q620&lt;MarjaMin),"Marjă sub minim ("&amp;TEXT(Q620*100,"0")&amp;"%)",""))))</f>
        <v/>
      </c>
      <c r="S620" s="1" t="str">
        <f>IF(B620="","",B620&amp;"|"&amp;COUNTIF($B$5:B620,B620))</f>
        <v/>
      </c>
    </row>
    <row r="621" spans="2:19" x14ac:dyDescent="0.2">
      <c r="B621" s="11"/>
      <c r="C621" s="11"/>
      <c r="D621" s="10" t="str">
        <f t="shared" si="108"/>
        <v/>
      </c>
      <c r="E621" s="15" t="str">
        <f t="shared" si="109"/>
        <v/>
      </c>
      <c r="F621" s="11"/>
      <c r="G621" s="16" t="str">
        <f t="shared" si="110"/>
        <v/>
      </c>
      <c r="H621" s="17"/>
      <c r="I621" s="16" t="str">
        <f t="shared" si="111"/>
        <v/>
      </c>
      <c r="J621" s="16" t="str">
        <f t="shared" si="112"/>
        <v/>
      </c>
      <c r="K621" s="18" t="str">
        <f t="shared" si="113"/>
        <v/>
      </c>
      <c r="L621" s="16" t="str">
        <f t="shared" si="114"/>
        <v/>
      </c>
      <c r="M621" s="16" t="str">
        <f t="shared" si="115"/>
        <v/>
      </c>
      <c r="N621" s="16" t="str">
        <f t="shared" si="116"/>
        <v/>
      </c>
      <c r="O621" s="16" t="str">
        <f t="shared" si="117"/>
        <v/>
      </c>
      <c r="P621" s="16" t="str">
        <f t="shared" si="118"/>
        <v/>
      </c>
      <c r="Q621" s="18" t="str">
        <f t="shared" si="119"/>
        <v/>
      </c>
      <c r="R621" s="19" t="str">
        <f>IF(C621="","",IF(ISNA(MATCH(B621,'Registru oferte'!$B$5:$B$504,0)),"Oferta nu există în registru",IF(N(F621)&lt;=0,"Lipsește cantitatea",IF(AND(ISNUMBER(Q621),Q621&lt;MarjaMin),"Marjă sub minim ("&amp;TEXT(Q621*100,"0")&amp;"%)",""))))</f>
        <v/>
      </c>
      <c r="S621" s="1" t="str">
        <f>IF(B621="","",B621&amp;"|"&amp;COUNTIF($B$5:B621,B621))</f>
        <v/>
      </c>
    </row>
    <row r="622" spans="2:19" x14ac:dyDescent="0.2">
      <c r="B622" s="11"/>
      <c r="C622" s="11"/>
      <c r="D622" s="10" t="str">
        <f t="shared" si="108"/>
        <v/>
      </c>
      <c r="E622" s="15" t="str">
        <f t="shared" si="109"/>
        <v/>
      </c>
      <c r="F622" s="11"/>
      <c r="G622" s="16" t="str">
        <f t="shared" si="110"/>
        <v/>
      </c>
      <c r="H622" s="17"/>
      <c r="I622" s="16" t="str">
        <f t="shared" si="111"/>
        <v/>
      </c>
      <c r="J622" s="16" t="str">
        <f t="shared" si="112"/>
        <v/>
      </c>
      <c r="K622" s="18" t="str">
        <f t="shared" si="113"/>
        <v/>
      </c>
      <c r="L622" s="16" t="str">
        <f t="shared" si="114"/>
        <v/>
      </c>
      <c r="M622" s="16" t="str">
        <f t="shared" si="115"/>
        <v/>
      </c>
      <c r="N622" s="16" t="str">
        <f t="shared" si="116"/>
        <v/>
      </c>
      <c r="O622" s="16" t="str">
        <f t="shared" si="117"/>
        <v/>
      </c>
      <c r="P622" s="16" t="str">
        <f t="shared" si="118"/>
        <v/>
      </c>
      <c r="Q622" s="18" t="str">
        <f t="shared" si="119"/>
        <v/>
      </c>
      <c r="R622" s="19" t="str">
        <f>IF(C622="","",IF(ISNA(MATCH(B622,'Registru oferte'!$B$5:$B$504,0)),"Oferta nu există în registru",IF(N(F622)&lt;=0,"Lipsește cantitatea",IF(AND(ISNUMBER(Q622),Q622&lt;MarjaMin),"Marjă sub minim ("&amp;TEXT(Q622*100,"0")&amp;"%)",""))))</f>
        <v/>
      </c>
      <c r="S622" s="1" t="str">
        <f>IF(B622="","",B622&amp;"|"&amp;COUNTIF($B$5:B622,B622))</f>
        <v/>
      </c>
    </row>
    <row r="623" spans="2:19" x14ac:dyDescent="0.2">
      <c r="B623" s="11"/>
      <c r="C623" s="11"/>
      <c r="D623" s="10" t="str">
        <f t="shared" si="108"/>
        <v/>
      </c>
      <c r="E623" s="15" t="str">
        <f t="shared" si="109"/>
        <v/>
      </c>
      <c r="F623" s="11"/>
      <c r="G623" s="16" t="str">
        <f t="shared" si="110"/>
        <v/>
      </c>
      <c r="H623" s="17"/>
      <c r="I623" s="16" t="str">
        <f t="shared" si="111"/>
        <v/>
      </c>
      <c r="J623" s="16" t="str">
        <f t="shared" si="112"/>
        <v/>
      </c>
      <c r="K623" s="18" t="str">
        <f t="shared" si="113"/>
        <v/>
      </c>
      <c r="L623" s="16" t="str">
        <f t="shared" si="114"/>
        <v/>
      </c>
      <c r="M623" s="16" t="str">
        <f t="shared" si="115"/>
        <v/>
      </c>
      <c r="N623" s="16" t="str">
        <f t="shared" si="116"/>
        <v/>
      </c>
      <c r="O623" s="16" t="str">
        <f t="shared" si="117"/>
        <v/>
      </c>
      <c r="P623" s="16" t="str">
        <f t="shared" si="118"/>
        <v/>
      </c>
      <c r="Q623" s="18" t="str">
        <f t="shared" si="119"/>
        <v/>
      </c>
      <c r="R623" s="19" t="str">
        <f>IF(C623="","",IF(ISNA(MATCH(B623,'Registru oferte'!$B$5:$B$504,0)),"Oferta nu există în registru",IF(N(F623)&lt;=0,"Lipsește cantitatea",IF(AND(ISNUMBER(Q623),Q623&lt;MarjaMin),"Marjă sub minim ("&amp;TEXT(Q623*100,"0")&amp;"%)",""))))</f>
        <v/>
      </c>
      <c r="S623" s="1" t="str">
        <f>IF(B623="","",B623&amp;"|"&amp;COUNTIF($B$5:B623,B623))</f>
        <v/>
      </c>
    </row>
    <row r="624" spans="2:19" x14ac:dyDescent="0.2">
      <c r="B624" s="11"/>
      <c r="C624" s="11"/>
      <c r="D624" s="10" t="str">
        <f t="shared" si="108"/>
        <v/>
      </c>
      <c r="E624" s="15" t="str">
        <f t="shared" si="109"/>
        <v/>
      </c>
      <c r="F624" s="11"/>
      <c r="G624" s="16" t="str">
        <f t="shared" si="110"/>
        <v/>
      </c>
      <c r="H624" s="17"/>
      <c r="I624" s="16" t="str">
        <f t="shared" si="111"/>
        <v/>
      </c>
      <c r="J624" s="16" t="str">
        <f t="shared" si="112"/>
        <v/>
      </c>
      <c r="K624" s="18" t="str">
        <f t="shared" si="113"/>
        <v/>
      </c>
      <c r="L624" s="16" t="str">
        <f t="shared" si="114"/>
        <v/>
      </c>
      <c r="M624" s="16" t="str">
        <f t="shared" si="115"/>
        <v/>
      </c>
      <c r="N624" s="16" t="str">
        <f t="shared" si="116"/>
        <v/>
      </c>
      <c r="O624" s="16" t="str">
        <f t="shared" si="117"/>
        <v/>
      </c>
      <c r="P624" s="16" t="str">
        <f t="shared" si="118"/>
        <v/>
      </c>
      <c r="Q624" s="18" t="str">
        <f t="shared" si="119"/>
        <v/>
      </c>
      <c r="R624" s="19" t="str">
        <f>IF(C624="","",IF(ISNA(MATCH(B624,'Registru oferte'!$B$5:$B$504,0)),"Oferta nu există în registru",IF(N(F624)&lt;=0,"Lipsește cantitatea",IF(AND(ISNUMBER(Q624),Q624&lt;MarjaMin),"Marjă sub minim ("&amp;TEXT(Q624*100,"0")&amp;"%)",""))))</f>
        <v/>
      </c>
      <c r="S624" s="1" t="str">
        <f>IF(B624="","",B624&amp;"|"&amp;COUNTIF($B$5:B624,B624))</f>
        <v/>
      </c>
    </row>
    <row r="625" spans="2:19" x14ac:dyDescent="0.2">
      <c r="B625" s="11"/>
      <c r="C625" s="11"/>
      <c r="D625" s="10" t="str">
        <f t="shared" si="108"/>
        <v/>
      </c>
      <c r="E625" s="15" t="str">
        <f t="shared" si="109"/>
        <v/>
      </c>
      <c r="F625" s="11"/>
      <c r="G625" s="16" t="str">
        <f t="shared" si="110"/>
        <v/>
      </c>
      <c r="H625" s="17"/>
      <c r="I625" s="16" t="str">
        <f t="shared" si="111"/>
        <v/>
      </c>
      <c r="J625" s="16" t="str">
        <f t="shared" si="112"/>
        <v/>
      </c>
      <c r="K625" s="18" t="str">
        <f t="shared" si="113"/>
        <v/>
      </c>
      <c r="L625" s="16" t="str">
        <f t="shared" si="114"/>
        <v/>
      </c>
      <c r="M625" s="16" t="str">
        <f t="shared" si="115"/>
        <v/>
      </c>
      <c r="N625" s="16" t="str">
        <f t="shared" si="116"/>
        <v/>
      </c>
      <c r="O625" s="16" t="str">
        <f t="shared" si="117"/>
        <v/>
      </c>
      <c r="P625" s="16" t="str">
        <f t="shared" si="118"/>
        <v/>
      </c>
      <c r="Q625" s="18" t="str">
        <f t="shared" si="119"/>
        <v/>
      </c>
      <c r="R625" s="19" t="str">
        <f>IF(C625="","",IF(ISNA(MATCH(B625,'Registru oferte'!$B$5:$B$504,0)),"Oferta nu există în registru",IF(N(F625)&lt;=0,"Lipsește cantitatea",IF(AND(ISNUMBER(Q625),Q625&lt;MarjaMin),"Marjă sub minim ("&amp;TEXT(Q625*100,"0")&amp;"%)",""))))</f>
        <v/>
      </c>
      <c r="S625" s="1" t="str">
        <f>IF(B625="","",B625&amp;"|"&amp;COUNTIF($B$5:B625,B625))</f>
        <v/>
      </c>
    </row>
    <row r="626" spans="2:19" x14ac:dyDescent="0.2">
      <c r="B626" s="11"/>
      <c r="C626" s="11"/>
      <c r="D626" s="10" t="str">
        <f t="shared" si="108"/>
        <v/>
      </c>
      <c r="E626" s="15" t="str">
        <f t="shared" si="109"/>
        <v/>
      </c>
      <c r="F626" s="11"/>
      <c r="G626" s="16" t="str">
        <f t="shared" si="110"/>
        <v/>
      </c>
      <c r="H626" s="17"/>
      <c r="I626" s="16" t="str">
        <f t="shared" si="111"/>
        <v/>
      </c>
      <c r="J626" s="16" t="str">
        <f t="shared" si="112"/>
        <v/>
      </c>
      <c r="K626" s="18" t="str">
        <f t="shared" si="113"/>
        <v/>
      </c>
      <c r="L626" s="16" t="str">
        <f t="shared" si="114"/>
        <v/>
      </c>
      <c r="M626" s="16" t="str">
        <f t="shared" si="115"/>
        <v/>
      </c>
      <c r="N626" s="16" t="str">
        <f t="shared" si="116"/>
        <v/>
      </c>
      <c r="O626" s="16" t="str">
        <f t="shared" si="117"/>
        <v/>
      </c>
      <c r="P626" s="16" t="str">
        <f t="shared" si="118"/>
        <v/>
      </c>
      <c r="Q626" s="18" t="str">
        <f t="shared" si="119"/>
        <v/>
      </c>
      <c r="R626" s="19" t="str">
        <f>IF(C626="","",IF(ISNA(MATCH(B626,'Registru oferte'!$B$5:$B$504,0)),"Oferta nu există în registru",IF(N(F626)&lt;=0,"Lipsește cantitatea",IF(AND(ISNUMBER(Q626),Q626&lt;MarjaMin),"Marjă sub minim ("&amp;TEXT(Q626*100,"0")&amp;"%)",""))))</f>
        <v/>
      </c>
      <c r="S626" s="1" t="str">
        <f>IF(B626="","",B626&amp;"|"&amp;COUNTIF($B$5:B626,B626))</f>
        <v/>
      </c>
    </row>
    <row r="627" spans="2:19" x14ac:dyDescent="0.2">
      <c r="B627" s="11"/>
      <c r="C627" s="11"/>
      <c r="D627" s="10" t="str">
        <f t="shared" si="108"/>
        <v/>
      </c>
      <c r="E627" s="15" t="str">
        <f t="shared" si="109"/>
        <v/>
      </c>
      <c r="F627" s="11"/>
      <c r="G627" s="16" t="str">
        <f t="shared" si="110"/>
        <v/>
      </c>
      <c r="H627" s="17"/>
      <c r="I627" s="16" t="str">
        <f t="shared" si="111"/>
        <v/>
      </c>
      <c r="J627" s="16" t="str">
        <f t="shared" si="112"/>
        <v/>
      </c>
      <c r="K627" s="18" t="str">
        <f t="shared" si="113"/>
        <v/>
      </c>
      <c r="L627" s="16" t="str">
        <f t="shared" si="114"/>
        <v/>
      </c>
      <c r="M627" s="16" t="str">
        <f t="shared" si="115"/>
        <v/>
      </c>
      <c r="N627" s="16" t="str">
        <f t="shared" si="116"/>
        <v/>
      </c>
      <c r="O627" s="16" t="str">
        <f t="shared" si="117"/>
        <v/>
      </c>
      <c r="P627" s="16" t="str">
        <f t="shared" si="118"/>
        <v/>
      </c>
      <c r="Q627" s="18" t="str">
        <f t="shared" si="119"/>
        <v/>
      </c>
      <c r="R627" s="19" t="str">
        <f>IF(C627="","",IF(ISNA(MATCH(B627,'Registru oferte'!$B$5:$B$504,0)),"Oferta nu există în registru",IF(N(F627)&lt;=0,"Lipsește cantitatea",IF(AND(ISNUMBER(Q627),Q627&lt;MarjaMin),"Marjă sub minim ("&amp;TEXT(Q627*100,"0")&amp;"%)",""))))</f>
        <v/>
      </c>
      <c r="S627" s="1" t="str">
        <f>IF(B627="","",B627&amp;"|"&amp;COUNTIF($B$5:B627,B627))</f>
        <v/>
      </c>
    </row>
    <row r="628" spans="2:19" x14ac:dyDescent="0.2">
      <c r="B628" s="11"/>
      <c r="C628" s="11"/>
      <c r="D628" s="10" t="str">
        <f t="shared" si="108"/>
        <v/>
      </c>
      <c r="E628" s="15" t="str">
        <f t="shared" si="109"/>
        <v/>
      </c>
      <c r="F628" s="11"/>
      <c r="G628" s="16" t="str">
        <f t="shared" si="110"/>
        <v/>
      </c>
      <c r="H628" s="17"/>
      <c r="I628" s="16" t="str">
        <f t="shared" si="111"/>
        <v/>
      </c>
      <c r="J628" s="16" t="str">
        <f t="shared" si="112"/>
        <v/>
      </c>
      <c r="K628" s="18" t="str">
        <f t="shared" si="113"/>
        <v/>
      </c>
      <c r="L628" s="16" t="str">
        <f t="shared" si="114"/>
        <v/>
      </c>
      <c r="M628" s="16" t="str">
        <f t="shared" si="115"/>
        <v/>
      </c>
      <c r="N628" s="16" t="str">
        <f t="shared" si="116"/>
        <v/>
      </c>
      <c r="O628" s="16" t="str">
        <f t="shared" si="117"/>
        <v/>
      </c>
      <c r="P628" s="16" t="str">
        <f t="shared" si="118"/>
        <v/>
      </c>
      <c r="Q628" s="18" t="str">
        <f t="shared" si="119"/>
        <v/>
      </c>
      <c r="R628" s="19" t="str">
        <f>IF(C628="","",IF(ISNA(MATCH(B628,'Registru oferte'!$B$5:$B$504,0)),"Oferta nu există în registru",IF(N(F628)&lt;=0,"Lipsește cantitatea",IF(AND(ISNUMBER(Q628),Q628&lt;MarjaMin),"Marjă sub minim ("&amp;TEXT(Q628*100,"0")&amp;"%)",""))))</f>
        <v/>
      </c>
      <c r="S628" s="1" t="str">
        <f>IF(B628="","",B628&amp;"|"&amp;COUNTIF($B$5:B628,B628))</f>
        <v/>
      </c>
    </row>
    <row r="629" spans="2:19" x14ac:dyDescent="0.2">
      <c r="B629" s="11"/>
      <c r="C629" s="11"/>
      <c r="D629" s="10" t="str">
        <f t="shared" si="108"/>
        <v/>
      </c>
      <c r="E629" s="15" t="str">
        <f t="shared" si="109"/>
        <v/>
      </c>
      <c r="F629" s="11"/>
      <c r="G629" s="16" t="str">
        <f t="shared" si="110"/>
        <v/>
      </c>
      <c r="H629" s="17"/>
      <c r="I629" s="16" t="str">
        <f t="shared" si="111"/>
        <v/>
      </c>
      <c r="J629" s="16" t="str">
        <f t="shared" si="112"/>
        <v/>
      </c>
      <c r="K629" s="18" t="str">
        <f t="shared" si="113"/>
        <v/>
      </c>
      <c r="L629" s="16" t="str">
        <f t="shared" si="114"/>
        <v/>
      </c>
      <c r="M629" s="16" t="str">
        <f t="shared" si="115"/>
        <v/>
      </c>
      <c r="N629" s="16" t="str">
        <f t="shared" si="116"/>
        <v/>
      </c>
      <c r="O629" s="16" t="str">
        <f t="shared" si="117"/>
        <v/>
      </c>
      <c r="P629" s="16" t="str">
        <f t="shared" si="118"/>
        <v/>
      </c>
      <c r="Q629" s="18" t="str">
        <f t="shared" si="119"/>
        <v/>
      </c>
      <c r="R629" s="19" t="str">
        <f>IF(C629="","",IF(ISNA(MATCH(B629,'Registru oferte'!$B$5:$B$504,0)),"Oferta nu există în registru",IF(N(F629)&lt;=0,"Lipsește cantitatea",IF(AND(ISNUMBER(Q629),Q629&lt;MarjaMin),"Marjă sub minim ("&amp;TEXT(Q629*100,"0")&amp;"%)",""))))</f>
        <v/>
      </c>
      <c r="S629" s="1" t="str">
        <f>IF(B629="","",B629&amp;"|"&amp;COUNTIF($B$5:B629,B629))</f>
        <v/>
      </c>
    </row>
    <row r="630" spans="2:19" x14ac:dyDescent="0.2">
      <c r="B630" s="11"/>
      <c r="C630" s="11"/>
      <c r="D630" s="10" t="str">
        <f t="shared" si="108"/>
        <v/>
      </c>
      <c r="E630" s="15" t="str">
        <f t="shared" si="109"/>
        <v/>
      </c>
      <c r="F630" s="11"/>
      <c r="G630" s="16" t="str">
        <f t="shared" si="110"/>
        <v/>
      </c>
      <c r="H630" s="17"/>
      <c r="I630" s="16" t="str">
        <f t="shared" si="111"/>
        <v/>
      </c>
      <c r="J630" s="16" t="str">
        <f t="shared" si="112"/>
        <v/>
      </c>
      <c r="K630" s="18" t="str">
        <f t="shared" si="113"/>
        <v/>
      </c>
      <c r="L630" s="16" t="str">
        <f t="shared" si="114"/>
        <v/>
      </c>
      <c r="M630" s="16" t="str">
        <f t="shared" si="115"/>
        <v/>
      </c>
      <c r="N630" s="16" t="str">
        <f t="shared" si="116"/>
        <v/>
      </c>
      <c r="O630" s="16" t="str">
        <f t="shared" si="117"/>
        <v/>
      </c>
      <c r="P630" s="16" t="str">
        <f t="shared" si="118"/>
        <v/>
      </c>
      <c r="Q630" s="18" t="str">
        <f t="shared" si="119"/>
        <v/>
      </c>
      <c r="R630" s="19" t="str">
        <f>IF(C630="","",IF(ISNA(MATCH(B630,'Registru oferte'!$B$5:$B$504,0)),"Oferta nu există în registru",IF(N(F630)&lt;=0,"Lipsește cantitatea",IF(AND(ISNUMBER(Q630),Q630&lt;MarjaMin),"Marjă sub minim ("&amp;TEXT(Q630*100,"0")&amp;"%)",""))))</f>
        <v/>
      </c>
      <c r="S630" s="1" t="str">
        <f>IF(B630="","",B630&amp;"|"&amp;COUNTIF($B$5:B630,B630))</f>
        <v/>
      </c>
    </row>
    <row r="631" spans="2:19" x14ac:dyDescent="0.2">
      <c r="B631" s="11"/>
      <c r="C631" s="11"/>
      <c r="D631" s="10" t="str">
        <f t="shared" si="108"/>
        <v/>
      </c>
      <c r="E631" s="15" t="str">
        <f t="shared" si="109"/>
        <v/>
      </c>
      <c r="F631" s="11"/>
      <c r="G631" s="16" t="str">
        <f t="shared" si="110"/>
        <v/>
      </c>
      <c r="H631" s="17"/>
      <c r="I631" s="16" t="str">
        <f t="shared" si="111"/>
        <v/>
      </c>
      <c r="J631" s="16" t="str">
        <f t="shared" si="112"/>
        <v/>
      </c>
      <c r="K631" s="18" t="str">
        <f t="shared" si="113"/>
        <v/>
      </c>
      <c r="L631" s="16" t="str">
        <f t="shared" si="114"/>
        <v/>
      </c>
      <c r="M631" s="16" t="str">
        <f t="shared" si="115"/>
        <v/>
      </c>
      <c r="N631" s="16" t="str">
        <f t="shared" si="116"/>
        <v/>
      </c>
      <c r="O631" s="16" t="str">
        <f t="shared" si="117"/>
        <v/>
      </c>
      <c r="P631" s="16" t="str">
        <f t="shared" si="118"/>
        <v/>
      </c>
      <c r="Q631" s="18" t="str">
        <f t="shared" si="119"/>
        <v/>
      </c>
      <c r="R631" s="19" t="str">
        <f>IF(C631="","",IF(ISNA(MATCH(B631,'Registru oferte'!$B$5:$B$504,0)),"Oferta nu există în registru",IF(N(F631)&lt;=0,"Lipsește cantitatea",IF(AND(ISNUMBER(Q631),Q631&lt;MarjaMin),"Marjă sub minim ("&amp;TEXT(Q631*100,"0")&amp;"%)",""))))</f>
        <v/>
      </c>
      <c r="S631" s="1" t="str">
        <f>IF(B631="","",B631&amp;"|"&amp;COUNTIF($B$5:B631,B631))</f>
        <v/>
      </c>
    </row>
    <row r="632" spans="2:19" x14ac:dyDescent="0.2">
      <c r="B632" s="11"/>
      <c r="C632" s="11"/>
      <c r="D632" s="10" t="str">
        <f t="shared" si="108"/>
        <v/>
      </c>
      <c r="E632" s="15" t="str">
        <f t="shared" si="109"/>
        <v/>
      </c>
      <c r="F632" s="11"/>
      <c r="G632" s="16" t="str">
        <f t="shared" si="110"/>
        <v/>
      </c>
      <c r="H632" s="17"/>
      <c r="I632" s="16" t="str">
        <f t="shared" si="111"/>
        <v/>
      </c>
      <c r="J632" s="16" t="str">
        <f t="shared" si="112"/>
        <v/>
      </c>
      <c r="K632" s="18" t="str">
        <f t="shared" si="113"/>
        <v/>
      </c>
      <c r="L632" s="16" t="str">
        <f t="shared" si="114"/>
        <v/>
      </c>
      <c r="M632" s="16" t="str">
        <f t="shared" si="115"/>
        <v/>
      </c>
      <c r="N632" s="16" t="str">
        <f t="shared" si="116"/>
        <v/>
      </c>
      <c r="O632" s="16" t="str">
        <f t="shared" si="117"/>
        <v/>
      </c>
      <c r="P632" s="16" t="str">
        <f t="shared" si="118"/>
        <v/>
      </c>
      <c r="Q632" s="18" t="str">
        <f t="shared" si="119"/>
        <v/>
      </c>
      <c r="R632" s="19" t="str">
        <f>IF(C632="","",IF(ISNA(MATCH(B632,'Registru oferte'!$B$5:$B$504,0)),"Oferta nu există în registru",IF(N(F632)&lt;=0,"Lipsește cantitatea",IF(AND(ISNUMBER(Q632),Q632&lt;MarjaMin),"Marjă sub minim ("&amp;TEXT(Q632*100,"0")&amp;"%)",""))))</f>
        <v/>
      </c>
      <c r="S632" s="1" t="str">
        <f>IF(B632="","",B632&amp;"|"&amp;COUNTIF($B$5:B632,B632))</f>
        <v/>
      </c>
    </row>
    <row r="633" spans="2:19" x14ac:dyDescent="0.2">
      <c r="B633" s="11"/>
      <c r="C633" s="11"/>
      <c r="D633" s="10" t="str">
        <f t="shared" si="108"/>
        <v/>
      </c>
      <c r="E633" s="15" t="str">
        <f t="shared" si="109"/>
        <v/>
      </c>
      <c r="F633" s="11"/>
      <c r="G633" s="16" t="str">
        <f t="shared" si="110"/>
        <v/>
      </c>
      <c r="H633" s="17"/>
      <c r="I633" s="16" t="str">
        <f t="shared" si="111"/>
        <v/>
      </c>
      <c r="J633" s="16" t="str">
        <f t="shared" si="112"/>
        <v/>
      </c>
      <c r="K633" s="18" t="str">
        <f t="shared" si="113"/>
        <v/>
      </c>
      <c r="L633" s="16" t="str">
        <f t="shared" si="114"/>
        <v/>
      </c>
      <c r="M633" s="16" t="str">
        <f t="shared" si="115"/>
        <v/>
      </c>
      <c r="N633" s="16" t="str">
        <f t="shared" si="116"/>
        <v/>
      </c>
      <c r="O633" s="16" t="str">
        <f t="shared" si="117"/>
        <v/>
      </c>
      <c r="P633" s="16" t="str">
        <f t="shared" si="118"/>
        <v/>
      </c>
      <c r="Q633" s="18" t="str">
        <f t="shared" si="119"/>
        <v/>
      </c>
      <c r="R633" s="19" t="str">
        <f>IF(C633="","",IF(ISNA(MATCH(B633,'Registru oferte'!$B$5:$B$504,0)),"Oferta nu există în registru",IF(N(F633)&lt;=0,"Lipsește cantitatea",IF(AND(ISNUMBER(Q633),Q633&lt;MarjaMin),"Marjă sub minim ("&amp;TEXT(Q633*100,"0")&amp;"%)",""))))</f>
        <v/>
      </c>
      <c r="S633" s="1" t="str">
        <f>IF(B633="","",B633&amp;"|"&amp;COUNTIF($B$5:B633,B633))</f>
        <v/>
      </c>
    </row>
    <row r="634" spans="2:19" x14ac:dyDescent="0.2">
      <c r="B634" s="11"/>
      <c r="C634" s="11"/>
      <c r="D634" s="10" t="str">
        <f t="shared" si="108"/>
        <v/>
      </c>
      <c r="E634" s="15" t="str">
        <f t="shared" si="109"/>
        <v/>
      </c>
      <c r="F634" s="11"/>
      <c r="G634" s="16" t="str">
        <f t="shared" si="110"/>
        <v/>
      </c>
      <c r="H634" s="17"/>
      <c r="I634" s="16" t="str">
        <f t="shared" si="111"/>
        <v/>
      </c>
      <c r="J634" s="16" t="str">
        <f t="shared" si="112"/>
        <v/>
      </c>
      <c r="K634" s="18" t="str">
        <f t="shared" si="113"/>
        <v/>
      </c>
      <c r="L634" s="16" t="str">
        <f t="shared" si="114"/>
        <v/>
      </c>
      <c r="M634" s="16" t="str">
        <f t="shared" si="115"/>
        <v/>
      </c>
      <c r="N634" s="16" t="str">
        <f t="shared" si="116"/>
        <v/>
      </c>
      <c r="O634" s="16" t="str">
        <f t="shared" si="117"/>
        <v/>
      </c>
      <c r="P634" s="16" t="str">
        <f t="shared" si="118"/>
        <v/>
      </c>
      <c r="Q634" s="18" t="str">
        <f t="shared" si="119"/>
        <v/>
      </c>
      <c r="R634" s="19" t="str">
        <f>IF(C634="","",IF(ISNA(MATCH(B634,'Registru oferte'!$B$5:$B$504,0)),"Oferta nu există în registru",IF(N(F634)&lt;=0,"Lipsește cantitatea",IF(AND(ISNUMBER(Q634),Q634&lt;MarjaMin),"Marjă sub minim ("&amp;TEXT(Q634*100,"0")&amp;"%)",""))))</f>
        <v/>
      </c>
      <c r="S634" s="1" t="str">
        <f>IF(B634="","",B634&amp;"|"&amp;COUNTIF($B$5:B634,B634))</f>
        <v/>
      </c>
    </row>
    <row r="635" spans="2:19" x14ac:dyDescent="0.2">
      <c r="B635" s="11"/>
      <c r="C635" s="11"/>
      <c r="D635" s="10" t="str">
        <f t="shared" si="108"/>
        <v/>
      </c>
      <c r="E635" s="15" t="str">
        <f t="shared" si="109"/>
        <v/>
      </c>
      <c r="F635" s="11"/>
      <c r="G635" s="16" t="str">
        <f t="shared" si="110"/>
        <v/>
      </c>
      <c r="H635" s="17"/>
      <c r="I635" s="16" t="str">
        <f t="shared" si="111"/>
        <v/>
      </c>
      <c r="J635" s="16" t="str">
        <f t="shared" si="112"/>
        <v/>
      </c>
      <c r="K635" s="18" t="str">
        <f t="shared" si="113"/>
        <v/>
      </c>
      <c r="L635" s="16" t="str">
        <f t="shared" si="114"/>
        <v/>
      </c>
      <c r="M635" s="16" t="str">
        <f t="shared" si="115"/>
        <v/>
      </c>
      <c r="N635" s="16" t="str">
        <f t="shared" si="116"/>
        <v/>
      </c>
      <c r="O635" s="16" t="str">
        <f t="shared" si="117"/>
        <v/>
      </c>
      <c r="P635" s="16" t="str">
        <f t="shared" si="118"/>
        <v/>
      </c>
      <c r="Q635" s="18" t="str">
        <f t="shared" si="119"/>
        <v/>
      </c>
      <c r="R635" s="19" t="str">
        <f>IF(C635="","",IF(ISNA(MATCH(B635,'Registru oferte'!$B$5:$B$504,0)),"Oferta nu există în registru",IF(N(F635)&lt;=0,"Lipsește cantitatea",IF(AND(ISNUMBER(Q635),Q635&lt;MarjaMin),"Marjă sub minim ("&amp;TEXT(Q635*100,"0")&amp;"%)",""))))</f>
        <v/>
      </c>
      <c r="S635" s="1" t="str">
        <f>IF(B635="","",B635&amp;"|"&amp;COUNTIF($B$5:B635,B635))</f>
        <v/>
      </c>
    </row>
    <row r="636" spans="2:19" x14ac:dyDescent="0.2">
      <c r="B636" s="11"/>
      <c r="C636" s="11"/>
      <c r="D636" s="10" t="str">
        <f t="shared" si="108"/>
        <v/>
      </c>
      <c r="E636" s="15" t="str">
        <f t="shared" si="109"/>
        <v/>
      </c>
      <c r="F636" s="11"/>
      <c r="G636" s="16" t="str">
        <f t="shared" si="110"/>
        <v/>
      </c>
      <c r="H636" s="17"/>
      <c r="I636" s="16" t="str">
        <f t="shared" si="111"/>
        <v/>
      </c>
      <c r="J636" s="16" t="str">
        <f t="shared" si="112"/>
        <v/>
      </c>
      <c r="K636" s="18" t="str">
        <f t="shared" si="113"/>
        <v/>
      </c>
      <c r="L636" s="16" t="str">
        <f t="shared" si="114"/>
        <v/>
      </c>
      <c r="M636" s="16" t="str">
        <f t="shared" si="115"/>
        <v/>
      </c>
      <c r="N636" s="16" t="str">
        <f t="shared" si="116"/>
        <v/>
      </c>
      <c r="O636" s="16" t="str">
        <f t="shared" si="117"/>
        <v/>
      </c>
      <c r="P636" s="16" t="str">
        <f t="shared" si="118"/>
        <v/>
      </c>
      <c r="Q636" s="18" t="str">
        <f t="shared" si="119"/>
        <v/>
      </c>
      <c r="R636" s="19" t="str">
        <f>IF(C636="","",IF(ISNA(MATCH(B636,'Registru oferte'!$B$5:$B$504,0)),"Oferta nu există în registru",IF(N(F636)&lt;=0,"Lipsește cantitatea",IF(AND(ISNUMBER(Q636),Q636&lt;MarjaMin),"Marjă sub minim ("&amp;TEXT(Q636*100,"0")&amp;"%)",""))))</f>
        <v/>
      </c>
      <c r="S636" s="1" t="str">
        <f>IF(B636="","",B636&amp;"|"&amp;COUNTIF($B$5:B636,B636))</f>
        <v/>
      </c>
    </row>
    <row r="637" spans="2:19" x14ac:dyDescent="0.2">
      <c r="B637" s="11"/>
      <c r="C637" s="11"/>
      <c r="D637" s="10" t="str">
        <f t="shared" si="108"/>
        <v/>
      </c>
      <c r="E637" s="15" t="str">
        <f t="shared" si="109"/>
        <v/>
      </c>
      <c r="F637" s="11"/>
      <c r="G637" s="16" t="str">
        <f t="shared" si="110"/>
        <v/>
      </c>
      <c r="H637" s="17"/>
      <c r="I637" s="16" t="str">
        <f t="shared" si="111"/>
        <v/>
      </c>
      <c r="J637" s="16" t="str">
        <f t="shared" si="112"/>
        <v/>
      </c>
      <c r="K637" s="18" t="str">
        <f t="shared" si="113"/>
        <v/>
      </c>
      <c r="L637" s="16" t="str">
        <f t="shared" si="114"/>
        <v/>
      </c>
      <c r="M637" s="16" t="str">
        <f t="shared" si="115"/>
        <v/>
      </c>
      <c r="N637" s="16" t="str">
        <f t="shared" si="116"/>
        <v/>
      </c>
      <c r="O637" s="16" t="str">
        <f t="shared" si="117"/>
        <v/>
      </c>
      <c r="P637" s="16" t="str">
        <f t="shared" si="118"/>
        <v/>
      </c>
      <c r="Q637" s="18" t="str">
        <f t="shared" si="119"/>
        <v/>
      </c>
      <c r="R637" s="19" t="str">
        <f>IF(C637="","",IF(ISNA(MATCH(B637,'Registru oferte'!$B$5:$B$504,0)),"Oferta nu există în registru",IF(N(F637)&lt;=0,"Lipsește cantitatea",IF(AND(ISNUMBER(Q637),Q637&lt;MarjaMin),"Marjă sub minim ("&amp;TEXT(Q637*100,"0")&amp;"%)",""))))</f>
        <v/>
      </c>
      <c r="S637" s="1" t="str">
        <f>IF(B637="","",B637&amp;"|"&amp;COUNTIF($B$5:B637,B637))</f>
        <v/>
      </c>
    </row>
    <row r="638" spans="2:19" x14ac:dyDescent="0.2">
      <c r="B638" s="11"/>
      <c r="C638" s="11"/>
      <c r="D638" s="10" t="str">
        <f t="shared" si="108"/>
        <v/>
      </c>
      <c r="E638" s="15" t="str">
        <f t="shared" si="109"/>
        <v/>
      </c>
      <c r="F638" s="11"/>
      <c r="G638" s="16" t="str">
        <f t="shared" si="110"/>
        <v/>
      </c>
      <c r="H638" s="17"/>
      <c r="I638" s="16" t="str">
        <f t="shared" si="111"/>
        <v/>
      </c>
      <c r="J638" s="16" t="str">
        <f t="shared" si="112"/>
        <v/>
      </c>
      <c r="K638" s="18" t="str">
        <f t="shared" si="113"/>
        <v/>
      </c>
      <c r="L638" s="16" t="str">
        <f t="shared" si="114"/>
        <v/>
      </c>
      <c r="M638" s="16" t="str">
        <f t="shared" si="115"/>
        <v/>
      </c>
      <c r="N638" s="16" t="str">
        <f t="shared" si="116"/>
        <v/>
      </c>
      <c r="O638" s="16" t="str">
        <f t="shared" si="117"/>
        <v/>
      </c>
      <c r="P638" s="16" t="str">
        <f t="shared" si="118"/>
        <v/>
      </c>
      <c r="Q638" s="18" t="str">
        <f t="shared" si="119"/>
        <v/>
      </c>
      <c r="R638" s="19" t="str">
        <f>IF(C638="","",IF(ISNA(MATCH(B638,'Registru oferte'!$B$5:$B$504,0)),"Oferta nu există în registru",IF(N(F638)&lt;=0,"Lipsește cantitatea",IF(AND(ISNUMBER(Q638),Q638&lt;MarjaMin),"Marjă sub minim ("&amp;TEXT(Q638*100,"0")&amp;"%)",""))))</f>
        <v/>
      </c>
      <c r="S638" s="1" t="str">
        <f>IF(B638="","",B638&amp;"|"&amp;COUNTIF($B$5:B638,B638))</f>
        <v/>
      </c>
    </row>
    <row r="639" spans="2:19" x14ac:dyDescent="0.2">
      <c r="B639" s="11"/>
      <c r="C639" s="11"/>
      <c r="D639" s="10" t="str">
        <f t="shared" si="108"/>
        <v/>
      </c>
      <c r="E639" s="15" t="str">
        <f t="shared" si="109"/>
        <v/>
      </c>
      <c r="F639" s="11"/>
      <c r="G639" s="16" t="str">
        <f t="shared" si="110"/>
        <v/>
      </c>
      <c r="H639" s="17"/>
      <c r="I639" s="16" t="str">
        <f t="shared" si="111"/>
        <v/>
      </c>
      <c r="J639" s="16" t="str">
        <f t="shared" si="112"/>
        <v/>
      </c>
      <c r="K639" s="18" t="str">
        <f t="shared" si="113"/>
        <v/>
      </c>
      <c r="L639" s="16" t="str">
        <f t="shared" si="114"/>
        <v/>
      </c>
      <c r="M639" s="16" t="str">
        <f t="shared" si="115"/>
        <v/>
      </c>
      <c r="N639" s="16" t="str">
        <f t="shared" si="116"/>
        <v/>
      </c>
      <c r="O639" s="16" t="str">
        <f t="shared" si="117"/>
        <v/>
      </c>
      <c r="P639" s="16" t="str">
        <f t="shared" si="118"/>
        <v/>
      </c>
      <c r="Q639" s="18" t="str">
        <f t="shared" si="119"/>
        <v/>
      </c>
      <c r="R639" s="19" t="str">
        <f>IF(C639="","",IF(ISNA(MATCH(B639,'Registru oferte'!$B$5:$B$504,0)),"Oferta nu există în registru",IF(N(F639)&lt;=0,"Lipsește cantitatea",IF(AND(ISNUMBER(Q639),Q639&lt;MarjaMin),"Marjă sub minim ("&amp;TEXT(Q639*100,"0")&amp;"%)",""))))</f>
        <v/>
      </c>
      <c r="S639" s="1" t="str">
        <f>IF(B639="","",B639&amp;"|"&amp;COUNTIF($B$5:B639,B639))</f>
        <v/>
      </c>
    </row>
    <row r="640" spans="2:19" x14ac:dyDescent="0.2">
      <c r="B640" s="11"/>
      <c r="C640" s="11"/>
      <c r="D640" s="10" t="str">
        <f t="shared" si="108"/>
        <v/>
      </c>
      <c r="E640" s="15" t="str">
        <f t="shared" si="109"/>
        <v/>
      </c>
      <c r="F640" s="11"/>
      <c r="G640" s="16" t="str">
        <f t="shared" si="110"/>
        <v/>
      </c>
      <c r="H640" s="17"/>
      <c r="I640" s="16" t="str">
        <f t="shared" si="111"/>
        <v/>
      </c>
      <c r="J640" s="16" t="str">
        <f t="shared" si="112"/>
        <v/>
      </c>
      <c r="K640" s="18" t="str">
        <f t="shared" si="113"/>
        <v/>
      </c>
      <c r="L640" s="16" t="str">
        <f t="shared" si="114"/>
        <v/>
      </c>
      <c r="M640" s="16" t="str">
        <f t="shared" si="115"/>
        <v/>
      </c>
      <c r="N640" s="16" t="str">
        <f t="shared" si="116"/>
        <v/>
      </c>
      <c r="O640" s="16" t="str">
        <f t="shared" si="117"/>
        <v/>
      </c>
      <c r="P640" s="16" t="str">
        <f t="shared" si="118"/>
        <v/>
      </c>
      <c r="Q640" s="18" t="str">
        <f t="shared" si="119"/>
        <v/>
      </c>
      <c r="R640" s="19" t="str">
        <f>IF(C640="","",IF(ISNA(MATCH(B640,'Registru oferte'!$B$5:$B$504,0)),"Oferta nu există în registru",IF(N(F640)&lt;=0,"Lipsește cantitatea",IF(AND(ISNUMBER(Q640),Q640&lt;MarjaMin),"Marjă sub minim ("&amp;TEXT(Q640*100,"0")&amp;"%)",""))))</f>
        <v/>
      </c>
      <c r="S640" s="1" t="str">
        <f>IF(B640="","",B640&amp;"|"&amp;COUNTIF($B$5:B640,B640))</f>
        <v/>
      </c>
    </row>
    <row r="641" spans="2:19" x14ac:dyDescent="0.2">
      <c r="B641" s="11"/>
      <c r="C641" s="11"/>
      <c r="D641" s="10" t="str">
        <f t="shared" si="108"/>
        <v/>
      </c>
      <c r="E641" s="15" t="str">
        <f t="shared" si="109"/>
        <v/>
      </c>
      <c r="F641" s="11"/>
      <c r="G641" s="16" t="str">
        <f t="shared" si="110"/>
        <v/>
      </c>
      <c r="H641" s="17"/>
      <c r="I641" s="16" t="str">
        <f t="shared" si="111"/>
        <v/>
      </c>
      <c r="J641" s="16" t="str">
        <f t="shared" si="112"/>
        <v/>
      </c>
      <c r="K641" s="18" t="str">
        <f t="shared" si="113"/>
        <v/>
      </c>
      <c r="L641" s="16" t="str">
        <f t="shared" si="114"/>
        <v/>
      </c>
      <c r="M641" s="16" t="str">
        <f t="shared" si="115"/>
        <v/>
      </c>
      <c r="N641" s="16" t="str">
        <f t="shared" si="116"/>
        <v/>
      </c>
      <c r="O641" s="16" t="str">
        <f t="shared" si="117"/>
        <v/>
      </c>
      <c r="P641" s="16" t="str">
        <f t="shared" si="118"/>
        <v/>
      </c>
      <c r="Q641" s="18" t="str">
        <f t="shared" si="119"/>
        <v/>
      </c>
      <c r="R641" s="19" t="str">
        <f>IF(C641="","",IF(ISNA(MATCH(B641,'Registru oferte'!$B$5:$B$504,0)),"Oferta nu există în registru",IF(N(F641)&lt;=0,"Lipsește cantitatea",IF(AND(ISNUMBER(Q641),Q641&lt;MarjaMin),"Marjă sub minim ("&amp;TEXT(Q641*100,"0")&amp;"%)",""))))</f>
        <v/>
      </c>
      <c r="S641" s="1" t="str">
        <f>IF(B641="","",B641&amp;"|"&amp;COUNTIF($B$5:B641,B641))</f>
        <v/>
      </c>
    </row>
    <row r="642" spans="2:19" x14ac:dyDescent="0.2">
      <c r="B642" s="11"/>
      <c r="C642" s="11"/>
      <c r="D642" s="10" t="str">
        <f t="shared" si="108"/>
        <v/>
      </c>
      <c r="E642" s="15" t="str">
        <f t="shared" si="109"/>
        <v/>
      </c>
      <c r="F642" s="11"/>
      <c r="G642" s="16" t="str">
        <f t="shared" si="110"/>
        <v/>
      </c>
      <c r="H642" s="17"/>
      <c r="I642" s="16" t="str">
        <f t="shared" si="111"/>
        <v/>
      </c>
      <c r="J642" s="16" t="str">
        <f t="shared" si="112"/>
        <v/>
      </c>
      <c r="K642" s="18" t="str">
        <f t="shared" si="113"/>
        <v/>
      </c>
      <c r="L642" s="16" t="str">
        <f t="shared" si="114"/>
        <v/>
      </c>
      <c r="M642" s="16" t="str">
        <f t="shared" si="115"/>
        <v/>
      </c>
      <c r="N642" s="16" t="str">
        <f t="shared" si="116"/>
        <v/>
      </c>
      <c r="O642" s="16" t="str">
        <f t="shared" si="117"/>
        <v/>
      </c>
      <c r="P642" s="16" t="str">
        <f t="shared" si="118"/>
        <v/>
      </c>
      <c r="Q642" s="18" t="str">
        <f t="shared" si="119"/>
        <v/>
      </c>
      <c r="R642" s="19" t="str">
        <f>IF(C642="","",IF(ISNA(MATCH(B642,'Registru oferte'!$B$5:$B$504,0)),"Oferta nu există în registru",IF(N(F642)&lt;=0,"Lipsește cantitatea",IF(AND(ISNUMBER(Q642),Q642&lt;MarjaMin),"Marjă sub minim ("&amp;TEXT(Q642*100,"0")&amp;"%)",""))))</f>
        <v/>
      </c>
      <c r="S642" s="1" t="str">
        <f>IF(B642="","",B642&amp;"|"&amp;COUNTIF($B$5:B642,B642))</f>
        <v/>
      </c>
    </row>
    <row r="643" spans="2:19" x14ac:dyDescent="0.2">
      <c r="B643" s="11"/>
      <c r="C643" s="11"/>
      <c r="D643" s="10" t="str">
        <f t="shared" si="108"/>
        <v/>
      </c>
      <c r="E643" s="15" t="str">
        <f t="shared" si="109"/>
        <v/>
      </c>
      <c r="F643" s="11"/>
      <c r="G643" s="16" t="str">
        <f t="shared" si="110"/>
        <v/>
      </c>
      <c r="H643" s="17"/>
      <c r="I643" s="16" t="str">
        <f t="shared" si="111"/>
        <v/>
      </c>
      <c r="J643" s="16" t="str">
        <f t="shared" si="112"/>
        <v/>
      </c>
      <c r="K643" s="18" t="str">
        <f t="shared" si="113"/>
        <v/>
      </c>
      <c r="L643" s="16" t="str">
        <f t="shared" si="114"/>
        <v/>
      </c>
      <c r="M643" s="16" t="str">
        <f t="shared" si="115"/>
        <v/>
      </c>
      <c r="N643" s="16" t="str">
        <f t="shared" si="116"/>
        <v/>
      </c>
      <c r="O643" s="16" t="str">
        <f t="shared" si="117"/>
        <v/>
      </c>
      <c r="P643" s="16" t="str">
        <f t="shared" si="118"/>
        <v/>
      </c>
      <c r="Q643" s="18" t="str">
        <f t="shared" si="119"/>
        <v/>
      </c>
      <c r="R643" s="19" t="str">
        <f>IF(C643="","",IF(ISNA(MATCH(B643,'Registru oferte'!$B$5:$B$504,0)),"Oferta nu există în registru",IF(N(F643)&lt;=0,"Lipsește cantitatea",IF(AND(ISNUMBER(Q643),Q643&lt;MarjaMin),"Marjă sub minim ("&amp;TEXT(Q643*100,"0")&amp;"%)",""))))</f>
        <v/>
      </c>
      <c r="S643" s="1" t="str">
        <f>IF(B643="","",B643&amp;"|"&amp;COUNTIF($B$5:B643,B643))</f>
        <v/>
      </c>
    </row>
    <row r="644" spans="2:19" x14ac:dyDescent="0.2">
      <c r="B644" s="11"/>
      <c r="C644" s="11"/>
      <c r="D644" s="10" t="str">
        <f t="shared" si="108"/>
        <v/>
      </c>
      <c r="E644" s="15" t="str">
        <f t="shared" si="109"/>
        <v/>
      </c>
      <c r="F644" s="11"/>
      <c r="G644" s="16" t="str">
        <f t="shared" si="110"/>
        <v/>
      </c>
      <c r="H644" s="17"/>
      <c r="I644" s="16" t="str">
        <f t="shared" si="111"/>
        <v/>
      </c>
      <c r="J644" s="16" t="str">
        <f t="shared" si="112"/>
        <v/>
      </c>
      <c r="K644" s="18" t="str">
        <f t="shared" si="113"/>
        <v/>
      </c>
      <c r="L644" s="16" t="str">
        <f t="shared" si="114"/>
        <v/>
      </c>
      <c r="M644" s="16" t="str">
        <f t="shared" si="115"/>
        <v/>
      </c>
      <c r="N644" s="16" t="str">
        <f t="shared" si="116"/>
        <v/>
      </c>
      <c r="O644" s="16" t="str">
        <f t="shared" si="117"/>
        <v/>
      </c>
      <c r="P644" s="16" t="str">
        <f t="shared" si="118"/>
        <v/>
      </c>
      <c r="Q644" s="18" t="str">
        <f t="shared" si="119"/>
        <v/>
      </c>
      <c r="R644" s="19" t="str">
        <f>IF(C644="","",IF(ISNA(MATCH(B644,'Registru oferte'!$B$5:$B$504,0)),"Oferta nu există în registru",IF(N(F644)&lt;=0,"Lipsește cantitatea",IF(AND(ISNUMBER(Q644),Q644&lt;MarjaMin),"Marjă sub minim ("&amp;TEXT(Q644*100,"0")&amp;"%)",""))))</f>
        <v/>
      </c>
      <c r="S644" s="1" t="str">
        <f>IF(B644="","",B644&amp;"|"&amp;COUNTIF($B$5:B644,B644))</f>
        <v/>
      </c>
    </row>
    <row r="645" spans="2:19" x14ac:dyDescent="0.2">
      <c r="B645" s="11"/>
      <c r="C645" s="11"/>
      <c r="D645" s="10" t="str">
        <f t="shared" ref="D645:D708" si="120">IF(C645="","",IFERROR(VLOOKUP(C645,TabCat,2,FALSE),"Cod inexistent"))</f>
        <v/>
      </c>
      <c r="E645" s="15" t="str">
        <f t="shared" ref="E645:E708" si="121">IF(C645="","",IFERROR(VLOOKUP(C645,TabCat,3,FALSE),""))</f>
        <v/>
      </c>
      <c r="F645" s="11"/>
      <c r="G645" s="16" t="str">
        <f t="shared" ref="G645:G708" si="122">IF(C645="","",IFERROR(VLOOKUP(C645,TabCat,4,FALSE),0))</f>
        <v/>
      </c>
      <c r="H645" s="17"/>
      <c r="I645" s="16" t="str">
        <f t="shared" ref="I645:I708" si="123">IF(C645="","",ROUND(G645*(1-N(H645)),2))</f>
        <v/>
      </c>
      <c r="J645" s="16" t="str">
        <f t="shared" ref="J645:J708" si="124">IF(C645="","",ROUND(I645*N(F645),2))</f>
        <v/>
      </c>
      <c r="K645" s="18" t="str">
        <f t="shared" ref="K645:K708" si="125">IF(C645="","",IFERROR(VLOOKUP(C645,TabCat,6,FALSE),0))</f>
        <v/>
      </c>
      <c r="L645" s="16" t="str">
        <f t="shared" ref="L645:L708" si="126">IF(C645="","",ROUND(J645*K645,2))</f>
        <v/>
      </c>
      <c r="M645" s="16" t="str">
        <f t="shared" ref="M645:M708" si="127">IF(C645="","",J645+L645)</f>
        <v/>
      </c>
      <c r="N645" s="16" t="str">
        <f t="shared" ref="N645:N708" si="128">IF(C645="","",IFERROR(VLOOKUP(C645,TabCat,5,FALSE),0))</f>
        <v/>
      </c>
      <c r="O645" s="16" t="str">
        <f t="shared" ref="O645:O708" si="129">IF(C645="","",ROUND(N645*N(F645),2))</f>
        <v/>
      </c>
      <c r="P645" s="16" t="str">
        <f t="shared" ref="P645:P708" si="130">IF(C645="","",J645-O645)</f>
        <v/>
      </c>
      <c r="Q645" s="18" t="str">
        <f t="shared" ref="Q645:Q708" si="131">IF(OR(C645="",N(J645)=0),"",P645/J645)</f>
        <v/>
      </c>
      <c r="R645" s="19" t="str">
        <f>IF(C645="","",IF(ISNA(MATCH(B645,'Registru oferte'!$B$5:$B$504,0)),"Oferta nu există în registru",IF(N(F645)&lt;=0,"Lipsește cantitatea",IF(AND(ISNUMBER(Q645),Q645&lt;MarjaMin),"Marjă sub minim ("&amp;TEXT(Q645*100,"0")&amp;"%)",""))))</f>
        <v/>
      </c>
      <c r="S645" s="1" t="str">
        <f>IF(B645="","",B645&amp;"|"&amp;COUNTIF($B$5:B645,B645))</f>
        <v/>
      </c>
    </row>
    <row r="646" spans="2:19" x14ac:dyDescent="0.2">
      <c r="B646" s="11"/>
      <c r="C646" s="11"/>
      <c r="D646" s="10" t="str">
        <f t="shared" si="120"/>
        <v/>
      </c>
      <c r="E646" s="15" t="str">
        <f t="shared" si="121"/>
        <v/>
      </c>
      <c r="F646" s="11"/>
      <c r="G646" s="16" t="str">
        <f t="shared" si="122"/>
        <v/>
      </c>
      <c r="H646" s="17"/>
      <c r="I646" s="16" t="str">
        <f t="shared" si="123"/>
        <v/>
      </c>
      <c r="J646" s="16" t="str">
        <f t="shared" si="124"/>
        <v/>
      </c>
      <c r="K646" s="18" t="str">
        <f t="shared" si="125"/>
        <v/>
      </c>
      <c r="L646" s="16" t="str">
        <f t="shared" si="126"/>
        <v/>
      </c>
      <c r="M646" s="16" t="str">
        <f t="shared" si="127"/>
        <v/>
      </c>
      <c r="N646" s="16" t="str">
        <f t="shared" si="128"/>
        <v/>
      </c>
      <c r="O646" s="16" t="str">
        <f t="shared" si="129"/>
        <v/>
      </c>
      <c r="P646" s="16" t="str">
        <f t="shared" si="130"/>
        <v/>
      </c>
      <c r="Q646" s="18" t="str">
        <f t="shared" si="131"/>
        <v/>
      </c>
      <c r="R646" s="19" t="str">
        <f>IF(C646="","",IF(ISNA(MATCH(B646,'Registru oferte'!$B$5:$B$504,0)),"Oferta nu există în registru",IF(N(F646)&lt;=0,"Lipsește cantitatea",IF(AND(ISNUMBER(Q646),Q646&lt;MarjaMin),"Marjă sub minim ("&amp;TEXT(Q646*100,"0")&amp;"%)",""))))</f>
        <v/>
      </c>
      <c r="S646" s="1" t="str">
        <f>IF(B646="","",B646&amp;"|"&amp;COUNTIF($B$5:B646,B646))</f>
        <v/>
      </c>
    </row>
    <row r="647" spans="2:19" x14ac:dyDescent="0.2">
      <c r="B647" s="11"/>
      <c r="C647" s="11"/>
      <c r="D647" s="10" t="str">
        <f t="shared" si="120"/>
        <v/>
      </c>
      <c r="E647" s="15" t="str">
        <f t="shared" si="121"/>
        <v/>
      </c>
      <c r="F647" s="11"/>
      <c r="G647" s="16" t="str">
        <f t="shared" si="122"/>
        <v/>
      </c>
      <c r="H647" s="17"/>
      <c r="I647" s="16" t="str">
        <f t="shared" si="123"/>
        <v/>
      </c>
      <c r="J647" s="16" t="str">
        <f t="shared" si="124"/>
        <v/>
      </c>
      <c r="K647" s="18" t="str">
        <f t="shared" si="125"/>
        <v/>
      </c>
      <c r="L647" s="16" t="str">
        <f t="shared" si="126"/>
        <v/>
      </c>
      <c r="M647" s="16" t="str">
        <f t="shared" si="127"/>
        <v/>
      </c>
      <c r="N647" s="16" t="str">
        <f t="shared" si="128"/>
        <v/>
      </c>
      <c r="O647" s="16" t="str">
        <f t="shared" si="129"/>
        <v/>
      </c>
      <c r="P647" s="16" t="str">
        <f t="shared" si="130"/>
        <v/>
      </c>
      <c r="Q647" s="18" t="str">
        <f t="shared" si="131"/>
        <v/>
      </c>
      <c r="R647" s="19" t="str">
        <f>IF(C647="","",IF(ISNA(MATCH(B647,'Registru oferte'!$B$5:$B$504,0)),"Oferta nu există în registru",IF(N(F647)&lt;=0,"Lipsește cantitatea",IF(AND(ISNUMBER(Q647),Q647&lt;MarjaMin),"Marjă sub minim ("&amp;TEXT(Q647*100,"0")&amp;"%)",""))))</f>
        <v/>
      </c>
      <c r="S647" s="1" t="str">
        <f>IF(B647="","",B647&amp;"|"&amp;COUNTIF($B$5:B647,B647))</f>
        <v/>
      </c>
    </row>
    <row r="648" spans="2:19" x14ac:dyDescent="0.2">
      <c r="B648" s="11"/>
      <c r="C648" s="11"/>
      <c r="D648" s="10" t="str">
        <f t="shared" si="120"/>
        <v/>
      </c>
      <c r="E648" s="15" t="str">
        <f t="shared" si="121"/>
        <v/>
      </c>
      <c r="F648" s="11"/>
      <c r="G648" s="16" t="str">
        <f t="shared" si="122"/>
        <v/>
      </c>
      <c r="H648" s="17"/>
      <c r="I648" s="16" t="str">
        <f t="shared" si="123"/>
        <v/>
      </c>
      <c r="J648" s="16" t="str">
        <f t="shared" si="124"/>
        <v/>
      </c>
      <c r="K648" s="18" t="str">
        <f t="shared" si="125"/>
        <v/>
      </c>
      <c r="L648" s="16" t="str">
        <f t="shared" si="126"/>
        <v/>
      </c>
      <c r="M648" s="16" t="str">
        <f t="shared" si="127"/>
        <v/>
      </c>
      <c r="N648" s="16" t="str">
        <f t="shared" si="128"/>
        <v/>
      </c>
      <c r="O648" s="16" t="str">
        <f t="shared" si="129"/>
        <v/>
      </c>
      <c r="P648" s="16" t="str">
        <f t="shared" si="130"/>
        <v/>
      </c>
      <c r="Q648" s="18" t="str">
        <f t="shared" si="131"/>
        <v/>
      </c>
      <c r="R648" s="19" t="str">
        <f>IF(C648="","",IF(ISNA(MATCH(B648,'Registru oferte'!$B$5:$B$504,0)),"Oferta nu există în registru",IF(N(F648)&lt;=0,"Lipsește cantitatea",IF(AND(ISNUMBER(Q648),Q648&lt;MarjaMin),"Marjă sub minim ("&amp;TEXT(Q648*100,"0")&amp;"%)",""))))</f>
        <v/>
      </c>
      <c r="S648" s="1" t="str">
        <f>IF(B648="","",B648&amp;"|"&amp;COUNTIF($B$5:B648,B648))</f>
        <v/>
      </c>
    </row>
    <row r="649" spans="2:19" x14ac:dyDescent="0.2">
      <c r="B649" s="11"/>
      <c r="C649" s="11"/>
      <c r="D649" s="10" t="str">
        <f t="shared" si="120"/>
        <v/>
      </c>
      <c r="E649" s="15" t="str">
        <f t="shared" si="121"/>
        <v/>
      </c>
      <c r="F649" s="11"/>
      <c r="G649" s="16" t="str">
        <f t="shared" si="122"/>
        <v/>
      </c>
      <c r="H649" s="17"/>
      <c r="I649" s="16" t="str">
        <f t="shared" si="123"/>
        <v/>
      </c>
      <c r="J649" s="16" t="str">
        <f t="shared" si="124"/>
        <v/>
      </c>
      <c r="K649" s="18" t="str">
        <f t="shared" si="125"/>
        <v/>
      </c>
      <c r="L649" s="16" t="str">
        <f t="shared" si="126"/>
        <v/>
      </c>
      <c r="M649" s="16" t="str">
        <f t="shared" si="127"/>
        <v/>
      </c>
      <c r="N649" s="16" t="str">
        <f t="shared" si="128"/>
        <v/>
      </c>
      <c r="O649" s="16" t="str">
        <f t="shared" si="129"/>
        <v/>
      </c>
      <c r="P649" s="16" t="str">
        <f t="shared" si="130"/>
        <v/>
      </c>
      <c r="Q649" s="18" t="str">
        <f t="shared" si="131"/>
        <v/>
      </c>
      <c r="R649" s="19" t="str">
        <f>IF(C649="","",IF(ISNA(MATCH(B649,'Registru oferte'!$B$5:$B$504,0)),"Oferta nu există în registru",IF(N(F649)&lt;=0,"Lipsește cantitatea",IF(AND(ISNUMBER(Q649),Q649&lt;MarjaMin),"Marjă sub minim ("&amp;TEXT(Q649*100,"0")&amp;"%)",""))))</f>
        <v/>
      </c>
      <c r="S649" s="1" t="str">
        <f>IF(B649="","",B649&amp;"|"&amp;COUNTIF($B$5:B649,B649))</f>
        <v/>
      </c>
    </row>
    <row r="650" spans="2:19" x14ac:dyDescent="0.2">
      <c r="B650" s="11"/>
      <c r="C650" s="11"/>
      <c r="D650" s="10" t="str">
        <f t="shared" si="120"/>
        <v/>
      </c>
      <c r="E650" s="15" t="str">
        <f t="shared" si="121"/>
        <v/>
      </c>
      <c r="F650" s="11"/>
      <c r="G650" s="16" t="str">
        <f t="shared" si="122"/>
        <v/>
      </c>
      <c r="H650" s="17"/>
      <c r="I650" s="16" t="str">
        <f t="shared" si="123"/>
        <v/>
      </c>
      <c r="J650" s="16" t="str">
        <f t="shared" si="124"/>
        <v/>
      </c>
      <c r="K650" s="18" t="str">
        <f t="shared" si="125"/>
        <v/>
      </c>
      <c r="L650" s="16" t="str">
        <f t="shared" si="126"/>
        <v/>
      </c>
      <c r="M650" s="16" t="str">
        <f t="shared" si="127"/>
        <v/>
      </c>
      <c r="N650" s="16" t="str">
        <f t="shared" si="128"/>
        <v/>
      </c>
      <c r="O650" s="16" t="str">
        <f t="shared" si="129"/>
        <v/>
      </c>
      <c r="P650" s="16" t="str">
        <f t="shared" si="130"/>
        <v/>
      </c>
      <c r="Q650" s="18" t="str">
        <f t="shared" si="131"/>
        <v/>
      </c>
      <c r="R650" s="19" t="str">
        <f>IF(C650="","",IF(ISNA(MATCH(B650,'Registru oferte'!$B$5:$B$504,0)),"Oferta nu există în registru",IF(N(F650)&lt;=0,"Lipsește cantitatea",IF(AND(ISNUMBER(Q650),Q650&lt;MarjaMin),"Marjă sub minim ("&amp;TEXT(Q650*100,"0")&amp;"%)",""))))</f>
        <v/>
      </c>
      <c r="S650" s="1" t="str">
        <f>IF(B650="","",B650&amp;"|"&amp;COUNTIF($B$5:B650,B650))</f>
        <v/>
      </c>
    </row>
    <row r="651" spans="2:19" x14ac:dyDescent="0.2">
      <c r="B651" s="11"/>
      <c r="C651" s="11"/>
      <c r="D651" s="10" t="str">
        <f t="shared" si="120"/>
        <v/>
      </c>
      <c r="E651" s="15" t="str">
        <f t="shared" si="121"/>
        <v/>
      </c>
      <c r="F651" s="11"/>
      <c r="G651" s="16" t="str">
        <f t="shared" si="122"/>
        <v/>
      </c>
      <c r="H651" s="17"/>
      <c r="I651" s="16" t="str">
        <f t="shared" si="123"/>
        <v/>
      </c>
      <c r="J651" s="16" t="str">
        <f t="shared" si="124"/>
        <v/>
      </c>
      <c r="K651" s="18" t="str">
        <f t="shared" si="125"/>
        <v/>
      </c>
      <c r="L651" s="16" t="str">
        <f t="shared" si="126"/>
        <v/>
      </c>
      <c r="M651" s="16" t="str">
        <f t="shared" si="127"/>
        <v/>
      </c>
      <c r="N651" s="16" t="str">
        <f t="shared" si="128"/>
        <v/>
      </c>
      <c r="O651" s="16" t="str">
        <f t="shared" si="129"/>
        <v/>
      </c>
      <c r="P651" s="16" t="str">
        <f t="shared" si="130"/>
        <v/>
      </c>
      <c r="Q651" s="18" t="str">
        <f t="shared" si="131"/>
        <v/>
      </c>
      <c r="R651" s="19" t="str">
        <f>IF(C651="","",IF(ISNA(MATCH(B651,'Registru oferte'!$B$5:$B$504,0)),"Oferta nu există în registru",IF(N(F651)&lt;=0,"Lipsește cantitatea",IF(AND(ISNUMBER(Q651),Q651&lt;MarjaMin),"Marjă sub minim ("&amp;TEXT(Q651*100,"0")&amp;"%)",""))))</f>
        <v/>
      </c>
      <c r="S651" s="1" t="str">
        <f>IF(B651="","",B651&amp;"|"&amp;COUNTIF($B$5:B651,B651))</f>
        <v/>
      </c>
    </row>
    <row r="652" spans="2:19" x14ac:dyDescent="0.2">
      <c r="B652" s="11"/>
      <c r="C652" s="11"/>
      <c r="D652" s="10" t="str">
        <f t="shared" si="120"/>
        <v/>
      </c>
      <c r="E652" s="15" t="str">
        <f t="shared" si="121"/>
        <v/>
      </c>
      <c r="F652" s="11"/>
      <c r="G652" s="16" t="str">
        <f t="shared" si="122"/>
        <v/>
      </c>
      <c r="H652" s="17"/>
      <c r="I652" s="16" t="str">
        <f t="shared" si="123"/>
        <v/>
      </c>
      <c r="J652" s="16" t="str">
        <f t="shared" si="124"/>
        <v/>
      </c>
      <c r="K652" s="18" t="str">
        <f t="shared" si="125"/>
        <v/>
      </c>
      <c r="L652" s="16" t="str">
        <f t="shared" si="126"/>
        <v/>
      </c>
      <c r="M652" s="16" t="str">
        <f t="shared" si="127"/>
        <v/>
      </c>
      <c r="N652" s="16" t="str">
        <f t="shared" si="128"/>
        <v/>
      </c>
      <c r="O652" s="16" t="str">
        <f t="shared" si="129"/>
        <v/>
      </c>
      <c r="P652" s="16" t="str">
        <f t="shared" si="130"/>
        <v/>
      </c>
      <c r="Q652" s="18" t="str">
        <f t="shared" si="131"/>
        <v/>
      </c>
      <c r="R652" s="19" t="str">
        <f>IF(C652="","",IF(ISNA(MATCH(B652,'Registru oferte'!$B$5:$B$504,0)),"Oferta nu există în registru",IF(N(F652)&lt;=0,"Lipsește cantitatea",IF(AND(ISNUMBER(Q652),Q652&lt;MarjaMin),"Marjă sub minim ("&amp;TEXT(Q652*100,"0")&amp;"%)",""))))</f>
        <v/>
      </c>
      <c r="S652" s="1" t="str">
        <f>IF(B652="","",B652&amp;"|"&amp;COUNTIF($B$5:B652,B652))</f>
        <v/>
      </c>
    </row>
    <row r="653" spans="2:19" x14ac:dyDescent="0.2">
      <c r="B653" s="11"/>
      <c r="C653" s="11"/>
      <c r="D653" s="10" t="str">
        <f t="shared" si="120"/>
        <v/>
      </c>
      <c r="E653" s="15" t="str">
        <f t="shared" si="121"/>
        <v/>
      </c>
      <c r="F653" s="11"/>
      <c r="G653" s="16" t="str">
        <f t="shared" si="122"/>
        <v/>
      </c>
      <c r="H653" s="17"/>
      <c r="I653" s="16" t="str">
        <f t="shared" si="123"/>
        <v/>
      </c>
      <c r="J653" s="16" t="str">
        <f t="shared" si="124"/>
        <v/>
      </c>
      <c r="K653" s="18" t="str">
        <f t="shared" si="125"/>
        <v/>
      </c>
      <c r="L653" s="16" t="str">
        <f t="shared" si="126"/>
        <v/>
      </c>
      <c r="M653" s="16" t="str">
        <f t="shared" si="127"/>
        <v/>
      </c>
      <c r="N653" s="16" t="str">
        <f t="shared" si="128"/>
        <v/>
      </c>
      <c r="O653" s="16" t="str">
        <f t="shared" si="129"/>
        <v/>
      </c>
      <c r="P653" s="16" t="str">
        <f t="shared" si="130"/>
        <v/>
      </c>
      <c r="Q653" s="18" t="str">
        <f t="shared" si="131"/>
        <v/>
      </c>
      <c r="R653" s="19" t="str">
        <f>IF(C653="","",IF(ISNA(MATCH(B653,'Registru oferte'!$B$5:$B$504,0)),"Oferta nu există în registru",IF(N(F653)&lt;=0,"Lipsește cantitatea",IF(AND(ISNUMBER(Q653),Q653&lt;MarjaMin),"Marjă sub minim ("&amp;TEXT(Q653*100,"0")&amp;"%)",""))))</f>
        <v/>
      </c>
      <c r="S653" s="1" t="str">
        <f>IF(B653="","",B653&amp;"|"&amp;COUNTIF($B$5:B653,B653))</f>
        <v/>
      </c>
    </row>
    <row r="654" spans="2:19" x14ac:dyDescent="0.2">
      <c r="B654" s="11"/>
      <c r="C654" s="11"/>
      <c r="D654" s="10" t="str">
        <f t="shared" si="120"/>
        <v/>
      </c>
      <c r="E654" s="15" t="str">
        <f t="shared" si="121"/>
        <v/>
      </c>
      <c r="F654" s="11"/>
      <c r="G654" s="16" t="str">
        <f t="shared" si="122"/>
        <v/>
      </c>
      <c r="H654" s="17"/>
      <c r="I654" s="16" t="str">
        <f t="shared" si="123"/>
        <v/>
      </c>
      <c r="J654" s="16" t="str">
        <f t="shared" si="124"/>
        <v/>
      </c>
      <c r="K654" s="18" t="str">
        <f t="shared" si="125"/>
        <v/>
      </c>
      <c r="L654" s="16" t="str">
        <f t="shared" si="126"/>
        <v/>
      </c>
      <c r="M654" s="16" t="str">
        <f t="shared" si="127"/>
        <v/>
      </c>
      <c r="N654" s="16" t="str">
        <f t="shared" si="128"/>
        <v/>
      </c>
      <c r="O654" s="16" t="str">
        <f t="shared" si="129"/>
        <v/>
      </c>
      <c r="P654" s="16" t="str">
        <f t="shared" si="130"/>
        <v/>
      </c>
      <c r="Q654" s="18" t="str">
        <f t="shared" si="131"/>
        <v/>
      </c>
      <c r="R654" s="19" t="str">
        <f>IF(C654="","",IF(ISNA(MATCH(B654,'Registru oferte'!$B$5:$B$504,0)),"Oferta nu există în registru",IF(N(F654)&lt;=0,"Lipsește cantitatea",IF(AND(ISNUMBER(Q654),Q654&lt;MarjaMin),"Marjă sub minim ("&amp;TEXT(Q654*100,"0")&amp;"%)",""))))</f>
        <v/>
      </c>
      <c r="S654" s="1" t="str">
        <f>IF(B654="","",B654&amp;"|"&amp;COUNTIF($B$5:B654,B654))</f>
        <v/>
      </c>
    </row>
    <row r="655" spans="2:19" x14ac:dyDescent="0.2">
      <c r="B655" s="11"/>
      <c r="C655" s="11"/>
      <c r="D655" s="10" t="str">
        <f t="shared" si="120"/>
        <v/>
      </c>
      <c r="E655" s="15" t="str">
        <f t="shared" si="121"/>
        <v/>
      </c>
      <c r="F655" s="11"/>
      <c r="G655" s="16" t="str">
        <f t="shared" si="122"/>
        <v/>
      </c>
      <c r="H655" s="17"/>
      <c r="I655" s="16" t="str">
        <f t="shared" si="123"/>
        <v/>
      </c>
      <c r="J655" s="16" t="str">
        <f t="shared" si="124"/>
        <v/>
      </c>
      <c r="K655" s="18" t="str">
        <f t="shared" si="125"/>
        <v/>
      </c>
      <c r="L655" s="16" t="str">
        <f t="shared" si="126"/>
        <v/>
      </c>
      <c r="M655" s="16" t="str">
        <f t="shared" si="127"/>
        <v/>
      </c>
      <c r="N655" s="16" t="str">
        <f t="shared" si="128"/>
        <v/>
      </c>
      <c r="O655" s="16" t="str">
        <f t="shared" si="129"/>
        <v/>
      </c>
      <c r="P655" s="16" t="str">
        <f t="shared" si="130"/>
        <v/>
      </c>
      <c r="Q655" s="18" t="str">
        <f t="shared" si="131"/>
        <v/>
      </c>
      <c r="R655" s="19" t="str">
        <f>IF(C655="","",IF(ISNA(MATCH(B655,'Registru oferte'!$B$5:$B$504,0)),"Oferta nu există în registru",IF(N(F655)&lt;=0,"Lipsește cantitatea",IF(AND(ISNUMBER(Q655),Q655&lt;MarjaMin),"Marjă sub minim ("&amp;TEXT(Q655*100,"0")&amp;"%)",""))))</f>
        <v/>
      </c>
      <c r="S655" s="1" t="str">
        <f>IF(B655="","",B655&amp;"|"&amp;COUNTIF($B$5:B655,B655))</f>
        <v/>
      </c>
    </row>
    <row r="656" spans="2:19" x14ac:dyDescent="0.2">
      <c r="B656" s="11"/>
      <c r="C656" s="11"/>
      <c r="D656" s="10" t="str">
        <f t="shared" si="120"/>
        <v/>
      </c>
      <c r="E656" s="15" t="str">
        <f t="shared" si="121"/>
        <v/>
      </c>
      <c r="F656" s="11"/>
      <c r="G656" s="16" t="str">
        <f t="shared" si="122"/>
        <v/>
      </c>
      <c r="H656" s="17"/>
      <c r="I656" s="16" t="str">
        <f t="shared" si="123"/>
        <v/>
      </c>
      <c r="J656" s="16" t="str">
        <f t="shared" si="124"/>
        <v/>
      </c>
      <c r="K656" s="18" t="str">
        <f t="shared" si="125"/>
        <v/>
      </c>
      <c r="L656" s="16" t="str">
        <f t="shared" si="126"/>
        <v/>
      </c>
      <c r="M656" s="16" t="str">
        <f t="shared" si="127"/>
        <v/>
      </c>
      <c r="N656" s="16" t="str">
        <f t="shared" si="128"/>
        <v/>
      </c>
      <c r="O656" s="16" t="str">
        <f t="shared" si="129"/>
        <v/>
      </c>
      <c r="P656" s="16" t="str">
        <f t="shared" si="130"/>
        <v/>
      </c>
      <c r="Q656" s="18" t="str">
        <f t="shared" si="131"/>
        <v/>
      </c>
      <c r="R656" s="19" t="str">
        <f>IF(C656="","",IF(ISNA(MATCH(B656,'Registru oferte'!$B$5:$B$504,0)),"Oferta nu există în registru",IF(N(F656)&lt;=0,"Lipsește cantitatea",IF(AND(ISNUMBER(Q656),Q656&lt;MarjaMin),"Marjă sub minim ("&amp;TEXT(Q656*100,"0")&amp;"%)",""))))</f>
        <v/>
      </c>
      <c r="S656" s="1" t="str">
        <f>IF(B656="","",B656&amp;"|"&amp;COUNTIF($B$5:B656,B656))</f>
        <v/>
      </c>
    </row>
    <row r="657" spans="2:19" x14ac:dyDescent="0.2">
      <c r="B657" s="11"/>
      <c r="C657" s="11"/>
      <c r="D657" s="10" t="str">
        <f t="shared" si="120"/>
        <v/>
      </c>
      <c r="E657" s="15" t="str">
        <f t="shared" si="121"/>
        <v/>
      </c>
      <c r="F657" s="11"/>
      <c r="G657" s="16" t="str">
        <f t="shared" si="122"/>
        <v/>
      </c>
      <c r="H657" s="17"/>
      <c r="I657" s="16" t="str">
        <f t="shared" si="123"/>
        <v/>
      </c>
      <c r="J657" s="16" t="str">
        <f t="shared" si="124"/>
        <v/>
      </c>
      <c r="K657" s="18" t="str">
        <f t="shared" si="125"/>
        <v/>
      </c>
      <c r="L657" s="16" t="str">
        <f t="shared" si="126"/>
        <v/>
      </c>
      <c r="M657" s="16" t="str">
        <f t="shared" si="127"/>
        <v/>
      </c>
      <c r="N657" s="16" t="str">
        <f t="shared" si="128"/>
        <v/>
      </c>
      <c r="O657" s="16" t="str">
        <f t="shared" si="129"/>
        <v/>
      </c>
      <c r="P657" s="16" t="str">
        <f t="shared" si="130"/>
        <v/>
      </c>
      <c r="Q657" s="18" t="str">
        <f t="shared" si="131"/>
        <v/>
      </c>
      <c r="R657" s="19" t="str">
        <f>IF(C657="","",IF(ISNA(MATCH(B657,'Registru oferte'!$B$5:$B$504,0)),"Oferta nu există în registru",IF(N(F657)&lt;=0,"Lipsește cantitatea",IF(AND(ISNUMBER(Q657),Q657&lt;MarjaMin),"Marjă sub minim ("&amp;TEXT(Q657*100,"0")&amp;"%)",""))))</f>
        <v/>
      </c>
      <c r="S657" s="1" t="str">
        <f>IF(B657="","",B657&amp;"|"&amp;COUNTIF($B$5:B657,B657))</f>
        <v/>
      </c>
    </row>
    <row r="658" spans="2:19" x14ac:dyDescent="0.2">
      <c r="B658" s="11"/>
      <c r="C658" s="11"/>
      <c r="D658" s="10" t="str">
        <f t="shared" si="120"/>
        <v/>
      </c>
      <c r="E658" s="15" t="str">
        <f t="shared" si="121"/>
        <v/>
      </c>
      <c r="F658" s="11"/>
      <c r="G658" s="16" t="str">
        <f t="shared" si="122"/>
        <v/>
      </c>
      <c r="H658" s="17"/>
      <c r="I658" s="16" t="str">
        <f t="shared" si="123"/>
        <v/>
      </c>
      <c r="J658" s="16" t="str">
        <f t="shared" si="124"/>
        <v/>
      </c>
      <c r="K658" s="18" t="str">
        <f t="shared" si="125"/>
        <v/>
      </c>
      <c r="L658" s="16" t="str">
        <f t="shared" si="126"/>
        <v/>
      </c>
      <c r="M658" s="16" t="str">
        <f t="shared" si="127"/>
        <v/>
      </c>
      <c r="N658" s="16" t="str">
        <f t="shared" si="128"/>
        <v/>
      </c>
      <c r="O658" s="16" t="str">
        <f t="shared" si="129"/>
        <v/>
      </c>
      <c r="P658" s="16" t="str">
        <f t="shared" si="130"/>
        <v/>
      </c>
      <c r="Q658" s="18" t="str">
        <f t="shared" si="131"/>
        <v/>
      </c>
      <c r="R658" s="19" t="str">
        <f>IF(C658="","",IF(ISNA(MATCH(B658,'Registru oferte'!$B$5:$B$504,0)),"Oferta nu există în registru",IF(N(F658)&lt;=0,"Lipsește cantitatea",IF(AND(ISNUMBER(Q658),Q658&lt;MarjaMin),"Marjă sub minim ("&amp;TEXT(Q658*100,"0")&amp;"%)",""))))</f>
        <v/>
      </c>
      <c r="S658" s="1" t="str">
        <f>IF(B658="","",B658&amp;"|"&amp;COUNTIF($B$5:B658,B658))</f>
        <v/>
      </c>
    </row>
    <row r="659" spans="2:19" x14ac:dyDescent="0.2">
      <c r="B659" s="11"/>
      <c r="C659" s="11"/>
      <c r="D659" s="10" t="str">
        <f t="shared" si="120"/>
        <v/>
      </c>
      <c r="E659" s="15" t="str">
        <f t="shared" si="121"/>
        <v/>
      </c>
      <c r="F659" s="11"/>
      <c r="G659" s="16" t="str">
        <f t="shared" si="122"/>
        <v/>
      </c>
      <c r="H659" s="17"/>
      <c r="I659" s="16" t="str">
        <f t="shared" si="123"/>
        <v/>
      </c>
      <c r="J659" s="16" t="str">
        <f t="shared" si="124"/>
        <v/>
      </c>
      <c r="K659" s="18" t="str">
        <f t="shared" si="125"/>
        <v/>
      </c>
      <c r="L659" s="16" t="str">
        <f t="shared" si="126"/>
        <v/>
      </c>
      <c r="M659" s="16" t="str">
        <f t="shared" si="127"/>
        <v/>
      </c>
      <c r="N659" s="16" t="str">
        <f t="shared" si="128"/>
        <v/>
      </c>
      <c r="O659" s="16" t="str">
        <f t="shared" si="129"/>
        <v/>
      </c>
      <c r="P659" s="16" t="str">
        <f t="shared" si="130"/>
        <v/>
      </c>
      <c r="Q659" s="18" t="str">
        <f t="shared" si="131"/>
        <v/>
      </c>
      <c r="R659" s="19" t="str">
        <f>IF(C659="","",IF(ISNA(MATCH(B659,'Registru oferte'!$B$5:$B$504,0)),"Oferta nu există în registru",IF(N(F659)&lt;=0,"Lipsește cantitatea",IF(AND(ISNUMBER(Q659),Q659&lt;MarjaMin),"Marjă sub minim ("&amp;TEXT(Q659*100,"0")&amp;"%)",""))))</f>
        <v/>
      </c>
      <c r="S659" s="1" t="str">
        <f>IF(B659="","",B659&amp;"|"&amp;COUNTIF($B$5:B659,B659))</f>
        <v/>
      </c>
    </row>
    <row r="660" spans="2:19" x14ac:dyDescent="0.2">
      <c r="B660" s="11"/>
      <c r="C660" s="11"/>
      <c r="D660" s="10" t="str">
        <f t="shared" si="120"/>
        <v/>
      </c>
      <c r="E660" s="15" t="str">
        <f t="shared" si="121"/>
        <v/>
      </c>
      <c r="F660" s="11"/>
      <c r="G660" s="16" t="str">
        <f t="shared" si="122"/>
        <v/>
      </c>
      <c r="H660" s="17"/>
      <c r="I660" s="16" t="str">
        <f t="shared" si="123"/>
        <v/>
      </c>
      <c r="J660" s="16" t="str">
        <f t="shared" si="124"/>
        <v/>
      </c>
      <c r="K660" s="18" t="str">
        <f t="shared" si="125"/>
        <v/>
      </c>
      <c r="L660" s="16" t="str">
        <f t="shared" si="126"/>
        <v/>
      </c>
      <c r="M660" s="16" t="str">
        <f t="shared" si="127"/>
        <v/>
      </c>
      <c r="N660" s="16" t="str">
        <f t="shared" si="128"/>
        <v/>
      </c>
      <c r="O660" s="16" t="str">
        <f t="shared" si="129"/>
        <v/>
      </c>
      <c r="P660" s="16" t="str">
        <f t="shared" si="130"/>
        <v/>
      </c>
      <c r="Q660" s="18" t="str">
        <f t="shared" si="131"/>
        <v/>
      </c>
      <c r="R660" s="19" t="str">
        <f>IF(C660="","",IF(ISNA(MATCH(B660,'Registru oferte'!$B$5:$B$504,0)),"Oferta nu există în registru",IF(N(F660)&lt;=0,"Lipsește cantitatea",IF(AND(ISNUMBER(Q660),Q660&lt;MarjaMin),"Marjă sub minim ("&amp;TEXT(Q660*100,"0")&amp;"%)",""))))</f>
        <v/>
      </c>
      <c r="S660" s="1" t="str">
        <f>IF(B660="","",B660&amp;"|"&amp;COUNTIF($B$5:B660,B660))</f>
        <v/>
      </c>
    </row>
    <row r="661" spans="2:19" x14ac:dyDescent="0.2">
      <c r="B661" s="11"/>
      <c r="C661" s="11"/>
      <c r="D661" s="10" t="str">
        <f t="shared" si="120"/>
        <v/>
      </c>
      <c r="E661" s="15" t="str">
        <f t="shared" si="121"/>
        <v/>
      </c>
      <c r="F661" s="11"/>
      <c r="G661" s="16" t="str">
        <f t="shared" si="122"/>
        <v/>
      </c>
      <c r="H661" s="17"/>
      <c r="I661" s="16" t="str">
        <f t="shared" si="123"/>
        <v/>
      </c>
      <c r="J661" s="16" t="str">
        <f t="shared" si="124"/>
        <v/>
      </c>
      <c r="K661" s="18" t="str">
        <f t="shared" si="125"/>
        <v/>
      </c>
      <c r="L661" s="16" t="str">
        <f t="shared" si="126"/>
        <v/>
      </c>
      <c r="M661" s="16" t="str">
        <f t="shared" si="127"/>
        <v/>
      </c>
      <c r="N661" s="16" t="str">
        <f t="shared" si="128"/>
        <v/>
      </c>
      <c r="O661" s="16" t="str">
        <f t="shared" si="129"/>
        <v/>
      </c>
      <c r="P661" s="16" t="str">
        <f t="shared" si="130"/>
        <v/>
      </c>
      <c r="Q661" s="18" t="str">
        <f t="shared" si="131"/>
        <v/>
      </c>
      <c r="R661" s="19" t="str">
        <f>IF(C661="","",IF(ISNA(MATCH(B661,'Registru oferte'!$B$5:$B$504,0)),"Oferta nu există în registru",IF(N(F661)&lt;=0,"Lipsește cantitatea",IF(AND(ISNUMBER(Q661),Q661&lt;MarjaMin),"Marjă sub minim ("&amp;TEXT(Q661*100,"0")&amp;"%)",""))))</f>
        <v/>
      </c>
      <c r="S661" s="1" t="str">
        <f>IF(B661="","",B661&amp;"|"&amp;COUNTIF($B$5:B661,B661))</f>
        <v/>
      </c>
    </row>
    <row r="662" spans="2:19" x14ac:dyDescent="0.2">
      <c r="B662" s="11"/>
      <c r="C662" s="11"/>
      <c r="D662" s="10" t="str">
        <f t="shared" si="120"/>
        <v/>
      </c>
      <c r="E662" s="15" t="str">
        <f t="shared" si="121"/>
        <v/>
      </c>
      <c r="F662" s="11"/>
      <c r="G662" s="16" t="str">
        <f t="shared" si="122"/>
        <v/>
      </c>
      <c r="H662" s="17"/>
      <c r="I662" s="16" t="str">
        <f t="shared" si="123"/>
        <v/>
      </c>
      <c r="J662" s="16" t="str">
        <f t="shared" si="124"/>
        <v/>
      </c>
      <c r="K662" s="18" t="str">
        <f t="shared" si="125"/>
        <v/>
      </c>
      <c r="L662" s="16" t="str">
        <f t="shared" si="126"/>
        <v/>
      </c>
      <c r="M662" s="16" t="str">
        <f t="shared" si="127"/>
        <v/>
      </c>
      <c r="N662" s="16" t="str">
        <f t="shared" si="128"/>
        <v/>
      </c>
      <c r="O662" s="16" t="str">
        <f t="shared" si="129"/>
        <v/>
      </c>
      <c r="P662" s="16" t="str">
        <f t="shared" si="130"/>
        <v/>
      </c>
      <c r="Q662" s="18" t="str">
        <f t="shared" si="131"/>
        <v/>
      </c>
      <c r="R662" s="19" t="str">
        <f>IF(C662="","",IF(ISNA(MATCH(B662,'Registru oferte'!$B$5:$B$504,0)),"Oferta nu există în registru",IF(N(F662)&lt;=0,"Lipsește cantitatea",IF(AND(ISNUMBER(Q662),Q662&lt;MarjaMin),"Marjă sub minim ("&amp;TEXT(Q662*100,"0")&amp;"%)",""))))</f>
        <v/>
      </c>
      <c r="S662" s="1" t="str">
        <f>IF(B662="","",B662&amp;"|"&amp;COUNTIF($B$5:B662,B662))</f>
        <v/>
      </c>
    </row>
    <row r="663" spans="2:19" x14ac:dyDescent="0.2">
      <c r="B663" s="11"/>
      <c r="C663" s="11"/>
      <c r="D663" s="10" t="str">
        <f t="shared" si="120"/>
        <v/>
      </c>
      <c r="E663" s="15" t="str">
        <f t="shared" si="121"/>
        <v/>
      </c>
      <c r="F663" s="11"/>
      <c r="G663" s="16" t="str">
        <f t="shared" si="122"/>
        <v/>
      </c>
      <c r="H663" s="17"/>
      <c r="I663" s="16" t="str">
        <f t="shared" si="123"/>
        <v/>
      </c>
      <c r="J663" s="16" t="str">
        <f t="shared" si="124"/>
        <v/>
      </c>
      <c r="K663" s="18" t="str">
        <f t="shared" si="125"/>
        <v/>
      </c>
      <c r="L663" s="16" t="str">
        <f t="shared" si="126"/>
        <v/>
      </c>
      <c r="M663" s="16" t="str">
        <f t="shared" si="127"/>
        <v/>
      </c>
      <c r="N663" s="16" t="str">
        <f t="shared" si="128"/>
        <v/>
      </c>
      <c r="O663" s="16" t="str">
        <f t="shared" si="129"/>
        <v/>
      </c>
      <c r="P663" s="16" t="str">
        <f t="shared" si="130"/>
        <v/>
      </c>
      <c r="Q663" s="18" t="str">
        <f t="shared" si="131"/>
        <v/>
      </c>
      <c r="R663" s="19" t="str">
        <f>IF(C663="","",IF(ISNA(MATCH(B663,'Registru oferte'!$B$5:$B$504,0)),"Oferta nu există în registru",IF(N(F663)&lt;=0,"Lipsește cantitatea",IF(AND(ISNUMBER(Q663),Q663&lt;MarjaMin),"Marjă sub minim ("&amp;TEXT(Q663*100,"0")&amp;"%)",""))))</f>
        <v/>
      </c>
      <c r="S663" s="1" t="str">
        <f>IF(B663="","",B663&amp;"|"&amp;COUNTIF($B$5:B663,B663))</f>
        <v/>
      </c>
    </row>
    <row r="664" spans="2:19" x14ac:dyDescent="0.2">
      <c r="B664" s="11"/>
      <c r="C664" s="11"/>
      <c r="D664" s="10" t="str">
        <f t="shared" si="120"/>
        <v/>
      </c>
      <c r="E664" s="15" t="str">
        <f t="shared" si="121"/>
        <v/>
      </c>
      <c r="F664" s="11"/>
      <c r="G664" s="16" t="str">
        <f t="shared" si="122"/>
        <v/>
      </c>
      <c r="H664" s="17"/>
      <c r="I664" s="16" t="str">
        <f t="shared" si="123"/>
        <v/>
      </c>
      <c r="J664" s="16" t="str">
        <f t="shared" si="124"/>
        <v/>
      </c>
      <c r="K664" s="18" t="str">
        <f t="shared" si="125"/>
        <v/>
      </c>
      <c r="L664" s="16" t="str">
        <f t="shared" si="126"/>
        <v/>
      </c>
      <c r="M664" s="16" t="str">
        <f t="shared" si="127"/>
        <v/>
      </c>
      <c r="N664" s="16" t="str">
        <f t="shared" si="128"/>
        <v/>
      </c>
      <c r="O664" s="16" t="str">
        <f t="shared" si="129"/>
        <v/>
      </c>
      <c r="P664" s="16" t="str">
        <f t="shared" si="130"/>
        <v/>
      </c>
      <c r="Q664" s="18" t="str">
        <f t="shared" si="131"/>
        <v/>
      </c>
      <c r="R664" s="19" t="str">
        <f>IF(C664="","",IF(ISNA(MATCH(B664,'Registru oferte'!$B$5:$B$504,0)),"Oferta nu există în registru",IF(N(F664)&lt;=0,"Lipsește cantitatea",IF(AND(ISNUMBER(Q664),Q664&lt;MarjaMin),"Marjă sub minim ("&amp;TEXT(Q664*100,"0")&amp;"%)",""))))</f>
        <v/>
      </c>
      <c r="S664" s="1" t="str">
        <f>IF(B664="","",B664&amp;"|"&amp;COUNTIF($B$5:B664,B664))</f>
        <v/>
      </c>
    </row>
    <row r="665" spans="2:19" x14ac:dyDescent="0.2">
      <c r="B665" s="11"/>
      <c r="C665" s="11"/>
      <c r="D665" s="10" t="str">
        <f t="shared" si="120"/>
        <v/>
      </c>
      <c r="E665" s="15" t="str">
        <f t="shared" si="121"/>
        <v/>
      </c>
      <c r="F665" s="11"/>
      <c r="G665" s="16" t="str">
        <f t="shared" si="122"/>
        <v/>
      </c>
      <c r="H665" s="17"/>
      <c r="I665" s="16" t="str">
        <f t="shared" si="123"/>
        <v/>
      </c>
      <c r="J665" s="16" t="str">
        <f t="shared" si="124"/>
        <v/>
      </c>
      <c r="K665" s="18" t="str">
        <f t="shared" si="125"/>
        <v/>
      </c>
      <c r="L665" s="16" t="str">
        <f t="shared" si="126"/>
        <v/>
      </c>
      <c r="M665" s="16" t="str">
        <f t="shared" si="127"/>
        <v/>
      </c>
      <c r="N665" s="16" t="str">
        <f t="shared" si="128"/>
        <v/>
      </c>
      <c r="O665" s="16" t="str">
        <f t="shared" si="129"/>
        <v/>
      </c>
      <c r="P665" s="16" t="str">
        <f t="shared" si="130"/>
        <v/>
      </c>
      <c r="Q665" s="18" t="str">
        <f t="shared" si="131"/>
        <v/>
      </c>
      <c r="R665" s="19" t="str">
        <f>IF(C665="","",IF(ISNA(MATCH(B665,'Registru oferte'!$B$5:$B$504,0)),"Oferta nu există în registru",IF(N(F665)&lt;=0,"Lipsește cantitatea",IF(AND(ISNUMBER(Q665),Q665&lt;MarjaMin),"Marjă sub minim ("&amp;TEXT(Q665*100,"0")&amp;"%)",""))))</f>
        <v/>
      </c>
      <c r="S665" s="1" t="str">
        <f>IF(B665="","",B665&amp;"|"&amp;COUNTIF($B$5:B665,B665))</f>
        <v/>
      </c>
    </row>
    <row r="666" spans="2:19" x14ac:dyDescent="0.2">
      <c r="B666" s="11"/>
      <c r="C666" s="11"/>
      <c r="D666" s="10" t="str">
        <f t="shared" si="120"/>
        <v/>
      </c>
      <c r="E666" s="15" t="str">
        <f t="shared" si="121"/>
        <v/>
      </c>
      <c r="F666" s="11"/>
      <c r="G666" s="16" t="str">
        <f t="shared" si="122"/>
        <v/>
      </c>
      <c r="H666" s="17"/>
      <c r="I666" s="16" t="str">
        <f t="shared" si="123"/>
        <v/>
      </c>
      <c r="J666" s="16" t="str">
        <f t="shared" si="124"/>
        <v/>
      </c>
      <c r="K666" s="18" t="str">
        <f t="shared" si="125"/>
        <v/>
      </c>
      <c r="L666" s="16" t="str">
        <f t="shared" si="126"/>
        <v/>
      </c>
      <c r="M666" s="16" t="str">
        <f t="shared" si="127"/>
        <v/>
      </c>
      <c r="N666" s="16" t="str">
        <f t="shared" si="128"/>
        <v/>
      </c>
      <c r="O666" s="16" t="str">
        <f t="shared" si="129"/>
        <v/>
      </c>
      <c r="P666" s="16" t="str">
        <f t="shared" si="130"/>
        <v/>
      </c>
      <c r="Q666" s="18" t="str">
        <f t="shared" si="131"/>
        <v/>
      </c>
      <c r="R666" s="19" t="str">
        <f>IF(C666="","",IF(ISNA(MATCH(B666,'Registru oferte'!$B$5:$B$504,0)),"Oferta nu există în registru",IF(N(F666)&lt;=0,"Lipsește cantitatea",IF(AND(ISNUMBER(Q666),Q666&lt;MarjaMin),"Marjă sub minim ("&amp;TEXT(Q666*100,"0")&amp;"%)",""))))</f>
        <v/>
      </c>
      <c r="S666" s="1" t="str">
        <f>IF(B666="","",B666&amp;"|"&amp;COUNTIF($B$5:B666,B666))</f>
        <v/>
      </c>
    </row>
    <row r="667" spans="2:19" x14ac:dyDescent="0.2">
      <c r="B667" s="11"/>
      <c r="C667" s="11"/>
      <c r="D667" s="10" t="str">
        <f t="shared" si="120"/>
        <v/>
      </c>
      <c r="E667" s="15" t="str">
        <f t="shared" si="121"/>
        <v/>
      </c>
      <c r="F667" s="11"/>
      <c r="G667" s="16" t="str">
        <f t="shared" si="122"/>
        <v/>
      </c>
      <c r="H667" s="17"/>
      <c r="I667" s="16" t="str">
        <f t="shared" si="123"/>
        <v/>
      </c>
      <c r="J667" s="16" t="str">
        <f t="shared" si="124"/>
        <v/>
      </c>
      <c r="K667" s="18" t="str">
        <f t="shared" si="125"/>
        <v/>
      </c>
      <c r="L667" s="16" t="str">
        <f t="shared" si="126"/>
        <v/>
      </c>
      <c r="M667" s="16" t="str">
        <f t="shared" si="127"/>
        <v/>
      </c>
      <c r="N667" s="16" t="str">
        <f t="shared" si="128"/>
        <v/>
      </c>
      <c r="O667" s="16" t="str">
        <f t="shared" si="129"/>
        <v/>
      </c>
      <c r="P667" s="16" t="str">
        <f t="shared" si="130"/>
        <v/>
      </c>
      <c r="Q667" s="18" t="str">
        <f t="shared" si="131"/>
        <v/>
      </c>
      <c r="R667" s="19" t="str">
        <f>IF(C667="","",IF(ISNA(MATCH(B667,'Registru oferte'!$B$5:$B$504,0)),"Oferta nu există în registru",IF(N(F667)&lt;=0,"Lipsește cantitatea",IF(AND(ISNUMBER(Q667),Q667&lt;MarjaMin),"Marjă sub minim ("&amp;TEXT(Q667*100,"0")&amp;"%)",""))))</f>
        <v/>
      </c>
      <c r="S667" s="1" t="str">
        <f>IF(B667="","",B667&amp;"|"&amp;COUNTIF($B$5:B667,B667))</f>
        <v/>
      </c>
    </row>
    <row r="668" spans="2:19" x14ac:dyDescent="0.2">
      <c r="B668" s="11"/>
      <c r="C668" s="11"/>
      <c r="D668" s="10" t="str">
        <f t="shared" si="120"/>
        <v/>
      </c>
      <c r="E668" s="15" t="str">
        <f t="shared" si="121"/>
        <v/>
      </c>
      <c r="F668" s="11"/>
      <c r="G668" s="16" t="str">
        <f t="shared" si="122"/>
        <v/>
      </c>
      <c r="H668" s="17"/>
      <c r="I668" s="16" t="str">
        <f t="shared" si="123"/>
        <v/>
      </c>
      <c r="J668" s="16" t="str">
        <f t="shared" si="124"/>
        <v/>
      </c>
      <c r="K668" s="18" t="str">
        <f t="shared" si="125"/>
        <v/>
      </c>
      <c r="L668" s="16" t="str">
        <f t="shared" si="126"/>
        <v/>
      </c>
      <c r="M668" s="16" t="str">
        <f t="shared" si="127"/>
        <v/>
      </c>
      <c r="N668" s="16" t="str">
        <f t="shared" si="128"/>
        <v/>
      </c>
      <c r="O668" s="16" t="str">
        <f t="shared" si="129"/>
        <v/>
      </c>
      <c r="P668" s="16" t="str">
        <f t="shared" si="130"/>
        <v/>
      </c>
      <c r="Q668" s="18" t="str">
        <f t="shared" si="131"/>
        <v/>
      </c>
      <c r="R668" s="19" t="str">
        <f>IF(C668="","",IF(ISNA(MATCH(B668,'Registru oferte'!$B$5:$B$504,0)),"Oferta nu există în registru",IF(N(F668)&lt;=0,"Lipsește cantitatea",IF(AND(ISNUMBER(Q668),Q668&lt;MarjaMin),"Marjă sub minim ("&amp;TEXT(Q668*100,"0")&amp;"%)",""))))</f>
        <v/>
      </c>
      <c r="S668" s="1" t="str">
        <f>IF(B668="","",B668&amp;"|"&amp;COUNTIF($B$5:B668,B668))</f>
        <v/>
      </c>
    </row>
    <row r="669" spans="2:19" x14ac:dyDescent="0.2">
      <c r="B669" s="11"/>
      <c r="C669" s="11"/>
      <c r="D669" s="10" t="str">
        <f t="shared" si="120"/>
        <v/>
      </c>
      <c r="E669" s="15" t="str">
        <f t="shared" si="121"/>
        <v/>
      </c>
      <c r="F669" s="11"/>
      <c r="G669" s="16" t="str">
        <f t="shared" si="122"/>
        <v/>
      </c>
      <c r="H669" s="17"/>
      <c r="I669" s="16" t="str">
        <f t="shared" si="123"/>
        <v/>
      </c>
      <c r="J669" s="16" t="str">
        <f t="shared" si="124"/>
        <v/>
      </c>
      <c r="K669" s="18" t="str">
        <f t="shared" si="125"/>
        <v/>
      </c>
      <c r="L669" s="16" t="str">
        <f t="shared" si="126"/>
        <v/>
      </c>
      <c r="M669" s="16" t="str">
        <f t="shared" si="127"/>
        <v/>
      </c>
      <c r="N669" s="16" t="str">
        <f t="shared" si="128"/>
        <v/>
      </c>
      <c r="O669" s="16" t="str">
        <f t="shared" si="129"/>
        <v/>
      </c>
      <c r="P669" s="16" t="str">
        <f t="shared" si="130"/>
        <v/>
      </c>
      <c r="Q669" s="18" t="str">
        <f t="shared" si="131"/>
        <v/>
      </c>
      <c r="R669" s="19" t="str">
        <f>IF(C669="","",IF(ISNA(MATCH(B669,'Registru oferte'!$B$5:$B$504,0)),"Oferta nu există în registru",IF(N(F669)&lt;=0,"Lipsește cantitatea",IF(AND(ISNUMBER(Q669),Q669&lt;MarjaMin),"Marjă sub minim ("&amp;TEXT(Q669*100,"0")&amp;"%)",""))))</f>
        <v/>
      </c>
      <c r="S669" s="1" t="str">
        <f>IF(B669="","",B669&amp;"|"&amp;COUNTIF($B$5:B669,B669))</f>
        <v/>
      </c>
    </row>
    <row r="670" spans="2:19" x14ac:dyDescent="0.2">
      <c r="B670" s="11"/>
      <c r="C670" s="11"/>
      <c r="D670" s="10" t="str">
        <f t="shared" si="120"/>
        <v/>
      </c>
      <c r="E670" s="15" t="str">
        <f t="shared" si="121"/>
        <v/>
      </c>
      <c r="F670" s="11"/>
      <c r="G670" s="16" t="str">
        <f t="shared" si="122"/>
        <v/>
      </c>
      <c r="H670" s="17"/>
      <c r="I670" s="16" t="str">
        <f t="shared" si="123"/>
        <v/>
      </c>
      <c r="J670" s="16" t="str">
        <f t="shared" si="124"/>
        <v/>
      </c>
      <c r="K670" s="18" t="str">
        <f t="shared" si="125"/>
        <v/>
      </c>
      <c r="L670" s="16" t="str">
        <f t="shared" si="126"/>
        <v/>
      </c>
      <c r="M670" s="16" t="str">
        <f t="shared" si="127"/>
        <v/>
      </c>
      <c r="N670" s="16" t="str">
        <f t="shared" si="128"/>
        <v/>
      </c>
      <c r="O670" s="16" t="str">
        <f t="shared" si="129"/>
        <v/>
      </c>
      <c r="P670" s="16" t="str">
        <f t="shared" si="130"/>
        <v/>
      </c>
      <c r="Q670" s="18" t="str">
        <f t="shared" si="131"/>
        <v/>
      </c>
      <c r="R670" s="19" t="str">
        <f>IF(C670="","",IF(ISNA(MATCH(B670,'Registru oferte'!$B$5:$B$504,0)),"Oferta nu există în registru",IF(N(F670)&lt;=0,"Lipsește cantitatea",IF(AND(ISNUMBER(Q670),Q670&lt;MarjaMin),"Marjă sub minim ("&amp;TEXT(Q670*100,"0")&amp;"%)",""))))</f>
        <v/>
      </c>
      <c r="S670" s="1" t="str">
        <f>IF(B670="","",B670&amp;"|"&amp;COUNTIF($B$5:B670,B670))</f>
        <v/>
      </c>
    </row>
    <row r="671" spans="2:19" x14ac:dyDescent="0.2">
      <c r="B671" s="11"/>
      <c r="C671" s="11"/>
      <c r="D671" s="10" t="str">
        <f t="shared" si="120"/>
        <v/>
      </c>
      <c r="E671" s="15" t="str">
        <f t="shared" si="121"/>
        <v/>
      </c>
      <c r="F671" s="11"/>
      <c r="G671" s="16" t="str">
        <f t="shared" si="122"/>
        <v/>
      </c>
      <c r="H671" s="17"/>
      <c r="I671" s="16" t="str">
        <f t="shared" si="123"/>
        <v/>
      </c>
      <c r="J671" s="16" t="str">
        <f t="shared" si="124"/>
        <v/>
      </c>
      <c r="K671" s="18" t="str">
        <f t="shared" si="125"/>
        <v/>
      </c>
      <c r="L671" s="16" t="str">
        <f t="shared" si="126"/>
        <v/>
      </c>
      <c r="M671" s="16" t="str">
        <f t="shared" si="127"/>
        <v/>
      </c>
      <c r="N671" s="16" t="str">
        <f t="shared" si="128"/>
        <v/>
      </c>
      <c r="O671" s="16" t="str">
        <f t="shared" si="129"/>
        <v/>
      </c>
      <c r="P671" s="16" t="str">
        <f t="shared" si="130"/>
        <v/>
      </c>
      <c r="Q671" s="18" t="str">
        <f t="shared" si="131"/>
        <v/>
      </c>
      <c r="R671" s="19" t="str">
        <f>IF(C671="","",IF(ISNA(MATCH(B671,'Registru oferte'!$B$5:$B$504,0)),"Oferta nu există în registru",IF(N(F671)&lt;=0,"Lipsește cantitatea",IF(AND(ISNUMBER(Q671),Q671&lt;MarjaMin),"Marjă sub minim ("&amp;TEXT(Q671*100,"0")&amp;"%)",""))))</f>
        <v/>
      </c>
      <c r="S671" s="1" t="str">
        <f>IF(B671="","",B671&amp;"|"&amp;COUNTIF($B$5:B671,B671))</f>
        <v/>
      </c>
    </row>
    <row r="672" spans="2:19" x14ac:dyDescent="0.2">
      <c r="B672" s="11"/>
      <c r="C672" s="11"/>
      <c r="D672" s="10" t="str">
        <f t="shared" si="120"/>
        <v/>
      </c>
      <c r="E672" s="15" t="str">
        <f t="shared" si="121"/>
        <v/>
      </c>
      <c r="F672" s="11"/>
      <c r="G672" s="16" t="str">
        <f t="shared" si="122"/>
        <v/>
      </c>
      <c r="H672" s="17"/>
      <c r="I672" s="16" t="str">
        <f t="shared" si="123"/>
        <v/>
      </c>
      <c r="J672" s="16" t="str">
        <f t="shared" si="124"/>
        <v/>
      </c>
      <c r="K672" s="18" t="str">
        <f t="shared" si="125"/>
        <v/>
      </c>
      <c r="L672" s="16" t="str">
        <f t="shared" si="126"/>
        <v/>
      </c>
      <c r="M672" s="16" t="str">
        <f t="shared" si="127"/>
        <v/>
      </c>
      <c r="N672" s="16" t="str">
        <f t="shared" si="128"/>
        <v/>
      </c>
      <c r="O672" s="16" t="str">
        <f t="shared" si="129"/>
        <v/>
      </c>
      <c r="P672" s="16" t="str">
        <f t="shared" si="130"/>
        <v/>
      </c>
      <c r="Q672" s="18" t="str">
        <f t="shared" si="131"/>
        <v/>
      </c>
      <c r="R672" s="19" t="str">
        <f>IF(C672="","",IF(ISNA(MATCH(B672,'Registru oferte'!$B$5:$B$504,0)),"Oferta nu există în registru",IF(N(F672)&lt;=0,"Lipsește cantitatea",IF(AND(ISNUMBER(Q672),Q672&lt;MarjaMin),"Marjă sub minim ("&amp;TEXT(Q672*100,"0")&amp;"%)",""))))</f>
        <v/>
      </c>
      <c r="S672" s="1" t="str">
        <f>IF(B672="","",B672&amp;"|"&amp;COUNTIF($B$5:B672,B672))</f>
        <v/>
      </c>
    </row>
    <row r="673" spans="2:19" x14ac:dyDescent="0.2">
      <c r="B673" s="11"/>
      <c r="C673" s="11"/>
      <c r="D673" s="10" t="str">
        <f t="shared" si="120"/>
        <v/>
      </c>
      <c r="E673" s="15" t="str">
        <f t="shared" si="121"/>
        <v/>
      </c>
      <c r="F673" s="11"/>
      <c r="G673" s="16" t="str">
        <f t="shared" si="122"/>
        <v/>
      </c>
      <c r="H673" s="17"/>
      <c r="I673" s="16" t="str">
        <f t="shared" si="123"/>
        <v/>
      </c>
      <c r="J673" s="16" t="str">
        <f t="shared" si="124"/>
        <v/>
      </c>
      <c r="K673" s="18" t="str">
        <f t="shared" si="125"/>
        <v/>
      </c>
      <c r="L673" s="16" t="str">
        <f t="shared" si="126"/>
        <v/>
      </c>
      <c r="M673" s="16" t="str">
        <f t="shared" si="127"/>
        <v/>
      </c>
      <c r="N673" s="16" t="str">
        <f t="shared" si="128"/>
        <v/>
      </c>
      <c r="O673" s="16" t="str">
        <f t="shared" si="129"/>
        <v/>
      </c>
      <c r="P673" s="16" t="str">
        <f t="shared" si="130"/>
        <v/>
      </c>
      <c r="Q673" s="18" t="str">
        <f t="shared" si="131"/>
        <v/>
      </c>
      <c r="R673" s="19" t="str">
        <f>IF(C673="","",IF(ISNA(MATCH(B673,'Registru oferte'!$B$5:$B$504,0)),"Oferta nu există în registru",IF(N(F673)&lt;=0,"Lipsește cantitatea",IF(AND(ISNUMBER(Q673),Q673&lt;MarjaMin),"Marjă sub minim ("&amp;TEXT(Q673*100,"0")&amp;"%)",""))))</f>
        <v/>
      </c>
      <c r="S673" s="1" t="str">
        <f>IF(B673="","",B673&amp;"|"&amp;COUNTIF($B$5:B673,B673))</f>
        <v/>
      </c>
    </row>
    <row r="674" spans="2:19" x14ac:dyDescent="0.2">
      <c r="B674" s="11"/>
      <c r="C674" s="11"/>
      <c r="D674" s="10" t="str">
        <f t="shared" si="120"/>
        <v/>
      </c>
      <c r="E674" s="15" t="str">
        <f t="shared" si="121"/>
        <v/>
      </c>
      <c r="F674" s="11"/>
      <c r="G674" s="16" t="str">
        <f t="shared" si="122"/>
        <v/>
      </c>
      <c r="H674" s="17"/>
      <c r="I674" s="16" t="str">
        <f t="shared" si="123"/>
        <v/>
      </c>
      <c r="J674" s="16" t="str">
        <f t="shared" si="124"/>
        <v/>
      </c>
      <c r="K674" s="18" t="str">
        <f t="shared" si="125"/>
        <v/>
      </c>
      <c r="L674" s="16" t="str">
        <f t="shared" si="126"/>
        <v/>
      </c>
      <c r="M674" s="16" t="str">
        <f t="shared" si="127"/>
        <v/>
      </c>
      <c r="N674" s="16" t="str">
        <f t="shared" si="128"/>
        <v/>
      </c>
      <c r="O674" s="16" t="str">
        <f t="shared" si="129"/>
        <v/>
      </c>
      <c r="P674" s="16" t="str">
        <f t="shared" si="130"/>
        <v/>
      </c>
      <c r="Q674" s="18" t="str">
        <f t="shared" si="131"/>
        <v/>
      </c>
      <c r="R674" s="19" t="str">
        <f>IF(C674="","",IF(ISNA(MATCH(B674,'Registru oferte'!$B$5:$B$504,0)),"Oferta nu există în registru",IF(N(F674)&lt;=0,"Lipsește cantitatea",IF(AND(ISNUMBER(Q674),Q674&lt;MarjaMin),"Marjă sub minim ("&amp;TEXT(Q674*100,"0")&amp;"%)",""))))</f>
        <v/>
      </c>
      <c r="S674" s="1" t="str">
        <f>IF(B674="","",B674&amp;"|"&amp;COUNTIF($B$5:B674,B674))</f>
        <v/>
      </c>
    </row>
    <row r="675" spans="2:19" x14ac:dyDescent="0.2">
      <c r="B675" s="11"/>
      <c r="C675" s="11"/>
      <c r="D675" s="10" t="str">
        <f t="shared" si="120"/>
        <v/>
      </c>
      <c r="E675" s="15" t="str">
        <f t="shared" si="121"/>
        <v/>
      </c>
      <c r="F675" s="11"/>
      <c r="G675" s="16" t="str">
        <f t="shared" si="122"/>
        <v/>
      </c>
      <c r="H675" s="17"/>
      <c r="I675" s="16" t="str">
        <f t="shared" si="123"/>
        <v/>
      </c>
      <c r="J675" s="16" t="str">
        <f t="shared" si="124"/>
        <v/>
      </c>
      <c r="K675" s="18" t="str">
        <f t="shared" si="125"/>
        <v/>
      </c>
      <c r="L675" s="16" t="str">
        <f t="shared" si="126"/>
        <v/>
      </c>
      <c r="M675" s="16" t="str">
        <f t="shared" si="127"/>
        <v/>
      </c>
      <c r="N675" s="16" t="str">
        <f t="shared" si="128"/>
        <v/>
      </c>
      <c r="O675" s="16" t="str">
        <f t="shared" si="129"/>
        <v/>
      </c>
      <c r="P675" s="16" t="str">
        <f t="shared" si="130"/>
        <v/>
      </c>
      <c r="Q675" s="18" t="str">
        <f t="shared" si="131"/>
        <v/>
      </c>
      <c r="R675" s="19" t="str">
        <f>IF(C675="","",IF(ISNA(MATCH(B675,'Registru oferte'!$B$5:$B$504,0)),"Oferta nu există în registru",IF(N(F675)&lt;=0,"Lipsește cantitatea",IF(AND(ISNUMBER(Q675),Q675&lt;MarjaMin),"Marjă sub minim ("&amp;TEXT(Q675*100,"0")&amp;"%)",""))))</f>
        <v/>
      </c>
      <c r="S675" s="1" t="str">
        <f>IF(B675="","",B675&amp;"|"&amp;COUNTIF($B$5:B675,B675))</f>
        <v/>
      </c>
    </row>
    <row r="676" spans="2:19" x14ac:dyDescent="0.2">
      <c r="B676" s="11"/>
      <c r="C676" s="11"/>
      <c r="D676" s="10" t="str">
        <f t="shared" si="120"/>
        <v/>
      </c>
      <c r="E676" s="15" t="str">
        <f t="shared" si="121"/>
        <v/>
      </c>
      <c r="F676" s="11"/>
      <c r="G676" s="16" t="str">
        <f t="shared" si="122"/>
        <v/>
      </c>
      <c r="H676" s="17"/>
      <c r="I676" s="16" t="str">
        <f t="shared" si="123"/>
        <v/>
      </c>
      <c r="J676" s="16" t="str">
        <f t="shared" si="124"/>
        <v/>
      </c>
      <c r="K676" s="18" t="str">
        <f t="shared" si="125"/>
        <v/>
      </c>
      <c r="L676" s="16" t="str">
        <f t="shared" si="126"/>
        <v/>
      </c>
      <c r="M676" s="16" t="str">
        <f t="shared" si="127"/>
        <v/>
      </c>
      <c r="N676" s="16" t="str">
        <f t="shared" si="128"/>
        <v/>
      </c>
      <c r="O676" s="16" t="str">
        <f t="shared" si="129"/>
        <v/>
      </c>
      <c r="P676" s="16" t="str">
        <f t="shared" si="130"/>
        <v/>
      </c>
      <c r="Q676" s="18" t="str">
        <f t="shared" si="131"/>
        <v/>
      </c>
      <c r="R676" s="19" t="str">
        <f>IF(C676="","",IF(ISNA(MATCH(B676,'Registru oferte'!$B$5:$B$504,0)),"Oferta nu există în registru",IF(N(F676)&lt;=0,"Lipsește cantitatea",IF(AND(ISNUMBER(Q676),Q676&lt;MarjaMin),"Marjă sub minim ("&amp;TEXT(Q676*100,"0")&amp;"%)",""))))</f>
        <v/>
      </c>
      <c r="S676" s="1" t="str">
        <f>IF(B676="","",B676&amp;"|"&amp;COUNTIF($B$5:B676,B676))</f>
        <v/>
      </c>
    </row>
    <row r="677" spans="2:19" x14ac:dyDescent="0.2">
      <c r="B677" s="11"/>
      <c r="C677" s="11"/>
      <c r="D677" s="10" t="str">
        <f t="shared" si="120"/>
        <v/>
      </c>
      <c r="E677" s="15" t="str">
        <f t="shared" si="121"/>
        <v/>
      </c>
      <c r="F677" s="11"/>
      <c r="G677" s="16" t="str">
        <f t="shared" si="122"/>
        <v/>
      </c>
      <c r="H677" s="17"/>
      <c r="I677" s="16" t="str">
        <f t="shared" si="123"/>
        <v/>
      </c>
      <c r="J677" s="16" t="str">
        <f t="shared" si="124"/>
        <v/>
      </c>
      <c r="K677" s="18" t="str">
        <f t="shared" si="125"/>
        <v/>
      </c>
      <c r="L677" s="16" t="str">
        <f t="shared" si="126"/>
        <v/>
      </c>
      <c r="M677" s="16" t="str">
        <f t="shared" si="127"/>
        <v/>
      </c>
      <c r="N677" s="16" t="str">
        <f t="shared" si="128"/>
        <v/>
      </c>
      <c r="O677" s="16" t="str">
        <f t="shared" si="129"/>
        <v/>
      </c>
      <c r="P677" s="16" t="str">
        <f t="shared" si="130"/>
        <v/>
      </c>
      <c r="Q677" s="18" t="str">
        <f t="shared" si="131"/>
        <v/>
      </c>
      <c r="R677" s="19" t="str">
        <f>IF(C677="","",IF(ISNA(MATCH(B677,'Registru oferte'!$B$5:$B$504,0)),"Oferta nu există în registru",IF(N(F677)&lt;=0,"Lipsește cantitatea",IF(AND(ISNUMBER(Q677),Q677&lt;MarjaMin),"Marjă sub minim ("&amp;TEXT(Q677*100,"0")&amp;"%)",""))))</f>
        <v/>
      </c>
      <c r="S677" s="1" t="str">
        <f>IF(B677="","",B677&amp;"|"&amp;COUNTIF($B$5:B677,B677))</f>
        <v/>
      </c>
    </row>
    <row r="678" spans="2:19" x14ac:dyDescent="0.2">
      <c r="B678" s="11"/>
      <c r="C678" s="11"/>
      <c r="D678" s="10" t="str">
        <f t="shared" si="120"/>
        <v/>
      </c>
      <c r="E678" s="15" t="str">
        <f t="shared" si="121"/>
        <v/>
      </c>
      <c r="F678" s="11"/>
      <c r="G678" s="16" t="str">
        <f t="shared" si="122"/>
        <v/>
      </c>
      <c r="H678" s="17"/>
      <c r="I678" s="16" t="str">
        <f t="shared" si="123"/>
        <v/>
      </c>
      <c r="J678" s="16" t="str">
        <f t="shared" si="124"/>
        <v/>
      </c>
      <c r="K678" s="18" t="str">
        <f t="shared" si="125"/>
        <v/>
      </c>
      <c r="L678" s="16" t="str">
        <f t="shared" si="126"/>
        <v/>
      </c>
      <c r="M678" s="16" t="str">
        <f t="shared" si="127"/>
        <v/>
      </c>
      <c r="N678" s="16" t="str">
        <f t="shared" si="128"/>
        <v/>
      </c>
      <c r="O678" s="16" t="str">
        <f t="shared" si="129"/>
        <v/>
      </c>
      <c r="P678" s="16" t="str">
        <f t="shared" si="130"/>
        <v/>
      </c>
      <c r="Q678" s="18" t="str">
        <f t="shared" si="131"/>
        <v/>
      </c>
      <c r="R678" s="19" t="str">
        <f>IF(C678="","",IF(ISNA(MATCH(B678,'Registru oferte'!$B$5:$B$504,0)),"Oferta nu există în registru",IF(N(F678)&lt;=0,"Lipsește cantitatea",IF(AND(ISNUMBER(Q678),Q678&lt;MarjaMin),"Marjă sub minim ("&amp;TEXT(Q678*100,"0")&amp;"%)",""))))</f>
        <v/>
      </c>
      <c r="S678" s="1" t="str">
        <f>IF(B678="","",B678&amp;"|"&amp;COUNTIF($B$5:B678,B678))</f>
        <v/>
      </c>
    </row>
    <row r="679" spans="2:19" x14ac:dyDescent="0.2">
      <c r="B679" s="11"/>
      <c r="C679" s="11"/>
      <c r="D679" s="10" t="str">
        <f t="shared" si="120"/>
        <v/>
      </c>
      <c r="E679" s="15" t="str">
        <f t="shared" si="121"/>
        <v/>
      </c>
      <c r="F679" s="11"/>
      <c r="G679" s="16" t="str">
        <f t="shared" si="122"/>
        <v/>
      </c>
      <c r="H679" s="17"/>
      <c r="I679" s="16" t="str">
        <f t="shared" si="123"/>
        <v/>
      </c>
      <c r="J679" s="16" t="str">
        <f t="shared" si="124"/>
        <v/>
      </c>
      <c r="K679" s="18" t="str">
        <f t="shared" si="125"/>
        <v/>
      </c>
      <c r="L679" s="16" t="str">
        <f t="shared" si="126"/>
        <v/>
      </c>
      <c r="M679" s="16" t="str">
        <f t="shared" si="127"/>
        <v/>
      </c>
      <c r="N679" s="16" t="str">
        <f t="shared" si="128"/>
        <v/>
      </c>
      <c r="O679" s="16" t="str">
        <f t="shared" si="129"/>
        <v/>
      </c>
      <c r="P679" s="16" t="str">
        <f t="shared" si="130"/>
        <v/>
      </c>
      <c r="Q679" s="18" t="str">
        <f t="shared" si="131"/>
        <v/>
      </c>
      <c r="R679" s="19" t="str">
        <f>IF(C679="","",IF(ISNA(MATCH(B679,'Registru oferte'!$B$5:$B$504,0)),"Oferta nu există în registru",IF(N(F679)&lt;=0,"Lipsește cantitatea",IF(AND(ISNUMBER(Q679),Q679&lt;MarjaMin),"Marjă sub minim ("&amp;TEXT(Q679*100,"0")&amp;"%)",""))))</f>
        <v/>
      </c>
      <c r="S679" s="1" t="str">
        <f>IF(B679="","",B679&amp;"|"&amp;COUNTIF($B$5:B679,B679))</f>
        <v/>
      </c>
    </row>
    <row r="680" spans="2:19" x14ac:dyDescent="0.2">
      <c r="B680" s="11"/>
      <c r="C680" s="11"/>
      <c r="D680" s="10" t="str">
        <f t="shared" si="120"/>
        <v/>
      </c>
      <c r="E680" s="15" t="str">
        <f t="shared" si="121"/>
        <v/>
      </c>
      <c r="F680" s="11"/>
      <c r="G680" s="16" t="str">
        <f t="shared" si="122"/>
        <v/>
      </c>
      <c r="H680" s="17"/>
      <c r="I680" s="16" t="str">
        <f t="shared" si="123"/>
        <v/>
      </c>
      <c r="J680" s="16" t="str">
        <f t="shared" si="124"/>
        <v/>
      </c>
      <c r="K680" s="18" t="str">
        <f t="shared" si="125"/>
        <v/>
      </c>
      <c r="L680" s="16" t="str">
        <f t="shared" si="126"/>
        <v/>
      </c>
      <c r="M680" s="16" t="str">
        <f t="shared" si="127"/>
        <v/>
      </c>
      <c r="N680" s="16" t="str">
        <f t="shared" si="128"/>
        <v/>
      </c>
      <c r="O680" s="16" t="str">
        <f t="shared" si="129"/>
        <v/>
      </c>
      <c r="P680" s="16" t="str">
        <f t="shared" si="130"/>
        <v/>
      </c>
      <c r="Q680" s="18" t="str">
        <f t="shared" si="131"/>
        <v/>
      </c>
      <c r="R680" s="19" t="str">
        <f>IF(C680="","",IF(ISNA(MATCH(B680,'Registru oferte'!$B$5:$B$504,0)),"Oferta nu există în registru",IF(N(F680)&lt;=0,"Lipsește cantitatea",IF(AND(ISNUMBER(Q680),Q680&lt;MarjaMin),"Marjă sub minim ("&amp;TEXT(Q680*100,"0")&amp;"%)",""))))</f>
        <v/>
      </c>
      <c r="S680" s="1" t="str">
        <f>IF(B680="","",B680&amp;"|"&amp;COUNTIF($B$5:B680,B680))</f>
        <v/>
      </c>
    </row>
    <row r="681" spans="2:19" x14ac:dyDescent="0.2">
      <c r="B681" s="11"/>
      <c r="C681" s="11"/>
      <c r="D681" s="10" t="str">
        <f t="shared" si="120"/>
        <v/>
      </c>
      <c r="E681" s="15" t="str">
        <f t="shared" si="121"/>
        <v/>
      </c>
      <c r="F681" s="11"/>
      <c r="G681" s="16" t="str">
        <f t="shared" si="122"/>
        <v/>
      </c>
      <c r="H681" s="17"/>
      <c r="I681" s="16" t="str">
        <f t="shared" si="123"/>
        <v/>
      </c>
      <c r="J681" s="16" t="str">
        <f t="shared" si="124"/>
        <v/>
      </c>
      <c r="K681" s="18" t="str">
        <f t="shared" si="125"/>
        <v/>
      </c>
      <c r="L681" s="16" t="str">
        <f t="shared" si="126"/>
        <v/>
      </c>
      <c r="M681" s="16" t="str">
        <f t="shared" si="127"/>
        <v/>
      </c>
      <c r="N681" s="16" t="str">
        <f t="shared" si="128"/>
        <v/>
      </c>
      <c r="O681" s="16" t="str">
        <f t="shared" si="129"/>
        <v/>
      </c>
      <c r="P681" s="16" t="str">
        <f t="shared" si="130"/>
        <v/>
      </c>
      <c r="Q681" s="18" t="str">
        <f t="shared" si="131"/>
        <v/>
      </c>
      <c r="R681" s="19" t="str">
        <f>IF(C681="","",IF(ISNA(MATCH(B681,'Registru oferte'!$B$5:$B$504,0)),"Oferta nu există în registru",IF(N(F681)&lt;=0,"Lipsește cantitatea",IF(AND(ISNUMBER(Q681),Q681&lt;MarjaMin),"Marjă sub minim ("&amp;TEXT(Q681*100,"0")&amp;"%)",""))))</f>
        <v/>
      </c>
      <c r="S681" s="1" t="str">
        <f>IF(B681="","",B681&amp;"|"&amp;COUNTIF($B$5:B681,B681))</f>
        <v/>
      </c>
    </row>
    <row r="682" spans="2:19" x14ac:dyDescent="0.2">
      <c r="B682" s="11"/>
      <c r="C682" s="11"/>
      <c r="D682" s="10" t="str">
        <f t="shared" si="120"/>
        <v/>
      </c>
      <c r="E682" s="15" t="str">
        <f t="shared" si="121"/>
        <v/>
      </c>
      <c r="F682" s="11"/>
      <c r="G682" s="16" t="str">
        <f t="shared" si="122"/>
        <v/>
      </c>
      <c r="H682" s="17"/>
      <c r="I682" s="16" t="str">
        <f t="shared" si="123"/>
        <v/>
      </c>
      <c r="J682" s="16" t="str">
        <f t="shared" si="124"/>
        <v/>
      </c>
      <c r="K682" s="18" t="str">
        <f t="shared" si="125"/>
        <v/>
      </c>
      <c r="L682" s="16" t="str">
        <f t="shared" si="126"/>
        <v/>
      </c>
      <c r="M682" s="16" t="str">
        <f t="shared" si="127"/>
        <v/>
      </c>
      <c r="N682" s="16" t="str">
        <f t="shared" si="128"/>
        <v/>
      </c>
      <c r="O682" s="16" t="str">
        <f t="shared" si="129"/>
        <v/>
      </c>
      <c r="P682" s="16" t="str">
        <f t="shared" si="130"/>
        <v/>
      </c>
      <c r="Q682" s="18" t="str">
        <f t="shared" si="131"/>
        <v/>
      </c>
      <c r="R682" s="19" t="str">
        <f>IF(C682="","",IF(ISNA(MATCH(B682,'Registru oferte'!$B$5:$B$504,0)),"Oferta nu există în registru",IF(N(F682)&lt;=0,"Lipsește cantitatea",IF(AND(ISNUMBER(Q682),Q682&lt;MarjaMin),"Marjă sub minim ("&amp;TEXT(Q682*100,"0")&amp;"%)",""))))</f>
        <v/>
      </c>
      <c r="S682" s="1" t="str">
        <f>IF(B682="","",B682&amp;"|"&amp;COUNTIF($B$5:B682,B682))</f>
        <v/>
      </c>
    </row>
    <row r="683" spans="2:19" x14ac:dyDescent="0.2">
      <c r="B683" s="11"/>
      <c r="C683" s="11"/>
      <c r="D683" s="10" t="str">
        <f t="shared" si="120"/>
        <v/>
      </c>
      <c r="E683" s="15" t="str">
        <f t="shared" si="121"/>
        <v/>
      </c>
      <c r="F683" s="11"/>
      <c r="G683" s="16" t="str">
        <f t="shared" si="122"/>
        <v/>
      </c>
      <c r="H683" s="17"/>
      <c r="I683" s="16" t="str">
        <f t="shared" si="123"/>
        <v/>
      </c>
      <c r="J683" s="16" t="str">
        <f t="shared" si="124"/>
        <v/>
      </c>
      <c r="K683" s="18" t="str">
        <f t="shared" si="125"/>
        <v/>
      </c>
      <c r="L683" s="16" t="str">
        <f t="shared" si="126"/>
        <v/>
      </c>
      <c r="M683" s="16" t="str">
        <f t="shared" si="127"/>
        <v/>
      </c>
      <c r="N683" s="16" t="str">
        <f t="shared" si="128"/>
        <v/>
      </c>
      <c r="O683" s="16" t="str">
        <f t="shared" si="129"/>
        <v/>
      </c>
      <c r="P683" s="16" t="str">
        <f t="shared" si="130"/>
        <v/>
      </c>
      <c r="Q683" s="18" t="str">
        <f t="shared" si="131"/>
        <v/>
      </c>
      <c r="R683" s="19" t="str">
        <f>IF(C683="","",IF(ISNA(MATCH(B683,'Registru oferte'!$B$5:$B$504,0)),"Oferta nu există în registru",IF(N(F683)&lt;=0,"Lipsește cantitatea",IF(AND(ISNUMBER(Q683),Q683&lt;MarjaMin),"Marjă sub minim ("&amp;TEXT(Q683*100,"0")&amp;"%)",""))))</f>
        <v/>
      </c>
      <c r="S683" s="1" t="str">
        <f>IF(B683="","",B683&amp;"|"&amp;COUNTIF($B$5:B683,B683))</f>
        <v/>
      </c>
    </row>
    <row r="684" spans="2:19" x14ac:dyDescent="0.2">
      <c r="B684" s="11"/>
      <c r="C684" s="11"/>
      <c r="D684" s="10" t="str">
        <f t="shared" si="120"/>
        <v/>
      </c>
      <c r="E684" s="15" t="str">
        <f t="shared" si="121"/>
        <v/>
      </c>
      <c r="F684" s="11"/>
      <c r="G684" s="16" t="str">
        <f t="shared" si="122"/>
        <v/>
      </c>
      <c r="H684" s="17"/>
      <c r="I684" s="16" t="str">
        <f t="shared" si="123"/>
        <v/>
      </c>
      <c r="J684" s="16" t="str">
        <f t="shared" si="124"/>
        <v/>
      </c>
      <c r="K684" s="18" t="str">
        <f t="shared" si="125"/>
        <v/>
      </c>
      <c r="L684" s="16" t="str">
        <f t="shared" si="126"/>
        <v/>
      </c>
      <c r="M684" s="16" t="str">
        <f t="shared" si="127"/>
        <v/>
      </c>
      <c r="N684" s="16" t="str">
        <f t="shared" si="128"/>
        <v/>
      </c>
      <c r="O684" s="16" t="str">
        <f t="shared" si="129"/>
        <v/>
      </c>
      <c r="P684" s="16" t="str">
        <f t="shared" si="130"/>
        <v/>
      </c>
      <c r="Q684" s="18" t="str">
        <f t="shared" si="131"/>
        <v/>
      </c>
      <c r="R684" s="19" t="str">
        <f>IF(C684="","",IF(ISNA(MATCH(B684,'Registru oferte'!$B$5:$B$504,0)),"Oferta nu există în registru",IF(N(F684)&lt;=0,"Lipsește cantitatea",IF(AND(ISNUMBER(Q684),Q684&lt;MarjaMin),"Marjă sub minim ("&amp;TEXT(Q684*100,"0")&amp;"%)",""))))</f>
        <v/>
      </c>
      <c r="S684" s="1" t="str">
        <f>IF(B684="","",B684&amp;"|"&amp;COUNTIF($B$5:B684,B684))</f>
        <v/>
      </c>
    </row>
    <row r="685" spans="2:19" x14ac:dyDescent="0.2">
      <c r="B685" s="11"/>
      <c r="C685" s="11"/>
      <c r="D685" s="10" t="str">
        <f t="shared" si="120"/>
        <v/>
      </c>
      <c r="E685" s="15" t="str">
        <f t="shared" si="121"/>
        <v/>
      </c>
      <c r="F685" s="11"/>
      <c r="G685" s="16" t="str">
        <f t="shared" si="122"/>
        <v/>
      </c>
      <c r="H685" s="17"/>
      <c r="I685" s="16" t="str">
        <f t="shared" si="123"/>
        <v/>
      </c>
      <c r="J685" s="16" t="str">
        <f t="shared" si="124"/>
        <v/>
      </c>
      <c r="K685" s="18" t="str">
        <f t="shared" si="125"/>
        <v/>
      </c>
      <c r="L685" s="16" t="str">
        <f t="shared" si="126"/>
        <v/>
      </c>
      <c r="M685" s="16" t="str">
        <f t="shared" si="127"/>
        <v/>
      </c>
      <c r="N685" s="16" t="str">
        <f t="shared" si="128"/>
        <v/>
      </c>
      <c r="O685" s="16" t="str">
        <f t="shared" si="129"/>
        <v/>
      </c>
      <c r="P685" s="16" t="str">
        <f t="shared" si="130"/>
        <v/>
      </c>
      <c r="Q685" s="18" t="str">
        <f t="shared" si="131"/>
        <v/>
      </c>
      <c r="R685" s="19" t="str">
        <f>IF(C685="","",IF(ISNA(MATCH(B685,'Registru oferte'!$B$5:$B$504,0)),"Oferta nu există în registru",IF(N(F685)&lt;=0,"Lipsește cantitatea",IF(AND(ISNUMBER(Q685),Q685&lt;MarjaMin),"Marjă sub minim ("&amp;TEXT(Q685*100,"0")&amp;"%)",""))))</f>
        <v/>
      </c>
      <c r="S685" s="1" t="str">
        <f>IF(B685="","",B685&amp;"|"&amp;COUNTIF($B$5:B685,B685))</f>
        <v/>
      </c>
    </row>
    <row r="686" spans="2:19" x14ac:dyDescent="0.2">
      <c r="B686" s="11"/>
      <c r="C686" s="11"/>
      <c r="D686" s="10" t="str">
        <f t="shared" si="120"/>
        <v/>
      </c>
      <c r="E686" s="15" t="str">
        <f t="shared" si="121"/>
        <v/>
      </c>
      <c r="F686" s="11"/>
      <c r="G686" s="16" t="str">
        <f t="shared" si="122"/>
        <v/>
      </c>
      <c r="H686" s="17"/>
      <c r="I686" s="16" t="str">
        <f t="shared" si="123"/>
        <v/>
      </c>
      <c r="J686" s="16" t="str">
        <f t="shared" si="124"/>
        <v/>
      </c>
      <c r="K686" s="18" t="str">
        <f t="shared" si="125"/>
        <v/>
      </c>
      <c r="L686" s="16" t="str">
        <f t="shared" si="126"/>
        <v/>
      </c>
      <c r="M686" s="16" t="str">
        <f t="shared" si="127"/>
        <v/>
      </c>
      <c r="N686" s="16" t="str">
        <f t="shared" si="128"/>
        <v/>
      </c>
      <c r="O686" s="16" t="str">
        <f t="shared" si="129"/>
        <v/>
      </c>
      <c r="P686" s="16" t="str">
        <f t="shared" si="130"/>
        <v/>
      </c>
      <c r="Q686" s="18" t="str">
        <f t="shared" si="131"/>
        <v/>
      </c>
      <c r="R686" s="19" t="str">
        <f>IF(C686="","",IF(ISNA(MATCH(B686,'Registru oferte'!$B$5:$B$504,0)),"Oferta nu există în registru",IF(N(F686)&lt;=0,"Lipsește cantitatea",IF(AND(ISNUMBER(Q686),Q686&lt;MarjaMin),"Marjă sub minim ("&amp;TEXT(Q686*100,"0")&amp;"%)",""))))</f>
        <v/>
      </c>
      <c r="S686" s="1" t="str">
        <f>IF(B686="","",B686&amp;"|"&amp;COUNTIF($B$5:B686,B686))</f>
        <v/>
      </c>
    </row>
    <row r="687" spans="2:19" x14ac:dyDescent="0.2">
      <c r="B687" s="11"/>
      <c r="C687" s="11"/>
      <c r="D687" s="10" t="str">
        <f t="shared" si="120"/>
        <v/>
      </c>
      <c r="E687" s="15" t="str">
        <f t="shared" si="121"/>
        <v/>
      </c>
      <c r="F687" s="11"/>
      <c r="G687" s="16" t="str">
        <f t="shared" si="122"/>
        <v/>
      </c>
      <c r="H687" s="17"/>
      <c r="I687" s="16" t="str">
        <f t="shared" si="123"/>
        <v/>
      </c>
      <c r="J687" s="16" t="str">
        <f t="shared" si="124"/>
        <v/>
      </c>
      <c r="K687" s="18" t="str">
        <f t="shared" si="125"/>
        <v/>
      </c>
      <c r="L687" s="16" t="str">
        <f t="shared" si="126"/>
        <v/>
      </c>
      <c r="M687" s="16" t="str">
        <f t="shared" si="127"/>
        <v/>
      </c>
      <c r="N687" s="16" t="str">
        <f t="shared" si="128"/>
        <v/>
      </c>
      <c r="O687" s="16" t="str">
        <f t="shared" si="129"/>
        <v/>
      </c>
      <c r="P687" s="16" t="str">
        <f t="shared" si="130"/>
        <v/>
      </c>
      <c r="Q687" s="18" t="str">
        <f t="shared" si="131"/>
        <v/>
      </c>
      <c r="R687" s="19" t="str">
        <f>IF(C687="","",IF(ISNA(MATCH(B687,'Registru oferte'!$B$5:$B$504,0)),"Oferta nu există în registru",IF(N(F687)&lt;=0,"Lipsește cantitatea",IF(AND(ISNUMBER(Q687),Q687&lt;MarjaMin),"Marjă sub minim ("&amp;TEXT(Q687*100,"0")&amp;"%)",""))))</f>
        <v/>
      </c>
      <c r="S687" s="1" t="str">
        <f>IF(B687="","",B687&amp;"|"&amp;COUNTIF($B$5:B687,B687))</f>
        <v/>
      </c>
    </row>
    <row r="688" spans="2:19" x14ac:dyDescent="0.2">
      <c r="B688" s="11"/>
      <c r="C688" s="11"/>
      <c r="D688" s="10" t="str">
        <f t="shared" si="120"/>
        <v/>
      </c>
      <c r="E688" s="15" t="str">
        <f t="shared" si="121"/>
        <v/>
      </c>
      <c r="F688" s="11"/>
      <c r="G688" s="16" t="str">
        <f t="shared" si="122"/>
        <v/>
      </c>
      <c r="H688" s="17"/>
      <c r="I688" s="16" t="str">
        <f t="shared" si="123"/>
        <v/>
      </c>
      <c r="J688" s="16" t="str">
        <f t="shared" si="124"/>
        <v/>
      </c>
      <c r="K688" s="18" t="str">
        <f t="shared" si="125"/>
        <v/>
      </c>
      <c r="L688" s="16" t="str">
        <f t="shared" si="126"/>
        <v/>
      </c>
      <c r="M688" s="16" t="str">
        <f t="shared" si="127"/>
        <v/>
      </c>
      <c r="N688" s="16" t="str">
        <f t="shared" si="128"/>
        <v/>
      </c>
      <c r="O688" s="16" t="str">
        <f t="shared" si="129"/>
        <v/>
      </c>
      <c r="P688" s="16" t="str">
        <f t="shared" si="130"/>
        <v/>
      </c>
      <c r="Q688" s="18" t="str">
        <f t="shared" si="131"/>
        <v/>
      </c>
      <c r="R688" s="19" t="str">
        <f>IF(C688="","",IF(ISNA(MATCH(B688,'Registru oferte'!$B$5:$B$504,0)),"Oferta nu există în registru",IF(N(F688)&lt;=0,"Lipsește cantitatea",IF(AND(ISNUMBER(Q688),Q688&lt;MarjaMin),"Marjă sub minim ("&amp;TEXT(Q688*100,"0")&amp;"%)",""))))</f>
        <v/>
      </c>
      <c r="S688" s="1" t="str">
        <f>IF(B688="","",B688&amp;"|"&amp;COUNTIF($B$5:B688,B688))</f>
        <v/>
      </c>
    </row>
    <row r="689" spans="2:19" x14ac:dyDescent="0.2">
      <c r="B689" s="11"/>
      <c r="C689" s="11"/>
      <c r="D689" s="10" t="str">
        <f t="shared" si="120"/>
        <v/>
      </c>
      <c r="E689" s="15" t="str">
        <f t="shared" si="121"/>
        <v/>
      </c>
      <c r="F689" s="11"/>
      <c r="G689" s="16" t="str">
        <f t="shared" si="122"/>
        <v/>
      </c>
      <c r="H689" s="17"/>
      <c r="I689" s="16" t="str">
        <f t="shared" si="123"/>
        <v/>
      </c>
      <c r="J689" s="16" t="str">
        <f t="shared" si="124"/>
        <v/>
      </c>
      <c r="K689" s="18" t="str">
        <f t="shared" si="125"/>
        <v/>
      </c>
      <c r="L689" s="16" t="str">
        <f t="shared" si="126"/>
        <v/>
      </c>
      <c r="M689" s="16" t="str">
        <f t="shared" si="127"/>
        <v/>
      </c>
      <c r="N689" s="16" t="str">
        <f t="shared" si="128"/>
        <v/>
      </c>
      <c r="O689" s="16" t="str">
        <f t="shared" si="129"/>
        <v/>
      </c>
      <c r="P689" s="16" t="str">
        <f t="shared" si="130"/>
        <v/>
      </c>
      <c r="Q689" s="18" t="str">
        <f t="shared" si="131"/>
        <v/>
      </c>
      <c r="R689" s="19" t="str">
        <f>IF(C689="","",IF(ISNA(MATCH(B689,'Registru oferte'!$B$5:$B$504,0)),"Oferta nu există în registru",IF(N(F689)&lt;=0,"Lipsește cantitatea",IF(AND(ISNUMBER(Q689),Q689&lt;MarjaMin),"Marjă sub minim ("&amp;TEXT(Q689*100,"0")&amp;"%)",""))))</f>
        <v/>
      </c>
      <c r="S689" s="1" t="str">
        <f>IF(B689="","",B689&amp;"|"&amp;COUNTIF($B$5:B689,B689))</f>
        <v/>
      </c>
    </row>
    <row r="690" spans="2:19" x14ac:dyDescent="0.2">
      <c r="B690" s="11"/>
      <c r="C690" s="11"/>
      <c r="D690" s="10" t="str">
        <f t="shared" si="120"/>
        <v/>
      </c>
      <c r="E690" s="15" t="str">
        <f t="shared" si="121"/>
        <v/>
      </c>
      <c r="F690" s="11"/>
      <c r="G690" s="16" t="str">
        <f t="shared" si="122"/>
        <v/>
      </c>
      <c r="H690" s="17"/>
      <c r="I690" s="16" t="str">
        <f t="shared" si="123"/>
        <v/>
      </c>
      <c r="J690" s="16" t="str">
        <f t="shared" si="124"/>
        <v/>
      </c>
      <c r="K690" s="18" t="str">
        <f t="shared" si="125"/>
        <v/>
      </c>
      <c r="L690" s="16" t="str">
        <f t="shared" si="126"/>
        <v/>
      </c>
      <c r="M690" s="16" t="str">
        <f t="shared" si="127"/>
        <v/>
      </c>
      <c r="N690" s="16" t="str">
        <f t="shared" si="128"/>
        <v/>
      </c>
      <c r="O690" s="16" t="str">
        <f t="shared" si="129"/>
        <v/>
      </c>
      <c r="P690" s="16" t="str">
        <f t="shared" si="130"/>
        <v/>
      </c>
      <c r="Q690" s="18" t="str">
        <f t="shared" si="131"/>
        <v/>
      </c>
      <c r="R690" s="19" t="str">
        <f>IF(C690="","",IF(ISNA(MATCH(B690,'Registru oferte'!$B$5:$B$504,0)),"Oferta nu există în registru",IF(N(F690)&lt;=0,"Lipsește cantitatea",IF(AND(ISNUMBER(Q690),Q690&lt;MarjaMin),"Marjă sub minim ("&amp;TEXT(Q690*100,"0")&amp;"%)",""))))</f>
        <v/>
      </c>
      <c r="S690" s="1" t="str">
        <f>IF(B690="","",B690&amp;"|"&amp;COUNTIF($B$5:B690,B690))</f>
        <v/>
      </c>
    </row>
    <row r="691" spans="2:19" x14ac:dyDescent="0.2">
      <c r="B691" s="11"/>
      <c r="C691" s="11"/>
      <c r="D691" s="10" t="str">
        <f t="shared" si="120"/>
        <v/>
      </c>
      <c r="E691" s="15" t="str">
        <f t="shared" si="121"/>
        <v/>
      </c>
      <c r="F691" s="11"/>
      <c r="G691" s="16" t="str">
        <f t="shared" si="122"/>
        <v/>
      </c>
      <c r="H691" s="17"/>
      <c r="I691" s="16" t="str">
        <f t="shared" si="123"/>
        <v/>
      </c>
      <c r="J691" s="16" t="str">
        <f t="shared" si="124"/>
        <v/>
      </c>
      <c r="K691" s="18" t="str">
        <f t="shared" si="125"/>
        <v/>
      </c>
      <c r="L691" s="16" t="str">
        <f t="shared" si="126"/>
        <v/>
      </c>
      <c r="M691" s="16" t="str">
        <f t="shared" si="127"/>
        <v/>
      </c>
      <c r="N691" s="16" t="str">
        <f t="shared" si="128"/>
        <v/>
      </c>
      <c r="O691" s="16" t="str">
        <f t="shared" si="129"/>
        <v/>
      </c>
      <c r="P691" s="16" t="str">
        <f t="shared" si="130"/>
        <v/>
      </c>
      <c r="Q691" s="18" t="str">
        <f t="shared" si="131"/>
        <v/>
      </c>
      <c r="R691" s="19" t="str">
        <f>IF(C691="","",IF(ISNA(MATCH(B691,'Registru oferte'!$B$5:$B$504,0)),"Oferta nu există în registru",IF(N(F691)&lt;=0,"Lipsește cantitatea",IF(AND(ISNUMBER(Q691),Q691&lt;MarjaMin),"Marjă sub minim ("&amp;TEXT(Q691*100,"0")&amp;"%)",""))))</f>
        <v/>
      </c>
      <c r="S691" s="1" t="str">
        <f>IF(B691="","",B691&amp;"|"&amp;COUNTIF($B$5:B691,B691))</f>
        <v/>
      </c>
    </row>
    <row r="692" spans="2:19" x14ac:dyDescent="0.2">
      <c r="B692" s="11"/>
      <c r="C692" s="11"/>
      <c r="D692" s="10" t="str">
        <f t="shared" si="120"/>
        <v/>
      </c>
      <c r="E692" s="15" t="str">
        <f t="shared" si="121"/>
        <v/>
      </c>
      <c r="F692" s="11"/>
      <c r="G692" s="16" t="str">
        <f t="shared" si="122"/>
        <v/>
      </c>
      <c r="H692" s="17"/>
      <c r="I692" s="16" t="str">
        <f t="shared" si="123"/>
        <v/>
      </c>
      <c r="J692" s="16" t="str">
        <f t="shared" si="124"/>
        <v/>
      </c>
      <c r="K692" s="18" t="str">
        <f t="shared" si="125"/>
        <v/>
      </c>
      <c r="L692" s="16" t="str">
        <f t="shared" si="126"/>
        <v/>
      </c>
      <c r="M692" s="16" t="str">
        <f t="shared" si="127"/>
        <v/>
      </c>
      <c r="N692" s="16" t="str">
        <f t="shared" si="128"/>
        <v/>
      </c>
      <c r="O692" s="16" t="str">
        <f t="shared" si="129"/>
        <v/>
      </c>
      <c r="P692" s="16" t="str">
        <f t="shared" si="130"/>
        <v/>
      </c>
      <c r="Q692" s="18" t="str">
        <f t="shared" si="131"/>
        <v/>
      </c>
      <c r="R692" s="19" t="str">
        <f>IF(C692="","",IF(ISNA(MATCH(B692,'Registru oferte'!$B$5:$B$504,0)),"Oferta nu există în registru",IF(N(F692)&lt;=0,"Lipsește cantitatea",IF(AND(ISNUMBER(Q692),Q692&lt;MarjaMin),"Marjă sub minim ("&amp;TEXT(Q692*100,"0")&amp;"%)",""))))</f>
        <v/>
      </c>
      <c r="S692" s="1" t="str">
        <f>IF(B692="","",B692&amp;"|"&amp;COUNTIF($B$5:B692,B692))</f>
        <v/>
      </c>
    </row>
    <row r="693" spans="2:19" x14ac:dyDescent="0.2">
      <c r="B693" s="11"/>
      <c r="C693" s="11"/>
      <c r="D693" s="10" t="str">
        <f t="shared" si="120"/>
        <v/>
      </c>
      <c r="E693" s="15" t="str">
        <f t="shared" si="121"/>
        <v/>
      </c>
      <c r="F693" s="11"/>
      <c r="G693" s="16" t="str">
        <f t="shared" si="122"/>
        <v/>
      </c>
      <c r="H693" s="17"/>
      <c r="I693" s="16" t="str">
        <f t="shared" si="123"/>
        <v/>
      </c>
      <c r="J693" s="16" t="str">
        <f t="shared" si="124"/>
        <v/>
      </c>
      <c r="K693" s="18" t="str">
        <f t="shared" si="125"/>
        <v/>
      </c>
      <c r="L693" s="16" t="str">
        <f t="shared" si="126"/>
        <v/>
      </c>
      <c r="M693" s="16" t="str">
        <f t="shared" si="127"/>
        <v/>
      </c>
      <c r="N693" s="16" t="str">
        <f t="shared" si="128"/>
        <v/>
      </c>
      <c r="O693" s="16" t="str">
        <f t="shared" si="129"/>
        <v/>
      </c>
      <c r="P693" s="16" t="str">
        <f t="shared" si="130"/>
        <v/>
      </c>
      <c r="Q693" s="18" t="str">
        <f t="shared" si="131"/>
        <v/>
      </c>
      <c r="R693" s="19" t="str">
        <f>IF(C693="","",IF(ISNA(MATCH(B693,'Registru oferte'!$B$5:$B$504,0)),"Oferta nu există în registru",IF(N(F693)&lt;=0,"Lipsește cantitatea",IF(AND(ISNUMBER(Q693),Q693&lt;MarjaMin),"Marjă sub minim ("&amp;TEXT(Q693*100,"0")&amp;"%)",""))))</f>
        <v/>
      </c>
      <c r="S693" s="1" t="str">
        <f>IF(B693="","",B693&amp;"|"&amp;COUNTIF($B$5:B693,B693))</f>
        <v/>
      </c>
    </row>
    <row r="694" spans="2:19" x14ac:dyDescent="0.2">
      <c r="B694" s="11"/>
      <c r="C694" s="11"/>
      <c r="D694" s="10" t="str">
        <f t="shared" si="120"/>
        <v/>
      </c>
      <c r="E694" s="15" t="str">
        <f t="shared" si="121"/>
        <v/>
      </c>
      <c r="F694" s="11"/>
      <c r="G694" s="16" t="str">
        <f t="shared" si="122"/>
        <v/>
      </c>
      <c r="H694" s="17"/>
      <c r="I694" s="16" t="str">
        <f t="shared" si="123"/>
        <v/>
      </c>
      <c r="J694" s="16" t="str">
        <f t="shared" si="124"/>
        <v/>
      </c>
      <c r="K694" s="18" t="str">
        <f t="shared" si="125"/>
        <v/>
      </c>
      <c r="L694" s="16" t="str">
        <f t="shared" si="126"/>
        <v/>
      </c>
      <c r="M694" s="16" t="str">
        <f t="shared" si="127"/>
        <v/>
      </c>
      <c r="N694" s="16" t="str">
        <f t="shared" si="128"/>
        <v/>
      </c>
      <c r="O694" s="16" t="str">
        <f t="shared" si="129"/>
        <v/>
      </c>
      <c r="P694" s="16" t="str">
        <f t="shared" si="130"/>
        <v/>
      </c>
      <c r="Q694" s="18" t="str">
        <f t="shared" si="131"/>
        <v/>
      </c>
      <c r="R694" s="19" t="str">
        <f>IF(C694="","",IF(ISNA(MATCH(B694,'Registru oferte'!$B$5:$B$504,0)),"Oferta nu există în registru",IF(N(F694)&lt;=0,"Lipsește cantitatea",IF(AND(ISNUMBER(Q694),Q694&lt;MarjaMin),"Marjă sub minim ("&amp;TEXT(Q694*100,"0")&amp;"%)",""))))</f>
        <v/>
      </c>
      <c r="S694" s="1" t="str">
        <f>IF(B694="","",B694&amp;"|"&amp;COUNTIF($B$5:B694,B694))</f>
        <v/>
      </c>
    </row>
    <row r="695" spans="2:19" x14ac:dyDescent="0.2">
      <c r="B695" s="11"/>
      <c r="C695" s="11"/>
      <c r="D695" s="10" t="str">
        <f t="shared" si="120"/>
        <v/>
      </c>
      <c r="E695" s="15" t="str">
        <f t="shared" si="121"/>
        <v/>
      </c>
      <c r="F695" s="11"/>
      <c r="G695" s="16" t="str">
        <f t="shared" si="122"/>
        <v/>
      </c>
      <c r="H695" s="17"/>
      <c r="I695" s="16" t="str">
        <f t="shared" si="123"/>
        <v/>
      </c>
      <c r="J695" s="16" t="str">
        <f t="shared" si="124"/>
        <v/>
      </c>
      <c r="K695" s="18" t="str">
        <f t="shared" si="125"/>
        <v/>
      </c>
      <c r="L695" s="16" t="str">
        <f t="shared" si="126"/>
        <v/>
      </c>
      <c r="M695" s="16" t="str">
        <f t="shared" si="127"/>
        <v/>
      </c>
      <c r="N695" s="16" t="str">
        <f t="shared" si="128"/>
        <v/>
      </c>
      <c r="O695" s="16" t="str">
        <f t="shared" si="129"/>
        <v/>
      </c>
      <c r="P695" s="16" t="str">
        <f t="shared" si="130"/>
        <v/>
      </c>
      <c r="Q695" s="18" t="str">
        <f t="shared" si="131"/>
        <v/>
      </c>
      <c r="R695" s="19" t="str">
        <f>IF(C695="","",IF(ISNA(MATCH(B695,'Registru oferte'!$B$5:$B$504,0)),"Oferta nu există în registru",IF(N(F695)&lt;=0,"Lipsește cantitatea",IF(AND(ISNUMBER(Q695),Q695&lt;MarjaMin),"Marjă sub minim ("&amp;TEXT(Q695*100,"0")&amp;"%)",""))))</f>
        <v/>
      </c>
      <c r="S695" s="1" t="str">
        <f>IF(B695="","",B695&amp;"|"&amp;COUNTIF($B$5:B695,B695))</f>
        <v/>
      </c>
    </row>
    <row r="696" spans="2:19" x14ac:dyDescent="0.2">
      <c r="B696" s="11"/>
      <c r="C696" s="11"/>
      <c r="D696" s="10" t="str">
        <f t="shared" si="120"/>
        <v/>
      </c>
      <c r="E696" s="15" t="str">
        <f t="shared" si="121"/>
        <v/>
      </c>
      <c r="F696" s="11"/>
      <c r="G696" s="16" t="str">
        <f t="shared" si="122"/>
        <v/>
      </c>
      <c r="H696" s="17"/>
      <c r="I696" s="16" t="str">
        <f t="shared" si="123"/>
        <v/>
      </c>
      <c r="J696" s="16" t="str">
        <f t="shared" si="124"/>
        <v/>
      </c>
      <c r="K696" s="18" t="str">
        <f t="shared" si="125"/>
        <v/>
      </c>
      <c r="L696" s="16" t="str">
        <f t="shared" si="126"/>
        <v/>
      </c>
      <c r="M696" s="16" t="str">
        <f t="shared" si="127"/>
        <v/>
      </c>
      <c r="N696" s="16" t="str">
        <f t="shared" si="128"/>
        <v/>
      </c>
      <c r="O696" s="16" t="str">
        <f t="shared" si="129"/>
        <v/>
      </c>
      <c r="P696" s="16" t="str">
        <f t="shared" si="130"/>
        <v/>
      </c>
      <c r="Q696" s="18" t="str">
        <f t="shared" si="131"/>
        <v/>
      </c>
      <c r="R696" s="19" t="str">
        <f>IF(C696="","",IF(ISNA(MATCH(B696,'Registru oferte'!$B$5:$B$504,0)),"Oferta nu există în registru",IF(N(F696)&lt;=0,"Lipsește cantitatea",IF(AND(ISNUMBER(Q696),Q696&lt;MarjaMin),"Marjă sub minim ("&amp;TEXT(Q696*100,"0")&amp;"%)",""))))</f>
        <v/>
      </c>
      <c r="S696" s="1" t="str">
        <f>IF(B696="","",B696&amp;"|"&amp;COUNTIF($B$5:B696,B696))</f>
        <v/>
      </c>
    </row>
    <row r="697" spans="2:19" x14ac:dyDescent="0.2">
      <c r="B697" s="11"/>
      <c r="C697" s="11"/>
      <c r="D697" s="10" t="str">
        <f t="shared" si="120"/>
        <v/>
      </c>
      <c r="E697" s="15" t="str">
        <f t="shared" si="121"/>
        <v/>
      </c>
      <c r="F697" s="11"/>
      <c r="G697" s="16" t="str">
        <f t="shared" si="122"/>
        <v/>
      </c>
      <c r="H697" s="17"/>
      <c r="I697" s="16" t="str">
        <f t="shared" si="123"/>
        <v/>
      </c>
      <c r="J697" s="16" t="str">
        <f t="shared" si="124"/>
        <v/>
      </c>
      <c r="K697" s="18" t="str">
        <f t="shared" si="125"/>
        <v/>
      </c>
      <c r="L697" s="16" t="str">
        <f t="shared" si="126"/>
        <v/>
      </c>
      <c r="M697" s="16" t="str">
        <f t="shared" si="127"/>
        <v/>
      </c>
      <c r="N697" s="16" t="str">
        <f t="shared" si="128"/>
        <v/>
      </c>
      <c r="O697" s="16" t="str">
        <f t="shared" si="129"/>
        <v/>
      </c>
      <c r="P697" s="16" t="str">
        <f t="shared" si="130"/>
        <v/>
      </c>
      <c r="Q697" s="18" t="str">
        <f t="shared" si="131"/>
        <v/>
      </c>
      <c r="R697" s="19" t="str">
        <f>IF(C697="","",IF(ISNA(MATCH(B697,'Registru oferte'!$B$5:$B$504,0)),"Oferta nu există în registru",IF(N(F697)&lt;=0,"Lipsește cantitatea",IF(AND(ISNUMBER(Q697),Q697&lt;MarjaMin),"Marjă sub minim ("&amp;TEXT(Q697*100,"0")&amp;"%)",""))))</f>
        <v/>
      </c>
      <c r="S697" s="1" t="str">
        <f>IF(B697="","",B697&amp;"|"&amp;COUNTIF($B$5:B697,B697))</f>
        <v/>
      </c>
    </row>
    <row r="698" spans="2:19" x14ac:dyDescent="0.2">
      <c r="B698" s="11"/>
      <c r="C698" s="11"/>
      <c r="D698" s="10" t="str">
        <f t="shared" si="120"/>
        <v/>
      </c>
      <c r="E698" s="15" t="str">
        <f t="shared" si="121"/>
        <v/>
      </c>
      <c r="F698" s="11"/>
      <c r="G698" s="16" t="str">
        <f t="shared" si="122"/>
        <v/>
      </c>
      <c r="H698" s="17"/>
      <c r="I698" s="16" t="str">
        <f t="shared" si="123"/>
        <v/>
      </c>
      <c r="J698" s="16" t="str">
        <f t="shared" si="124"/>
        <v/>
      </c>
      <c r="K698" s="18" t="str">
        <f t="shared" si="125"/>
        <v/>
      </c>
      <c r="L698" s="16" t="str">
        <f t="shared" si="126"/>
        <v/>
      </c>
      <c r="M698" s="16" t="str">
        <f t="shared" si="127"/>
        <v/>
      </c>
      <c r="N698" s="16" t="str">
        <f t="shared" si="128"/>
        <v/>
      </c>
      <c r="O698" s="16" t="str">
        <f t="shared" si="129"/>
        <v/>
      </c>
      <c r="P698" s="16" t="str">
        <f t="shared" si="130"/>
        <v/>
      </c>
      <c r="Q698" s="18" t="str">
        <f t="shared" si="131"/>
        <v/>
      </c>
      <c r="R698" s="19" t="str">
        <f>IF(C698="","",IF(ISNA(MATCH(B698,'Registru oferte'!$B$5:$B$504,0)),"Oferta nu există în registru",IF(N(F698)&lt;=0,"Lipsește cantitatea",IF(AND(ISNUMBER(Q698),Q698&lt;MarjaMin),"Marjă sub minim ("&amp;TEXT(Q698*100,"0")&amp;"%)",""))))</f>
        <v/>
      </c>
      <c r="S698" s="1" t="str">
        <f>IF(B698="","",B698&amp;"|"&amp;COUNTIF($B$5:B698,B698))</f>
        <v/>
      </c>
    </row>
    <row r="699" spans="2:19" x14ac:dyDescent="0.2">
      <c r="B699" s="11"/>
      <c r="C699" s="11"/>
      <c r="D699" s="10" t="str">
        <f t="shared" si="120"/>
        <v/>
      </c>
      <c r="E699" s="15" t="str">
        <f t="shared" si="121"/>
        <v/>
      </c>
      <c r="F699" s="11"/>
      <c r="G699" s="16" t="str">
        <f t="shared" si="122"/>
        <v/>
      </c>
      <c r="H699" s="17"/>
      <c r="I699" s="16" t="str">
        <f t="shared" si="123"/>
        <v/>
      </c>
      <c r="J699" s="16" t="str">
        <f t="shared" si="124"/>
        <v/>
      </c>
      <c r="K699" s="18" t="str">
        <f t="shared" si="125"/>
        <v/>
      </c>
      <c r="L699" s="16" t="str">
        <f t="shared" si="126"/>
        <v/>
      </c>
      <c r="M699" s="16" t="str">
        <f t="shared" si="127"/>
        <v/>
      </c>
      <c r="N699" s="16" t="str">
        <f t="shared" si="128"/>
        <v/>
      </c>
      <c r="O699" s="16" t="str">
        <f t="shared" si="129"/>
        <v/>
      </c>
      <c r="P699" s="16" t="str">
        <f t="shared" si="130"/>
        <v/>
      </c>
      <c r="Q699" s="18" t="str">
        <f t="shared" si="131"/>
        <v/>
      </c>
      <c r="R699" s="19" t="str">
        <f>IF(C699="","",IF(ISNA(MATCH(B699,'Registru oferte'!$B$5:$B$504,0)),"Oferta nu există în registru",IF(N(F699)&lt;=0,"Lipsește cantitatea",IF(AND(ISNUMBER(Q699),Q699&lt;MarjaMin),"Marjă sub minim ("&amp;TEXT(Q699*100,"0")&amp;"%)",""))))</f>
        <v/>
      </c>
      <c r="S699" s="1" t="str">
        <f>IF(B699="","",B699&amp;"|"&amp;COUNTIF($B$5:B699,B699))</f>
        <v/>
      </c>
    </row>
    <row r="700" spans="2:19" x14ac:dyDescent="0.2">
      <c r="B700" s="11"/>
      <c r="C700" s="11"/>
      <c r="D700" s="10" t="str">
        <f t="shared" si="120"/>
        <v/>
      </c>
      <c r="E700" s="15" t="str">
        <f t="shared" si="121"/>
        <v/>
      </c>
      <c r="F700" s="11"/>
      <c r="G700" s="16" t="str">
        <f t="shared" si="122"/>
        <v/>
      </c>
      <c r="H700" s="17"/>
      <c r="I700" s="16" t="str">
        <f t="shared" si="123"/>
        <v/>
      </c>
      <c r="J700" s="16" t="str">
        <f t="shared" si="124"/>
        <v/>
      </c>
      <c r="K700" s="18" t="str">
        <f t="shared" si="125"/>
        <v/>
      </c>
      <c r="L700" s="16" t="str">
        <f t="shared" si="126"/>
        <v/>
      </c>
      <c r="M700" s="16" t="str">
        <f t="shared" si="127"/>
        <v/>
      </c>
      <c r="N700" s="16" t="str">
        <f t="shared" si="128"/>
        <v/>
      </c>
      <c r="O700" s="16" t="str">
        <f t="shared" si="129"/>
        <v/>
      </c>
      <c r="P700" s="16" t="str">
        <f t="shared" si="130"/>
        <v/>
      </c>
      <c r="Q700" s="18" t="str">
        <f t="shared" si="131"/>
        <v/>
      </c>
      <c r="R700" s="19" t="str">
        <f>IF(C700="","",IF(ISNA(MATCH(B700,'Registru oferte'!$B$5:$B$504,0)),"Oferta nu există în registru",IF(N(F700)&lt;=0,"Lipsește cantitatea",IF(AND(ISNUMBER(Q700),Q700&lt;MarjaMin),"Marjă sub minim ("&amp;TEXT(Q700*100,"0")&amp;"%)",""))))</f>
        <v/>
      </c>
      <c r="S700" s="1" t="str">
        <f>IF(B700="","",B700&amp;"|"&amp;COUNTIF($B$5:B700,B700))</f>
        <v/>
      </c>
    </row>
    <row r="701" spans="2:19" x14ac:dyDescent="0.2">
      <c r="B701" s="11"/>
      <c r="C701" s="11"/>
      <c r="D701" s="10" t="str">
        <f t="shared" si="120"/>
        <v/>
      </c>
      <c r="E701" s="15" t="str">
        <f t="shared" si="121"/>
        <v/>
      </c>
      <c r="F701" s="11"/>
      <c r="G701" s="16" t="str">
        <f t="shared" si="122"/>
        <v/>
      </c>
      <c r="H701" s="17"/>
      <c r="I701" s="16" t="str">
        <f t="shared" si="123"/>
        <v/>
      </c>
      <c r="J701" s="16" t="str">
        <f t="shared" si="124"/>
        <v/>
      </c>
      <c r="K701" s="18" t="str">
        <f t="shared" si="125"/>
        <v/>
      </c>
      <c r="L701" s="16" t="str">
        <f t="shared" si="126"/>
        <v/>
      </c>
      <c r="M701" s="16" t="str">
        <f t="shared" si="127"/>
        <v/>
      </c>
      <c r="N701" s="16" t="str">
        <f t="shared" si="128"/>
        <v/>
      </c>
      <c r="O701" s="16" t="str">
        <f t="shared" si="129"/>
        <v/>
      </c>
      <c r="P701" s="16" t="str">
        <f t="shared" si="130"/>
        <v/>
      </c>
      <c r="Q701" s="18" t="str">
        <f t="shared" si="131"/>
        <v/>
      </c>
      <c r="R701" s="19" t="str">
        <f>IF(C701="","",IF(ISNA(MATCH(B701,'Registru oferte'!$B$5:$B$504,0)),"Oferta nu există în registru",IF(N(F701)&lt;=0,"Lipsește cantitatea",IF(AND(ISNUMBER(Q701),Q701&lt;MarjaMin),"Marjă sub minim ("&amp;TEXT(Q701*100,"0")&amp;"%)",""))))</f>
        <v/>
      </c>
      <c r="S701" s="1" t="str">
        <f>IF(B701="","",B701&amp;"|"&amp;COUNTIF($B$5:B701,B701))</f>
        <v/>
      </c>
    </row>
    <row r="702" spans="2:19" x14ac:dyDescent="0.2">
      <c r="B702" s="11"/>
      <c r="C702" s="11"/>
      <c r="D702" s="10" t="str">
        <f t="shared" si="120"/>
        <v/>
      </c>
      <c r="E702" s="15" t="str">
        <f t="shared" si="121"/>
        <v/>
      </c>
      <c r="F702" s="11"/>
      <c r="G702" s="16" t="str">
        <f t="shared" si="122"/>
        <v/>
      </c>
      <c r="H702" s="17"/>
      <c r="I702" s="16" t="str">
        <f t="shared" si="123"/>
        <v/>
      </c>
      <c r="J702" s="16" t="str">
        <f t="shared" si="124"/>
        <v/>
      </c>
      <c r="K702" s="18" t="str">
        <f t="shared" si="125"/>
        <v/>
      </c>
      <c r="L702" s="16" t="str">
        <f t="shared" si="126"/>
        <v/>
      </c>
      <c r="M702" s="16" t="str">
        <f t="shared" si="127"/>
        <v/>
      </c>
      <c r="N702" s="16" t="str">
        <f t="shared" si="128"/>
        <v/>
      </c>
      <c r="O702" s="16" t="str">
        <f t="shared" si="129"/>
        <v/>
      </c>
      <c r="P702" s="16" t="str">
        <f t="shared" si="130"/>
        <v/>
      </c>
      <c r="Q702" s="18" t="str">
        <f t="shared" si="131"/>
        <v/>
      </c>
      <c r="R702" s="19" t="str">
        <f>IF(C702="","",IF(ISNA(MATCH(B702,'Registru oferte'!$B$5:$B$504,0)),"Oferta nu există în registru",IF(N(F702)&lt;=0,"Lipsește cantitatea",IF(AND(ISNUMBER(Q702),Q702&lt;MarjaMin),"Marjă sub minim ("&amp;TEXT(Q702*100,"0")&amp;"%)",""))))</f>
        <v/>
      </c>
      <c r="S702" s="1" t="str">
        <f>IF(B702="","",B702&amp;"|"&amp;COUNTIF($B$5:B702,B702))</f>
        <v/>
      </c>
    </row>
    <row r="703" spans="2:19" x14ac:dyDescent="0.2">
      <c r="B703" s="11"/>
      <c r="C703" s="11"/>
      <c r="D703" s="10" t="str">
        <f t="shared" si="120"/>
        <v/>
      </c>
      <c r="E703" s="15" t="str">
        <f t="shared" si="121"/>
        <v/>
      </c>
      <c r="F703" s="11"/>
      <c r="G703" s="16" t="str">
        <f t="shared" si="122"/>
        <v/>
      </c>
      <c r="H703" s="17"/>
      <c r="I703" s="16" t="str">
        <f t="shared" si="123"/>
        <v/>
      </c>
      <c r="J703" s="16" t="str">
        <f t="shared" si="124"/>
        <v/>
      </c>
      <c r="K703" s="18" t="str">
        <f t="shared" si="125"/>
        <v/>
      </c>
      <c r="L703" s="16" t="str">
        <f t="shared" si="126"/>
        <v/>
      </c>
      <c r="M703" s="16" t="str">
        <f t="shared" si="127"/>
        <v/>
      </c>
      <c r="N703" s="16" t="str">
        <f t="shared" si="128"/>
        <v/>
      </c>
      <c r="O703" s="16" t="str">
        <f t="shared" si="129"/>
        <v/>
      </c>
      <c r="P703" s="16" t="str">
        <f t="shared" si="130"/>
        <v/>
      </c>
      <c r="Q703" s="18" t="str">
        <f t="shared" si="131"/>
        <v/>
      </c>
      <c r="R703" s="19" t="str">
        <f>IF(C703="","",IF(ISNA(MATCH(B703,'Registru oferte'!$B$5:$B$504,0)),"Oferta nu există în registru",IF(N(F703)&lt;=0,"Lipsește cantitatea",IF(AND(ISNUMBER(Q703),Q703&lt;MarjaMin),"Marjă sub minim ("&amp;TEXT(Q703*100,"0")&amp;"%)",""))))</f>
        <v/>
      </c>
      <c r="S703" s="1" t="str">
        <f>IF(B703="","",B703&amp;"|"&amp;COUNTIF($B$5:B703,B703))</f>
        <v/>
      </c>
    </row>
    <row r="704" spans="2:19" x14ac:dyDescent="0.2">
      <c r="B704" s="11"/>
      <c r="C704" s="11"/>
      <c r="D704" s="10" t="str">
        <f t="shared" si="120"/>
        <v/>
      </c>
      <c r="E704" s="15" t="str">
        <f t="shared" si="121"/>
        <v/>
      </c>
      <c r="F704" s="11"/>
      <c r="G704" s="16" t="str">
        <f t="shared" si="122"/>
        <v/>
      </c>
      <c r="H704" s="17"/>
      <c r="I704" s="16" t="str">
        <f t="shared" si="123"/>
        <v/>
      </c>
      <c r="J704" s="16" t="str">
        <f t="shared" si="124"/>
        <v/>
      </c>
      <c r="K704" s="18" t="str">
        <f t="shared" si="125"/>
        <v/>
      </c>
      <c r="L704" s="16" t="str">
        <f t="shared" si="126"/>
        <v/>
      </c>
      <c r="M704" s="16" t="str">
        <f t="shared" si="127"/>
        <v/>
      </c>
      <c r="N704" s="16" t="str">
        <f t="shared" si="128"/>
        <v/>
      </c>
      <c r="O704" s="16" t="str">
        <f t="shared" si="129"/>
        <v/>
      </c>
      <c r="P704" s="16" t="str">
        <f t="shared" si="130"/>
        <v/>
      </c>
      <c r="Q704" s="18" t="str">
        <f t="shared" si="131"/>
        <v/>
      </c>
      <c r="R704" s="19" t="str">
        <f>IF(C704="","",IF(ISNA(MATCH(B704,'Registru oferte'!$B$5:$B$504,0)),"Oferta nu există în registru",IF(N(F704)&lt;=0,"Lipsește cantitatea",IF(AND(ISNUMBER(Q704),Q704&lt;MarjaMin),"Marjă sub minim ("&amp;TEXT(Q704*100,"0")&amp;"%)",""))))</f>
        <v/>
      </c>
      <c r="S704" s="1" t="str">
        <f>IF(B704="","",B704&amp;"|"&amp;COUNTIF($B$5:B704,B704))</f>
        <v/>
      </c>
    </row>
    <row r="705" spans="2:19" x14ac:dyDescent="0.2">
      <c r="B705" s="11"/>
      <c r="C705" s="11"/>
      <c r="D705" s="10" t="str">
        <f t="shared" si="120"/>
        <v/>
      </c>
      <c r="E705" s="15" t="str">
        <f t="shared" si="121"/>
        <v/>
      </c>
      <c r="F705" s="11"/>
      <c r="G705" s="16" t="str">
        <f t="shared" si="122"/>
        <v/>
      </c>
      <c r="H705" s="17"/>
      <c r="I705" s="16" t="str">
        <f t="shared" si="123"/>
        <v/>
      </c>
      <c r="J705" s="16" t="str">
        <f t="shared" si="124"/>
        <v/>
      </c>
      <c r="K705" s="18" t="str">
        <f t="shared" si="125"/>
        <v/>
      </c>
      <c r="L705" s="16" t="str">
        <f t="shared" si="126"/>
        <v/>
      </c>
      <c r="M705" s="16" t="str">
        <f t="shared" si="127"/>
        <v/>
      </c>
      <c r="N705" s="16" t="str">
        <f t="shared" si="128"/>
        <v/>
      </c>
      <c r="O705" s="16" t="str">
        <f t="shared" si="129"/>
        <v/>
      </c>
      <c r="P705" s="16" t="str">
        <f t="shared" si="130"/>
        <v/>
      </c>
      <c r="Q705" s="18" t="str">
        <f t="shared" si="131"/>
        <v/>
      </c>
      <c r="R705" s="19" t="str">
        <f>IF(C705="","",IF(ISNA(MATCH(B705,'Registru oferte'!$B$5:$B$504,0)),"Oferta nu există în registru",IF(N(F705)&lt;=0,"Lipsește cantitatea",IF(AND(ISNUMBER(Q705),Q705&lt;MarjaMin),"Marjă sub minim ("&amp;TEXT(Q705*100,"0")&amp;"%)",""))))</f>
        <v/>
      </c>
      <c r="S705" s="1" t="str">
        <f>IF(B705="","",B705&amp;"|"&amp;COUNTIF($B$5:B705,B705))</f>
        <v/>
      </c>
    </row>
    <row r="706" spans="2:19" x14ac:dyDescent="0.2">
      <c r="B706" s="11"/>
      <c r="C706" s="11"/>
      <c r="D706" s="10" t="str">
        <f t="shared" si="120"/>
        <v/>
      </c>
      <c r="E706" s="15" t="str">
        <f t="shared" si="121"/>
        <v/>
      </c>
      <c r="F706" s="11"/>
      <c r="G706" s="16" t="str">
        <f t="shared" si="122"/>
        <v/>
      </c>
      <c r="H706" s="17"/>
      <c r="I706" s="16" t="str">
        <f t="shared" si="123"/>
        <v/>
      </c>
      <c r="J706" s="16" t="str">
        <f t="shared" si="124"/>
        <v/>
      </c>
      <c r="K706" s="18" t="str">
        <f t="shared" si="125"/>
        <v/>
      </c>
      <c r="L706" s="16" t="str">
        <f t="shared" si="126"/>
        <v/>
      </c>
      <c r="M706" s="16" t="str">
        <f t="shared" si="127"/>
        <v/>
      </c>
      <c r="N706" s="16" t="str">
        <f t="shared" si="128"/>
        <v/>
      </c>
      <c r="O706" s="16" t="str">
        <f t="shared" si="129"/>
        <v/>
      </c>
      <c r="P706" s="16" t="str">
        <f t="shared" si="130"/>
        <v/>
      </c>
      <c r="Q706" s="18" t="str">
        <f t="shared" si="131"/>
        <v/>
      </c>
      <c r="R706" s="19" t="str">
        <f>IF(C706="","",IF(ISNA(MATCH(B706,'Registru oferte'!$B$5:$B$504,0)),"Oferta nu există în registru",IF(N(F706)&lt;=0,"Lipsește cantitatea",IF(AND(ISNUMBER(Q706),Q706&lt;MarjaMin),"Marjă sub minim ("&amp;TEXT(Q706*100,"0")&amp;"%)",""))))</f>
        <v/>
      </c>
      <c r="S706" s="1" t="str">
        <f>IF(B706="","",B706&amp;"|"&amp;COUNTIF($B$5:B706,B706))</f>
        <v/>
      </c>
    </row>
    <row r="707" spans="2:19" x14ac:dyDescent="0.2">
      <c r="B707" s="11"/>
      <c r="C707" s="11"/>
      <c r="D707" s="10" t="str">
        <f t="shared" si="120"/>
        <v/>
      </c>
      <c r="E707" s="15" t="str">
        <f t="shared" si="121"/>
        <v/>
      </c>
      <c r="F707" s="11"/>
      <c r="G707" s="16" t="str">
        <f t="shared" si="122"/>
        <v/>
      </c>
      <c r="H707" s="17"/>
      <c r="I707" s="16" t="str">
        <f t="shared" si="123"/>
        <v/>
      </c>
      <c r="J707" s="16" t="str">
        <f t="shared" si="124"/>
        <v/>
      </c>
      <c r="K707" s="18" t="str">
        <f t="shared" si="125"/>
        <v/>
      </c>
      <c r="L707" s="16" t="str">
        <f t="shared" si="126"/>
        <v/>
      </c>
      <c r="M707" s="16" t="str">
        <f t="shared" si="127"/>
        <v/>
      </c>
      <c r="N707" s="16" t="str">
        <f t="shared" si="128"/>
        <v/>
      </c>
      <c r="O707" s="16" t="str">
        <f t="shared" si="129"/>
        <v/>
      </c>
      <c r="P707" s="16" t="str">
        <f t="shared" si="130"/>
        <v/>
      </c>
      <c r="Q707" s="18" t="str">
        <f t="shared" si="131"/>
        <v/>
      </c>
      <c r="R707" s="19" t="str">
        <f>IF(C707="","",IF(ISNA(MATCH(B707,'Registru oferte'!$B$5:$B$504,0)),"Oferta nu există în registru",IF(N(F707)&lt;=0,"Lipsește cantitatea",IF(AND(ISNUMBER(Q707),Q707&lt;MarjaMin),"Marjă sub minim ("&amp;TEXT(Q707*100,"0")&amp;"%)",""))))</f>
        <v/>
      </c>
      <c r="S707" s="1" t="str">
        <f>IF(B707="","",B707&amp;"|"&amp;COUNTIF($B$5:B707,B707))</f>
        <v/>
      </c>
    </row>
    <row r="708" spans="2:19" x14ac:dyDescent="0.2">
      <c r="B708" s="11"/>
      <c r="C708" s="11"/>
      <c r="D708" s="10" t="str">
        <f t="shared" si="120"/>
        <v/>
      </c>
      <c r="E708" s="15" t="str">
        <f t="shared" si="121"/>
        <v/>
      </c>
      <c r="F708" s="11"/>
      <c r="G708" s="16" t="str">
        <f t="shared" si="122"/>
        <v/>
      </c>
      <c r="H708" s="17"/>
      <c r="I708" s="16" t="str">
        <f t="shared" si="123"/>
        <v/>
      </c>
      <c r="J708" s="16" t="str">
        <f t="shared" si="124"/>
        <v/>
      </c>
      <c r="K708" s="18" t="str">
        <f t="shared" si="125"/>
        <v/>
      </c>
      <c r="L708" s="16" t="str">
        <f t="shared" si="126"/>
        <v/>
      </c>
      <c r="M708" s="16" t="str">
        <f t="shared" si="127"/>
        <v/>
      </c>
      <c r="N708" s="16" t="str">
        <f t="shared" si="128"/>
        <v/>
      </c>
      <c r="O708" s="16" t="str">
        <f t="shared" si="129"/>
        <v/>
      </c>
      <c r="P708" s="16" t="str">
        <f t="shared" si="130"/>
        <v/>
      </c>
      <c r="Q708" s="18" t="str">
        <f t="shared" si="131"/>
        <v/>
      </c>
      <c r="R708" s="19" t="str">
        <f>IF(C708="","",IF(ISNA(MATCH(B708,'Registru oferte'!$B$5:$B$504,0)),"Oferta nu există în registru",IF(N(F708)&lt;=0,"Lipsește cantitatea",IF(AND(ISNUMBER(Q708),Q708&lt;MarjaMin),"Marjă sub minim ("&amp;TEXT(Q708*100,"0")&amp;"%)",""))))</f>
        <v/>
      </c>
      <c r="S708" s="1" t="str">
        <f>IF(B708="","",B708&amp;"|"&amp;COUNTIF($B$5:B708,B708))</f>
        <v/>
      </c>
    </row>
    <row r="709" spans="2:19" x14ac:dyDescent="0.2">
      <c r="B709" s="11"/>
      <c r="C709" s="11"/>
      <c r="D709" s="10" t="str">
        <f t="shared" ref="D709:D772" si="132">IF(C709="","",IFERROR(VLOOKUP(C709,TabCat,2,FALSE),"Cod inexistent"))</f>
        <v/>
      </c>
      <c r="E709" s="15" t="str">
        <f t="shared" ref="E709:E772" si="133">IF(C709="","",IFERROR(VLOOKUP(C709,TabCat,3,FALSE),""))</f>
        <v/>
      </c>
      <c r="F709" s="11"/>
      <c r="G709" s="16" t="str">
        <f t="shared" ref="G709:G772" si="134">IF(C709="","",IFERROR(VLOOKUP(C709,TabCat,4,FALSE),0))</f>
        <v/>
      </c>
      <c r="H709" s="17"/>
      <c r="I709" s="16" t="str">
        <f t="shared" ref="I709:I772" si="135">IF(C709="","",ROUND(G709*(1-N(H709)),2))</f>
        <v/>
      </c>
      <c r="J709" s="16" t="str">
        <f t="shared" ref="J709:J772" si="136">IF(C709="","",ROUND(I709*N(F709),2))</f>
        <v/>
      </c>
      <c r="K709" s="18" t="str">
        <f t="shared" ref="K709:K772" si="137">IF(C709="","",IFERROR(VLOOKUP(C709,TabCat,6,FALSE),0))</f>
        <v/>
      </c>
      <c r="L709" s="16" t="str">
        <f t="shared" ref="L709:L772" si="138">IF(C709="","",ROUND(J709*K709,2))</f>
        <v/>
      </c>
      <c r="M709" s="16" t="str">
        <f t="shared" ref="M709:M772" si="139">IF(C709="","",J709+L709)</f>
        <v/>
      </c>
      <c r="N709" s="16" t="str">
        <f t="shared" ref="N709:N772" si="140">IF(C709="","",IFERROR(VLOOKUP(C709,TabCat,5,FALSE),0))</f>
        <v/>
      </c>
      <c r="O709" s="16" t="str">
        <f t="shared" ref="O709:O772" si="141">IF(C709="","",ROUND(N709*N(F709),2))</f>
        <v/>
      </c>
      <c r="P709" s="16" t="str">
        <f t="shared" ref="P709:P772" si="142">IF(C709="","",J709-O709)</f>
        <v/>
      </c>
      <c r="Q709" s="18" t="str">
        <f t="shared" ref="Q709:Q772" si="143">IF(OR(C709="",N(J709)=0),"",P709/J709)</f>
        <v/>
      </c>
      <c r="R709" s="19" t="str">
        <f>IF(C709="","",IF(ISNA(MATCH(B709,'Registru oferte'!$B$5:$B$504,0)),"Oferta nu există în registru",IF(N(F709)&lt;=0,"Lipsește cantitatea",IF(AND(ISNUMBER(Q709),Q709&lt;MarjaMin),"Marjă sub minim ("&amp;TEXT(Q709*100,"0")&amp;"%)",""))))</f>
        <v/>
      </c>
      <c r="S709" s="1" t="str">
        <f>IF(B709="","",B709&amp;"|"&amp;COUNTIF($B$5:B709,B709))</f>
        <v/>
      </c>
    </row>
    <row r="710" spans="2:19" x14ac:dyDescent="0.2">
      <c r="B710" s="11"/>
      <c r="C710" s="11"/>
      <c r="D710" s="10" t="str">
        <f t="shared" si="132"/>
        <v/>
      </c>
      <c r="E710" s="15" t="str">
        <f t="shared" si="133"/>
        <v/>
      </c>
      <c r="F710" s="11"/>
      <c r="G710" s="16" t="str">
        <f t="shared" si="134"/>
        <v/>
      </c>
      <c r="H710" s="17"/>
      <c r="I710" s="16" t="str">
        <f t="shared" si="135"/>
        <v/>
      </c>
      <c r="J710" s="16" t="str">
        <f t="shared" si="136"/>
        <v/>
      </c>
      <c r="K710" s="18" t="str">
        <f t="shared" si="137"/>
        <v/>
      </c>
      <c r="L710" s="16" t="str">
        <f t="shared" si="138"/>
        <v/>
      </c>
      <c r="M710" s="16" t="str">
        <f t="shared" si="139"/>
        <v/>
      </c>
      <c r="N710" s="16" t="str">
        <f t="shared" si="140"/>
        <v/>
      </c>
      <c r="O710" s="16" t="str">
        <f t="shared" si="141"/>
        <v/>
      </c>
      <c r="P710" s="16" t="str">
        <f t="shared" si="142"/>
        <v/>
      </c>
      <c r="Q710" s="18" t="str">
        <f t="shared" si="143"/>
        <v/>
      </c>
      <c r="R710" s="19" t="str">
        <f>IF(C710="","",IF(ISNA(MATCH(B710,'Registru oferte'!$B$5:$B$504,0)),"Oferta nu există în registru",IF(N(F710)&lt;=0,"Lipsește cantitatea",IF(AND(ISNUMBER(Q710),Q710&lt;MarjaMin),"Marjă sub minim ("&amp;TEXT(Q710*100,"0")&amp;"%)",""))))</f>
        <v/>
      </c>
      <c r="S710" s="1" t="str">
        <f>IF(B710="","",B710&amp;"|"&amp;COUNTIF($B$5:B710,B710))</f>
        <v/>
      </c>
    </row>
    <row r="711" spans="2:19" x14ac:dyDescent="0.2">
      <c r="B711" s="11"/>
      <c r="C711" s="11"/>
      <c r="D711" s="10" t="str">
        <f t="shared" si="132"/>
        <v/>
      </c>
      <c r="E711" s="15" t="str">
        <f t="shared" si="133"/>
        <v/>
      </c>
      <c r="F711" s="11"/>
      <c r="G711" s="16" t="str">
        <f t="shared" si="134"/>
        <v/>
      </c>
      <c r="H711" s="17"/>
      <c r="I711" s="16" t="str">
        <f t="shared" si="135"/>
        <v/>
      </c>
      <c r="J711" s="16" t="str">
        <f t="shared" si="136"/>
        <v/>
      </c>
      <c r="K711" s="18" t="str">
        <f t="shared" si="137"/>
        <v/>
      </c>
      <c r="L711" s="16" t="str">
        <f t="shared" si="138"/>
        <v/>
      </c>
      <c r="M711" s="16" t="str">
        <f t="shared" si="139"/>
        <v/>
      </c>
      <c r="N711" s="16" t="str">
        <f t="shared" si="140"/>
        <v/>
      </c>
      <c r="O711" s="16" t="str">
        <f t="shared" si="141"/>
        <v/>
      </c>
      <c r="P711" s="16" t="str">
        <f t="shared" si="142"/>
        <v/>
      </c>
      <c r="Q711" s="18" t="str">
        <f t="shared" si="143"/>
        <v/>
      </c>
      <c r="R711" s="19" t="str">
        <f>IF(C711="","",IF(ISNA(MATCH(B711,'Registru oferte'!$B$5:$B$504,0)),"Oferta nu există în registru",IF(N(F711)&lt;=0,"Lipsește cantitatea",IF(AND(ISNUMBER(Q711),Q711&lt;MarjaMin),"Marjă sub minim ("&amp;TEXT(Q711*100,"0")&amp;"%)",""))))</f>
        <v/>
      </c>
      <c r="S711" s="1" t="str">
        <f>IF(B711="","",B711&amp;"|"&amp;COUNTIF($B$5:B711,B711))</f>
        <v/>
      </c>
    </row>
    <row r="712" spans="2:19" x14ac:dyDescent="0.2">
      <c r="B712" s="11"/>
      <c r="C712" s="11"/>
      <c r="D712" s="10" t="str">
        <f t="shared" si="132"/>
        <v/>
      </c>
      <c r="E712" s="15" t="str">
        <f t="shared" si="133"/>
        <v/>
      </c>
      <c r="F712" s="11"/>
      <c r="G712" s="16" t="str">
        <f t="shared" si="134"/>
        <v/>
      </c>
      <c r="H712" s="17"/>
      <c r="I712" s="16" t="str">
        <f t="shared" si="135"/>
        <v/>
      </c>
      <c r="J712" s="16" t="str">
        <f t="shared" si="136"/>
        <v/>
      </c>
      <c r="K712" s="18" t="str">
        <f t="shared" si="137"/>
        <v/>
      </c>
      <c r="L712" s="16" t="str">
        <f t="shared" si="138"/>
        <v/>
      </c>
      <c r="M712" s="16" t="str">
        <f t="shared" si="139"/>
        <v/>
      </c>
      <c r="N712" s="16" t="str">
        <f t="shared" si="140"/>
        <v/>
      </c>
      <c r="O712" s="16" t="str">
        <f t="shared" si="141"/>
        <v/>
      </c>
      <c r="P712" s="16" t="str">
        <f t="shared" si="142"/>
        <v/>
      </c>
      <c r="Q712" s="18" t="str">
        <f t="shared" si="143"/>
        <v/>
      </c>
      <c r="R712" s="19" t="str">
        <f>IF(C712="","",IF(ISNA(MATCH(B712,'Registru oferte'!$B$5:$B$504,0)),"Oferta nu există în registru",IF(N(F712)&lt;=0,"Lipsește cantitatea",IF(AND(ISNUMBER(Q712),Q712&lt;MarjaMin),"Marjă sub minim ("&amp;TEXT(Q712*100,"0")&amp;"%)",""))))</f>
        <v/>
      </c>
      <c r="S712" s="1" t="str">
        <f>IF(B712="","",B712&amp;"|"&amp;COUNTIF($B$5:B712,B712))</f>
        <v/>
      </c>
    </row>
    <row r="713" spans="2:19" x14ac:dyDescent="0.2">
      <c r="B713" s="11"/>
      <c r="C713" s="11"/>
      <c r="D713" s="10" t="str">
        <f t="shared" si="132"/>
        <v/>
      </c>
      <c r="E713" s="15" t="str">
        <f t="shared" si="133"/>
        <v/>
      </c>
      <c r="F713" s="11"/>
      <c r="G713" s="16" t="str">
        <f t="shared" si="134"/>
        <v/>
      </c>
      <c r="H713" s="17"/>
      <c r="I713" s="16" t="str">
        <f t="shared" si="135"/>
        <v/>
      </c>
      <c r="J713" s="16" t="str">
        <f t="shared" si="136"/>
        <v/>
      </c>
      <c r="K713" s="18" t="str">
        <f t="shared" si="137"/>
        <v/>
      </c>
      <c r="L713" s="16" t="str">
        <f t="shared" si="138"/>
        <v/>
      </c>
      <c r="M713" s="16" t="str">
        <f t="shared" si="139"/>
        <v/>
      </c>
      <c r="N713" s="16" t="str">
        <f t="shared" si="140"/>
        <v/>
      </c>
      <c r="O713" s="16" t="str">
        <f t="shared" si="141"/>
        <v/>
      </c>
      <c r="P713" s="16" t="str">
        <f t="shared" si="142"/>
        <v/>
      </c>
      <c r="Q713" s="18" t="str">
        <f t="shared" si="143"/>
        <v/>
      </c>
      <c r="R713" s="19" t="str">
        <f>IF(C713="","",IF(ISNA(MATCH(B713,'Registru oferte'!$B$5:$B$504,0)),"Oferta nu există în registru",IF(N(F713)&lt;=0,"Lipsește cantitatea",IF(AND(ISNUMBER(Q713),Q713&lt;MarjaMin),"Marjă sub minim ("&amp;TEXT(Q713*100,"0")&amp;"%)",""))))</f>
        <v/>
      </c>
      <c r="S713" s="1" t="str">
        <f>IF(B713="","",B713&amp;"|"&amp;COUNTIF($B$5:B713,B713))</f>
        <v/>
      </c>
    </row>
    <row r="714" spans="2:19" x14ac:dyDescent="0.2">
      <c r="B714" s="11"/>
      <c r="C714" s="11"/>
      <c r="D714" s="10" t="str">
        <f t="shared" si="132"/>
        <v/>
      </c>
      <c r="E714" s="15" t="str">
        <f t="shared" si="133"/>
        <v/>
      </c>
      <c r="F714" s="11"/>
      <c r="G714" s="16" t="str">
        <f t="shared" si="134"/>
        <v/>
      </c>
      <c r="H714" s="17"/>
      <c r="I714" s="16" t="str">
        <f t="shared" si="135"/>
        <v/>
      </c>
      <c r="J714" s="16" t="str">
        <f t="shared" si="136"/>
        <v/>
      </c>
      <c r="K714" s="18" t="str">
        <f t="shared" si="137"/>
        <v/>
      </c>
      <c r="L714" s="16" t="str">
        <f t="shared" si="138"/>
        <v/>
      </c>
      <c r="M714" s="16" t="str">
        <f t="shared" si="139"/>
        <v/>
      </c>
      <c r="N714" s="16" t="str">
        <f t="shared" si="140"/>
        <v/>
      </c>
      <c r="O714" s="16" t="str">
        <f t="shared" si="141"/>
        <v/>
      </c>
      <c r="P714" s="16" t="str">
        <f t="shared" si="142"/>
        <v/>
      </c>
      <c r="Q714" s="18" t="str">
        <f t="shared" si="143"/>
        <v/>
      </c>
      <c r="R714" s="19" t="str">
        <f>IF(C714="","",IF(ISNA(MATCH(B714,'Registru oferte'!$B$5:$B$504,0)),"Oferta nu există în registru",IF(N(F714)&lt;=0,"Lipsește cantitatea",IF(AND(ISNUMBER(Q714),Q714&lt;MarjaMin),"Marjă sub minim ("&amp;TEXT(Q714*100,"0")&amp;"%)",""))))</f>
        <v/>
      </c>
      <c r="S714" s="1" t="str">
        <f>IF(B714="","",B714&amp;"|"&amp;COUNTIF($B$5:B714,B714))</f>
        <v/>
      </c>
    </row>
    <row r="715" spans="2:19" x14ac:dyDescent="0.2">
      <c r="B715" s="11"/>
      <c r="C715" s="11"/>
      <c r="D715" s="10" t="str">
        <f t="shared" si="132"/>
        <v/>
      </c>
      <c r="E715" s="15" t="str">
        <f t="shared" si="133"/>
        <v/>
      </c>
      <c r="F715" s="11"/>
      <c r="G715" s="16" t="str">
        <f t="shared" si="134"/>
        <v/>
      </c>
      <c r="H715" s="17"/>
      <c r="I715" s="16" t="str">
        <f t="shared" si="135"/>
        <v/>
      </c>
      <c r="J715" s="16" t="str">
        <f t="shared" si="136"/>
        <v/>
      </c>
      <c r="K715" s="18" t="str">
        <f t="shared" si="137"/>
        <v/>
      </c>
      <c r="L715" s="16" t="str">
        <f t="shared" si="138"/>
        <v/>
      </c>
      <c r="M715" s="16" t="str">
        <f t="shared" si="139"/>
        <v/>
      </c>
      <c r="N715" s="16" t="str">
        <f t="shared" si="140"/>
        <v/>
      </c>
      <c r="O715" s="16" t="str">
        <f t="shared" si="141"/>
        <v/>
      </c>
      <c r="P715" s="16" t="str">
        <f t="shared" si="142"/>
        <v/>
      </c>
      <c r="Q715" s="18" t="str">
        <f t="shared" si="143"/>
        <v/>
      </c>
      <c r="R715" s="19" t="str">
        <f>IF(C715="","",IF(ISNA(MATCH(B715,'Registru oferte'!$B$5:$B$504,0)),"Oferta nu există în registru",IF(N(F715)&lt;=0,"Lipsește cantitatea",IF(AND(ISNUMBER(Q715),Q715&lt;MarjaMin),"Marjă sub minim ("&amp;TEXT(Q715*100,"0")&amp;"%)",""))))</f>
        <v/>
      </c>
      <c r="S715" s="1" t="str">
        <f>IF(B715="","",B715&amp;"|"&amp;COUNTIF($B$5:B715,B715))</f>
        <v/>
      </c>
    </row>
    <row r="716" spans="2:19" x14ac:dyDescent="0.2">
      <c r="B716" s="11"/>
      <c r="C716" s="11"/>
      <c r="D716" s="10" t="str">
        <f t="shared" si="132"/>
        <v/>
      </c>
      <c r="E716" s="15" t="str">
        <f t="shared" si="133"/>
        <v/>
      </c>
      <c r="F716" s="11"/>
      <c r="G716" s="16" t="str">
        <f t="shared" si="134"/>
        <v/>
      </c>
      <c r="H716" s="17"/>
      <c r="I716" s="16" t="str">
        <f t="shared" si="135"/>
        <v/>
      </c>
      <c r="J716" s="16" t="str">
        <f t="shared" si="136"/>
        <v/>
      </c>
      <c r="K716" s="18" t="str">
        <f t="shared" si="137"/>
        <v/>
      </c>
      <c r="L716" s="16" t="str">
        <f t="shared" si="138"/>
        <v/>
      </c>
      <c r="M716" s="16" t="str">
        <f t="shared" si="139"/>
        <v/>
      </c>
      <c r="N716" s="16" t="str">
        <f t="shared" si="140"/>
        <v/>
      </c>
      <c r="O716" s="16" t="str">
        <f t="shared" si="141"/>
        <v/>
      </c>
      <c r="P716" s="16" t="str">
        <f t="shared" si="142"/>
        <v/>
      </c>
      <c r="Q716" s="18" t="str">
        <f t="shared" si="143"/>
        <v/>
      </c>
      <c r="R716" s="19" t="str">
        <f>IF(C716="","",IF(ISNA(MATCH(B716,'Registru oferte'!$B$5:$B$504,0)),"Oferta nu există în registru",IF(N(F716)&lt;=0,"Lipsește cantitatea",IF(AND(ISNUMBER(Q716),Q716&lt;MarjaMin),"Marjă sub minim ("&amp;TEXT(Q716*100,"0")&amp;"%)",""))))</f>
        <v/>
      </c>
      <c r="S716" s="1" t="str">
        <f>IF(B716="","",B716&amp;"|"&amp;COUNTIF($B$5:B716,B716))</f>
        <v/>
      </c>
    </row>
    <row r="717" spans="2:19" x14ac:dyDescent="0.2">
      <c r="B717" s="11"/>
      <c r="C717" s="11"/>
      <c r="D717" s="10" t="str">
        <f t="shared" si="132"/>
        <v/>
      </c>
      <c r="E717" s="15" t="str">
        <f t="shared" si="133"/>
        <v/>
      </c>
      <c r="F717" s="11"/>
      <c r="G717" s="16" t="str">
        <f t="shared" si="134"/>
        <v/>
      </c>
      <c r="H717" s="17"/>
      <c r="I717" s="16" t="str">
        <f t="shared" si="135"/>
        <v/>
      </c>
      <c r="J717" s="16" t="str">
        <f t="shared" si="136"/>
        <v/>
      </c>
      <c r="K717" s="18" t="str">
        <f t="shared" si="137"/>
        <v/>
      </c>
      <c r="L717" s="16" t="str">
        <f t="shared" si="138"/>
        <v/>
      </c>
      <c r="M717" s="16" t="str">
        <f t="shared" si="139"/>
        <v/>
      </c>
      <c r="N717" s="16" t="str">
        <f t="shared" si="140"/>
        <v/>
      </c>
      <c r="O717" s="16" t="str">
        <f t="shared" si="141"/>
        <v/>
      </c>
      <c r="P717" s="16" t="str">
        <f t="shared" si="142"/>
        <v/>
      </c>
      <c r="Q717" s="18" t="str">
        <f t="shared" si="143"/>
        <v/>
      </c>
      <c r="R717" s="19" t="str">
        <f>IF(C717="","",IF(ISNA(MATCH(B717,'Registru oferte'!$B$5:$B$504,0)),"Oferta nu există în registru",IF(N(F717)&lt;=0,"Lipsește cantitatea",IF(AND(ISNUMBER(Q717),Q717&lt;MarjaMin),"Marjă sub minim ("&amp;TEXT(Q717*100,"0")&amp;"%)",""))))</f>
        <v/>
      </c>
      <c r="S717" s="1" t="str">
        <f>IF(B717="","",B717&amp;"|"&amp;COUNTIF($B$5:B717,B717))</f>
        <v/>
      </c>
    </row>
    <row r="718" spans="2:19" x14ac:dyDescent="0.2">
      <c r="B718" s="11"/>
      <c r="C718" s="11"/>
      <c r="D718" s="10" t="str">
        <f t="shared" si="132"/>
        <v/>
      </c>
      <c r="E718" s="15" t="str">
        <f t="shared" si="133"/>
        <v/>
      </c>
      <c r="F718" s="11"/>
      <c r="G718" s="16" t="str">
        <f t="shared" si="134"/>
        <v/>
      </c>
      <c r="H718" s="17"/>
      <c r="I718" s="16" t="str">
        <f t="shared" si="135"/>
        <v/>
      </c>
      <c r="J718" s="16" t="str">
        <f t="shared" si="136"/>
        <v/>
      </c>
      <c r="K718" s="18" t="str">
        <f t="shared" si="137"/>
        <v/>
      </c>
      <c r="L718" s="16" t="str">
        <f t="shared" si="138"/>
        <v/>
      </c>
      <c r="M718" s="16" t="str">
        <f t="shared" si="139"/>
        <v/>
      </c>
      <c r="N718" s="16" t="str">
        <f t="shared" si="140"/>
        <v/>
      </c>
      <c r="O718" s="16" t="str">
        <f t="shared" si="141"/>
        <v/>
      </c>
      <c r="P718" s="16" t="str">
        <f t="shared" si="142"/>
        <v/>
      </c>
      <c r="Q718" s="18" t="str">
        <f t="shared" si="143"/>
        <v/>
      </c>
      <c r="R718" s="19" t="str">
        <f>IF(C718="","",IF(ISNA(MATCH(B718,'Registru oferte'!$B$5:$B$504,0)),"Oferta nu există în registru",IF(N(F718)&lt;=0,"Lipsește cantitatea",IF(AND(ISNUMBER(Q718),Q718&lt;MarjaMin),"Marjă sub minim ("&amp;TEXT(Q718*100,"0")&amp;"%)",""))))</f>
        <v/>
      </c>
      <c r="S718" s="1" t="str">
        <f>IF(B718="","",B718&amp;"|"&amp;COUNTIF($B$5:B718,B718))</f>
        <v/>
      </c>
    </row>
    <row r="719" spans="2:19" x14ac:dyDescent="0.2">
      <c r="B719" s="11"/>
      <c r="C719" s="11"/>
      <c r="D719" s="10" t="str">
        <f t="shared" si="132"/>
        <v/>
      </c>
      <c r="E719" s="15" t="str">
        <f t="shared" si="133"/>
        <v/>
      </c>
      <c r="F719" s="11"/>
      <c r="G719" s="16" t="str">
        <f t="shared" si="134"/>
        <v/>
      </c>
      <c r="H719" s="17"/>
      <c r="I719" s="16" t="str">
        <f t="shared" si="135"/>
        <v/>
      </c>
      <c r="J719" s="16" t="str">
        <f t="shared" si="136"/>
        <v/>
      </c>
      <c r="K719" s="18" t="str">
        <f t="shared" si="137"/>
        <v/>
      </c>
      <c r="L719" s="16" t="str">
        <f t="shared" si="138"/>
        <v/>
      </c>
      <c r="M719" s="16" t="str">
        <f t="shared" si="139"/>
        <v/>
      </c>
      <c r="N719" s="16" t="str">
        <f t="shared" si="140"/>
        <v/>
      </c>
      <c r="O719" s="16" t="str">
        <f t="shared" si="141"/>
        <v/>
      </c>
      <c r="P719" s="16" t="str">
        <f t="shared" si="142"/>
        <v/>
      </c>
      <c r="Q719" s="18" t="str">
        <f t="shared" si="143"/>
        <v/>
      </c>
      <c r="R719" s="19" t="str">
        <f>IF(C719="","",IF(ISNA(MATCH(B719,'Registru oferte'!$B$5:$B$504,0)),"Oferta nu există în registru",IF(N(F719)&lt;=0,"Lipsește cantitatea",IF(AND(ISNUMBER(Q719),Q719&lt;MarjaMin),"Marjă sub minim ("&amp;TEXT(Q719*100,"0")&amp;"%)",""))))</f>
        <v/>
      </c>
      <c r="S719" s="1" t="str">
        <f>IF(B719="","",B719&amp;"|"&amp;COUNTIF($B$5:B719,B719))</f>
        <v/>
      </c>
    </row>
    <row r="720" spans="2:19" x14ac:dyDescent="0.2">
      <c r="B720" s="11"/>
      <c r="C720" s="11"/>
      <c r="D720" s="10" t="str">
        <f t="shared" si="132"/>
        <v/>
      </c>
      <c r="E720" s="15" t="str">
        <f t="shared" si="133"/>
        <v/>
      </c>
      <c r="F720" s="11"/>
      <c r="G720" s="16" t="str">
        <f t="shared" si="134"/>
        <v/>
      </c>
      <c r="H720" s="17"/>
      <c r="I720" s="16" t="str">
        <f t="shared" si="135"/>
        <v/>
      </c>
      <c r="J720" s="16" t="str">
        <f t="shared" si="136"/>
        <v/>
      </c>
      <c r="K720" s="18" t="str">
        <f t="shared" si="137"/>
        <v/>
      </c>
      <c r="L720" s="16" t="str">
        <f t="shared" si="138"/>
        <v/>
      </c>
      <c r="M720" s="16" t="str">
        <f t="shared" si="139"/>
        <v/>
      </c>
      <c r="N720" s="16" t="str">
        <f t="shared" si="140"/>
        <v/>
      </c>
      <c r="O720" s="16" t="str">
        <f t="shared" si="141"/>
        <v/>
      </c>
      <c r="P720" s="16" t="str">
        <f t="shared" si="142"/>
        <v/>
      </c>
      <c r="Q720" s="18" t="str">
        <f t="shared" si="143"/>
        <v/>
      </c>
      <c r="R720" s="19" t="str">
        <f>IF(C720="","",IF(ISNA(MATCH(B720,'Registru oferte'!$B$5:$B$504,0)),"Oferta nu există în registru",IF(N(F720)&lt;=0,"Lipsește cantitatea",IF(AND(ISNUMBER(Q720),Q720&lt;MarjaMin),"Marjă sub minim ("&amp;TEXT(Q720*100,"0")&amp;"%)",""))))</f>
        <v/>
      </c>
      <c r="S720" s="1" t="str">
        <f>IF(B720="","",B720&amp;"|"&amp;COUNTIF($B$5:B720,B720))</f>
        <v/>
      </c>
    </row>
    <row r="721" spans="2:19" x14ac:dyDescent="0.2">
      <c r="B721" s="11"/>
      <c r="C721" s="11"/>
      <c r="D721" s="10" t="str">
        <f t="shared" si="132"/>
        <v/>
      </c>
      <c r="E721" s="15" t="str">
        <f t="shared" si="133"/>
        <v/>
      </c>
      <c r="F721" s="11"/>
      <c r="G721" s="16" t="str">
        <f t="shared" si="134"/>
        <v/>
      </c>
      <c r="H721" s="17"/>
      <c r="I721" s="16" t="str">
        <f t="shared" si="135"/>
        <v/>
      </c>
      <c r="J721" s="16" t="str">
        <f t="shared" si="136"/>
        <v/>
      </c>
      <c r="K721" s="18" t="str">
        <f t="shared" si="137"/>
        <v/>
      </c>
      <c r="L721" s="16" t="str">
        <f t="shared" si="138"/>
        <v/>
      </c>
      <c r="M721" s="16" t="str">
        <f t="shared" si="139"/>
        <v/>
      </c>
      <c r="N721" s="16" t="str">
        <f t="shared" si="140"/>
        <v/>
      </c>
      <c r="O721" s="16" t="str">
        <f t="shared" si="141"/>
        <v/>
      </c>
      <c r="P721" s="16" t="str">
        <f t="shared" si="142"/>
        <v/>
      </c>
      <c r="Q721" s="18" t="str">
        <f t="shared" si="143"/>
        <v/>
      </c>
      <c r="R721" s="19" t="str">
        <f>IF(C721="","",IF(ISNA(MATCH(B721,'Registru oferte'!$B$5:$B$504,0)),"Oferta nu există în registru",IF(N(F721)&lt;=0,"Lipsește cantitatea",IF(AND(ISNUMBER(Q721),Q721&lt;MarjaMin),"Marjă sub minim ("&amp;TEXT(Q721*100,"0")&amp;"%)",""))))</f>
        <v/>
      </c>
      <c r="S721" s="1" t="str">
        <f>IF(B721="","",B721&amp;"|"&amp;COUNTIF($B$5:B721,B721))</f>
        <v/>
      </c>
    </row>
    <row r="722" spans="2:19" x14ac:dyDescent="0.2">
      <c r="B722" s="11"/>
      <c r="C722" s="11"/>
      <c r="D722" s="10" t="str">
        <f t="shared" si="132"/>
        <v/>
      </c>
      <c r="E722" s="15" t="str">
        <f t="shared" si="133"/>
        <v/>
      </c>
      <c r="F722" s="11"/>
      <c r="G722" s="16" t="str">
        <f t="shared" si="134"/>
        <v/>
      </c>
      <c r="H722" s="17"/>
      <c r="I722" s="16" t="str">
        <f t="shared" si="135"/>
        <v/>
      </c>
      <c r="J722" s="16" t="str">
        <f t="shared" si="136"/>
        <v/>
      </c>
      <c r="K722" s="18" t="str">
        <f t="shared" si="137"/>
        <v/>
      </c>
      <c r="L722" s="16" t="str">
        <f t="shared" si="138"/>
        <v/>
      </c>
      <c r="M722" s="16" t="str">
        <f t="shared" si="139"/>
        <v/>
      </c>
      <c r="N722" s="16" t="str">
        <f t="shared" si="140"/>
        <v/>
      </c>
      <c r="O722" s="16" t="str">
        <f t="shared" si="141"/>
        <v/>
      </c>
      <c r="P722" s="16" t="str">
        <f t="shared" si="142"/>
        <v/>
      </c>
      <c r="Q722" s="18" t="str">
        <f t="shared" si="143"/>
        <v/>
      </c>
      <c r="R722" s="19" t="str">
        <f>IF(C722="","",IF(ISNA(MATCH(B722,'Registru oferte'!$B$5:$B$504,0)),"Oferta nu există în registru",IF(N(F722)&lt;=0,"Lipsește cantitatea",IF(AND(ISNUMBER(Q722),Q722&lt;MarjaMin),"Marjă sub minim ("&amp;TEXT(Q722*100,"0")&amp;"%)",""))))</f>
        <v/>
      </c>
      <c r="S722" s="1" t="str">
        <f>IF(B722="","",B722&amp;"|"&amp;COUNTIF($B$5:B722,B722))</f>
        <v/>
      </c>
    </row>
    <row r="723" spans="2:19" x14ac:dyDescent="0.2">
      <c r="B723" s="11"/>
      <c r="C723" s="11"/>
      <c r="D723" s="10" t="str">
        <f t="shared" si="132"/>
        <v/>
      </c>
      <c r="E723" s="15" t="str">
        <f t="shared" si="133"/>
        <v/>
      </c>
      <c r="F723" s="11"/>
      <c r="G723" s="16" t="str">
        <f t="shared" si="134"/>
        <v/>
      </c>
      <c r="H723" s="17"/>
      <c r="I723" s="16" t="str">
        <f t="shared" si="135"/>
        <v/>
      </c>
      <c r="J723" s="16" t="str">
        <f t="shared" si="136"/>
        <v/>
      </c>
      <c r="K723" s="18" t="str">
        <f t="shared" si="137"/>
        <v/>
      </c>
      <c r="L723" s="16" t="str">
        <f t="shared" si="138"/>
        <v/>
      </c>
      <c r="M723" s="16" t="str">
        <f t="shared" si="139"/>
        <v/>
      </c>
      <c r="N723" s="16" t="str">
        <f t="shared" si="140"/>
        <v/>
      </c>
      <c r="O723" s="16" t="str">
        <f t="shared" si="141"/>
        <v/>
      </c>
      <c r="P723" s="16" t="str">
        <f t="shared" si="142"/>
        <v/>
      </c>
      <c r="Q723" s="18" t="str">
        <f t="shared" si="143"/>
        <v/>
      </c>
      <c r="R723" s="19" t="str">
        <f>IF(C723="","",IF(ISNA(MATCH(B723,'Registru oferte'!$B$5:$B$504,0)),"Oferta nu există în registru",IF(N(F723)&lt;=0,"Lipsește cantitatea",IF(AND(ISNUMBER(Q723),Q723&lt;MarjaMin),"Marjă sub minim ("&amp;TEXT(Q723*100,"0")&amp;"%)",""))))</f>
        <v/>
      </c>
      <c r="S723" s="1" t="str">
        <f>IF(B723="","",B723&amp;"|"&amp;COUNTIF($B$5:B723,B723))</f>
        <v/>
      </c>
    </row>
    <row r="724" spans="2:19" x14ac:dyDescent="0.2">
      <c r="B724" s="11"/>
      <c r="C724" s="11"/>
      <c r="D724" s="10" t="str">
        <f t="shared" si="132"/>
        <v/>
      </c>
      <c r="E724" s="15" t="str">
        <f t="shared" si="133"/>
        <v/>
      </c>
      <c r="F724" s="11"/>
      <c r="G724" s="16" t="str">
        <f t="shared" si="134"/>
        <v/>
      </c>
      <c r="H724" s="17"/>
      <c r="I724" s="16" t="str">
        <f t="shared" si="135"/>
        <v/>
      </c>
      <c r="J724" s="16" t="str">
        <f t="shared" si="136"/>
        <v/>
      </c>
      <c r="K724" s="18" t="str">
        <f t="shared" si="137"/>
        <v/>
      </c>
      <c r="L724" s="16" t="str">
        <f t="shared" si="138"/>
        <v/>
      </c>
      <c r="M724" s="16" t="str">
        <f t="shared" si="139"/>
        <v/>
      </c>
      <c r="N724" s="16" t="str">
        <f t="shared" si="140"/>
        <v/>
      </c>
      <c r="O724" s="16" t="str">
        <f t="shared" si="141"/>
        <v/>
      </c>
      <c r="P724" s="16" t="str">
        <f t="shared" si="142"/>
        <v/>
      </c>
      <c r="Q724" s="18" t="str">
        <f t="shared" si="143"/>
        <v/>
      </c>
      <c r="R724" s="19" t="str">
        <f>IF(C724="","",IF(ISNA(MATCH(B724,'Registru oferte'!$B$5:$B$504,0)),"Oferta nu există în registru",IF(N(F724)&lt;=0,"Lipsește cantitatea",IF(AND(ISNUMBER(Q724),Q724&lt;MarjaMin),"Marjă sub minim ("&amp;TEXT(Q724*100,"0")&amp;"%)",""))))</f>
        <v/>
      </c>
      <c r="S724" s="1" t="str">
        <f>IF(B724="","",B724&amp;"|"&amp;COUNTIF($B$5:B724,B724))</f>
        <v/>
      </c>
    </row>
    <row r="725" spans="2:19" x14ac:dyDescent="0.2">
      <c r="B725" s="11"/>
      <c r="C725" s="11"/>
      <c r="D725" s="10" t="str">
        <f t="shared" si="132"/>
        <v/>
      </c>
      <c r="E725" s="15" t="str">
        <f t="shared" si="133"/>
        <v/>
      </c>
      <c r="F725" s="11"/>
      <c r="G725" s="16" t="str">
        <f t="shared" si="134"/>
        <v/>
      </c>
      <c r="H725" s="17"/>
      <c r="I725" s="16" t="str">
        <f t="shared" si="135"/>
        <v/>
      </c>
      <c r="J725" s="16" t="str">
        <f t="shared" si="136"/>
        <v/>
      </c>
      <c r="K725" s="18" t="str">
        <f t="shared" si="137"/>
        <v/>
      </c>
      <c r="L725" s="16" t="str">
        <f t="shared" si="138"/>
        <v/>
      </c>
      <c r="M725" s="16" t="str">
        <f t="shared" si="139"/>
        <v/>
      </c>
      <c r="N725" s="16" t="str">
        <f t="shared" si="140"/>
        <v/>
      </c>
      <c r="O725" s="16" t="str">
        <f t="shared" si="141"/>
        <v/>
      </c>
      <c r="P725" s="16" t="str">
        <f t="shared" si="142"/>
        <v/>
      </c>
      <c r="Q725" s="18" t="str">
        <f t="shared" si="143"/>
        <v/>
      </c>
      <c r="R725" s="19" t="str">
        <f>IF(C725="","",IF(ISNA(MATCH(B725,'Registru oferte'!$B$5:$B$504,0)),"Oferta nu există în registru",IF(N(F725)&lt;=0,"Lipsește cantitatea",IF(AND(ISNUMBER(Q725),Q725&lt;MarjaMin),"Marjă sub minim ("&amp;TEXT(Q725*100,"0")&amp;"%)",""))))</f>
        <v/>
      </c>
      <c r="S725" s="1" t="str">
        <f>IF(B725="","",B725&amp;"|"&amp;COUNTIF($B$5:B725,B725))</f>
        <v/>
      </c>
    </row>
    <row r="726" spans="2:19" x14ac:dyDescent="0.2">
      <c r="B726" s="11"/>
      <c r="C726" s="11"/>
      <c r="D726" s="10" t="str">
        <f t="shared" si="132"/>
        <v/>
      </c>
      <c r="E726" s="15" t="str">
        <f t="shared" si="133"/>
        <v/>
      </c>
      <c r="F726" s="11"/>
      <c r="G726" s="16" t="str">
        <f t="shared" si="134"/>
        <v/>
      </c>
      <c r="H726" s="17"/>
      <c r="I726" s="16" t="str">
        <f t="shared" si="135"/>
        <v/>
      </c>
      <c r="J726" s="16" t="str">
        <f t="shared" si="136"/>
        <v/>
      </c>
      <c r="K726" s="18" t="str">
        <f t="shared" si="137"/>
        <v/>
      </c>
      <c r="L726" s="16" t="str">
        <f t="shared" si="138"/>
        <v/>
      </c>
      <c r="M726" s="16" t="str">
        <f t="shared" si="139"/>
        <v/>
      </c>
      <c r="N726" s="16" t="str">
        <f t="shared" si="140"/>
        <v/>
      </c>
      <c r="O726" s="16" t="str">
        <f t="shared" si="141"/>
        <v/>
      </c>
      <c r="P726" s="16" t="str">
        <f t="shared" si="142"/>
        <v/>
      </c>
      <c r="Q726" s="18" t="str">
        <f t="shared" si="143"/>
        <v/>
      </c>
      <c r="R726" s="19" t="str">
        <f>IF(C726="","",IF(ISNA(MATCH(B726,'Registru oferte'!$B$5:$B$504,0)),"Oferta nu există în registru",IF(N(F726)&lt;=0,"Lipsește cantitatea",IF(AND(ISNUMBER(Q726),Q726&lt;MarjaMin),"Marjă sub minim ("&amp;TEXT(Q726*100,"0")&amp;"%)",""))))</f>
        <v/>
      </c>
      <c r="S726" s="1" t="str">
        <f>IF(B726="","",B726&amp;"|"&amp;COUNTIF($B$5:B726,B726))</f>
        <v/>
      </c>
    </row>
    <row r="727" spans="2:19" x14ac:dyDescent="0.2">
      <c r="B727" s="11"/>
      <c r="C727" s="11"/>
      <c r="D727" s="10" t="str">
        <f t="shared" si="132"/>
        <v/>
      </c>
      <c r="E727" s="15" t="str">
        <f t="shared" si="133"/>
        <v/>
      </c>
      <c r="F727" s="11"/>
      <c r="G727" s="16" t="str">
        <f t="shared" si="134"/>
        <v/>
      </c>
      <c r="H727" s="17"/>
      <c r="I727" s="16" t="str">
        <f t="shared" si="135"/>
        <v/>
      </c>
      <c r="J727" s="16" t="str">
        <f t="shared" si="136"/>
        <v/>
      </c>
      <c r="K727" s="18" t="str">
        <f t="shared" si="137"/>
        <v/>
      </c>
      <c r="L727" s="16" t="str">
        <f t="shared" si="138"/>
        <v/>
      </c>
      <c r="M727" s="16" t="str">
        <f t="shared" si="139"/>
        <v/>
      </c>
      <c r="N727" s="16" t="str">
        <f t="shared" si="140"/>
        <v/>
      </c>
      <c r="O727" s="16" t="str">
        <f t="shared" si="141"/>
        <v/>
      </c>
      <c r="P727" s="16" t="str">
        <f t="shared" si="142"/>
        <v/>
      </c>
      <c r="Q727" s="18" t="str">
        <f t="shared" si="143"/>
        <v/>
      </c>
      <c r="R727" s="19" t="str">
        <f>IF(C727="","",IF(ISNA(MATCH(B727,'Registru oferte'!$B$5:$B$504,0)),"Oferta nu există în registru",IF(N(F727)&lt;=0,"Lipsește cantitatea",IF(AND(ISNUMBER(Q727),Q727&lt;MarjaMin),"Marjă sub minim ("&amp;TEXT(Q727*100,"0")&amp;"%)",""))))</f>
        <v/>
      </c>
      <c r="S727" s="1" t="str">
        <f>IF(B727="","",B727&amp;"|"&amp;COUNTIF($B$5:B727,B727))</f>
        <v/>
      </c>
    </row>
    <row r="728" spans="2:19" x14ac:dyDescent="0.2">
      <c r="B728" s="11"/>
      <c r="C728" s="11"/>
      <c r="D728" s="10" t="str">
        <f t="shared" si="132"/>
        <v/>
      </c>
      <c r="E728" s="15" t="str">
        <f t="shared" si="133"/>
        <v/>
      </c>
      <c r="F728" s="11"/>
      <c r="G728" s="16" t="str">
        <f t="shared" si="134"/>
        <v/>
      </c>
      <c r="H728" s="17"/>
      <c r="I728" s="16" t="str">
        <f t="shared" si="135"/>
        <v/>
      </c>
      <c r="J728" s="16" t="str">
        <f t="shared" si="136"/>
        <v/>
      </c>
      <c r="K728" s="18" t="str">
        <f t="shared" si="137"/>
        <v/>
      </c>
      <c r="L728" s="16" t="str">
        <f t="shared" si="138"/>
        <v/>
      </c>
      <c r="M728" s="16" t="str">
        <f t="shared" si="139"/>
        <v/>
      </c>
      <c r="N728" s="16" t="str">
        <f t="shared" si="140"/>
        <v/>
      </c>
      <c r="O728" s="16" t="str">
        <f t="shared" si="141"/>
        <v/>
      </c>
      <c r="P728" s="16" t="str">
        <f t="shared" si="142"/>
        <v/>
      </c>
      <c r="Q728" s="18" t="str">
        <f t="shared" si="143"/>
        <v/>
      </c>
      <c r="R728" s="19" t="str">
        <f>IF(C728="","",IF(ISNA(MATCH(B728,'Registru oferte'!$B$5:$B$504,0)),"Oferta nu există în registru",IF(N(F728)&lt;=0,"Lipsește cantitatea",IF(AND(ISNUMBER(Q728),Q728&lt;MarjaMin),"Marjă sub minim ("&amp;TEXT(Q728*100,"0")&amp;"%)",""))))</f>
        <v/>
      </c>
      <c r="S728" s="1" t="str">
        <f>IF(B728="","",B728&amp;"|"&amp;COUNTIF($B$5:B728,B728))</f>
        <v/>
      </c>
    </row>
    <row r="729" spans="2:19" x14ac:dyDescent="0.2">
      <c r="B729" s="11"/>
      <c r="C729" s="11"/>
      <c r="D729" s="10" t="str">
        <f t="shared" si="132"/>
        <v/>
      </c>
      <c r="E729" s="15" t="str">
        <f t="shared" si="133"/>
        <v/>
      </c>
      <c r="F729" s="11"/>
      <c r="G729" s="16" t="str">
        <f t="shared" si="134"/>
        <v/>
      </c>
      <c r="H729" s="17"/>
      <c r="I729" s="16" t="str">
        <f t="shared" si="135"/>
        <v/>
      </c>
      <c r="J729" s="16" t="str">
        <f t="shared" si="136"/>
        <v/>
      </c>
      <c r="K729" s="18" t="str">
        <f t="shared" si="137"/>
        <v/>
      </c>
      <c r="L729" s="16" t="str">
        <f t="shared" si="138"/>
        <v/>
      </c>
      <c r="M729" s="16" t="str">
        <f t="shared" si="139"/>
        <v/>
      </c>
      <c r="N729" s="16" t="str">
        <f t="shared" si="140"/>
        <v/>
      </c>
      <c r="O729" s="16" t="str">
        <f t="shared" si="141"/>
        <v/>
      </c>
      <c r="P729" s="16" t="str">
        <f t="shared" si="142"/>
        <v/>
      </c>
      <c r="Q729" s="18" t="str">
        <f t="shared" si="143"/>
        <v/>
      </c>
      <c r="R729" s="19" t="str">
        <f>IF(C729="","",IF(ISNA(MATCH(B729,'Registru oferte'!$B$5:$B$504,0)),"Oferta nu există în registru",IF(N(F729)&lt;=0,"Lipsește cantitatea",IF(AND(ISNUMBER(Q729),Q729&lt;MarjaMin),"Marjă sub minim ("&amp;TEXT(Q729*100,"0")&amp;"%)",""))))</f>
        <v/>
      </c>
      <c r="S729" s="1" t="str">
        <f>IF(B729="","",B729&amp;"|"&amp;COUNTIF($B$5:B729,B729))</f>
        <v/>
      </c>
    </row>
    <row r="730" spans="2:19" x14ac:dyDescent="0.2">
      <c r="B730" s="11"/>
      <c r="C730" s="11"/>
      <c r="D730" s="10" t="str">
        <f t="shared" si="132"/>
        <v/>
      </c>
      <c r="E730" s="15" t="str">
        <f t="shared" si="133"/>
        <v/>
      </c>
      <c r="F730" s="11"/>
      <c r="G730" s="16" t="str">
        <f t="shared" si="134"/>
        <v/>
      </c>
      <c r="H730" s="17"/>
      <c r="I730" s="16" t="str">
        <f t="shared" si="135"/>
        <v/>
      </c>
      <c r="J730" s="16" t="str">
        <f t="shared" si="136"/>
        <v/>
      </c>
      <c r="K730" s="18" t="str">
        <f t="shared" si="137"/>
        <v/>
      </c>
      <c r="L730" s="16" t="str">
        <f t="shared" si="138"/>
        <v/>
      </c>
      <c r="M730" s="16" t="str">
        <f t="shared" si="139"/>
        <v/>
      </c>
      <c r="N730" s="16" t="str">
        <f t="shared" si="140"/>
        <v/>
      </c>
      <c r="O730" s="16" t="str">
        <f t="shared" si="141"/>
        <v/>
      </c>
      <c r="P730" s="16" t="str">
        <f t="shared" si="142"/>
        <v/>
      </c>
      <c r="Q730" s="18" t="str">
        <f t="shared" si="143"/>
        <v/>
      </c>
      <c r="R730" s="19" t="str">
        <f>IF(C730="","",IF(ISNA(MATCH(B730,'Registru oferte'!$B$5:$B$504,0)),"Oferta nu există în registru",IF(N(F730)&lt;=0,"Lipsește cantitatea",IF(AND(ISNUMBER(Q730),Q730&lt;MarjaMin),"Marjă sub minim ("&amp;TEXT(Q730*100,"0")&amp;"%)",""))))</f>
        <v/>
      </c>
      <c r="S730" s="1" t="str">
        <f>IF(B730="","",B730&amp;"|"&amp;COUNTIF($B$5:B730,B730))</f>
        <v/>
      </c>
    </row>
    <row r="731" spans="2:19" x14ac:dyDescent="0.2">
      <c r="B731" s="11"/>
      <c r="C731" s="11"/>
      <c r="D731" s="10" t="str">
        <f t="shared" si="132"/>
        <v/>
      </c>
      <c r="E731" s="15" t="str">
        <f t="shared" si="133"/>
        <v/>
      </c>
      <c r="F731" s="11"/>
      <c r="G731" s="16" t="str">
        <f t="shared" si="134"/>
        <v/>
      </c>
      <c r="H731" s="17"/>
      <c r="I731" s="16" t="str">
        <f t="shared" si="135"/>
        <v/>
      </c>
      <c r="J731" s="16" t="str">
        <f t="shared" si="136"/>
        <v/>
      </c>
      <c r="K731" s="18" t="str">
        <f t="shared" si="137"/>
        <v/>
      </c>
      <c r="L731" s="16" t="str">
        <f t="shared" si="138"/>
        <v/>
      </c>
      <c r="M731" s="16" t="str">
        <f t="shared" si="139"/>
        <v/>
      </c>
      <c r="N731" s="16" t="str">
        <f t="shared" si="140"/>
        <v/>
      </c>
      <c r="O731" s="16" t="str">
        <f t="shared" si="141"/>
        <v/>
      </c>
      <c r="P731" s="16" t="str">
        <f t="shared" si="142"/>
        <v/>
      </c>
      <c r="Q731" s="18" t="str">
        <f t="shared" si="143"/>
        <v/>
      </c>
      <c r="R731" s="19" t="str">
        <f>IF(C731="","",IF(ISNA(MATCH(B731,'Registru oferte'!$B$5:$B$504,0)),"Oferta nu există în registru",IF(N(F731)&lt;=0,"Lipsește cantitatea",IF(AND(ISNUMBER(Q731),Q731&lt;MarjaMin),"Marjă sub minim ("&amp;TEXT(Q731*100,"0")&amp;"%)",""))))</f>
        <v/>
      </c>
      <c r="S731" s="1" t="str">
        <f>IF(B731="","",B731&amp;"|"&amp;COUNTIF($B$5:B731,B731))</f>
        <v/>
      </c>
    </row>
    <row r="732" spans="2:19" x14ac:dyDescent="0.2">
      <c r="B732" s="11"/>
      <c r="C732" s="11"/>
      <c r="D732" s="10" t="str">
        <f t="shared" si="132"/>
        <v/>
      </c>
      <c r="E732" s="15" t="str">
        <f t="shared" si="133"/>
        <v/>
      </c>
      <c r="F732" s="11"/>
      <c r="G732" s="16" t="str">
        <f t="shared" si="134"/>
        <v/>
      </c>
      <c r="H732" s="17"/>
      <c r="I732" s="16" t="str">
        <f t="shared" si="135"/>
        <v/>
      </c>
      <c r="J732" s="16" t="str">
        <f t="shared" si="136"/>
        <v/>
      </c>
      <c r="K732" s="18" t="str">
        <f t="shared" si="137"/>
        <v/>
      </c>
      <c r="L732" s="16" t="str">
        <f t="shared" si="138"/>
        <v/>
      </c>
      <c r="M732" s="16" t="str">
        <f t="shared" si="139"/>
        <v/>
      </c>
      <c r="N732" s="16" t="str">
        <f t="shared" si="140"/>
        <v/>
      </c>
      <c r="O732" s="16" t="str">
        <f t="shared" si="141"/>
        <v/>
      </c>
      <c r="P732" s="16" t="str">
        <f t="shared" si="142"/>
        <v/>
      </c>
      <c r="Q732" s="18" t="str">
        <f t="shared" si="143"/>
        <v/>
      </c>
      <c r="R732" s="19" t="str">
        <f>IF(C732="","",IF(ISNA(MATCH(B732,'Registru oferte'!$B$5:$B$504,0)),"Oferta nu există în registru",IF(N(F732)&lt;=0,"Lipsește cantitatea",IF(AND(ISNUMBER(Q732),Q732&lt;MarjaMin),"Marjă sub minim ("&amp;TEXT(Q732*100,"0")&amp;"%)",""))))</f>
        <v/>
      </c>
      <c r="S732" s="1" t="str">
        <f>IF(B732="","",B732&amp;"|"&amp;COUNTIF($B$5:B732,B732))</f>
        <v/>
      </c>
    </row>
    <row r="733" spans="2:19" x14ac:dyDescent="0.2">
      <c r="B733" s="11"/>
      <c r="C733" s="11"/>
      <c r="D733" s="10" t="str">
        <f t="shared" si="132"/>
        <v/>
      </c>
      <c r="E733" s="15" t="str">
        <f t="shared" si="133"/>
        <v/>
      </c>
      <c r="F733" s="11"/>
      <c r="G733" s="16" t="str">
        <f t="shared" si="134"/>
        <v/>
      </c>
      <c r="H733" s="17"/>
      <c r="I733" s="16" t="str">
        <f t="shared" si="135"/>
        <v/>
      </c>
      <c r="J733" s="16" t="str">
        <f t="shared" si="136"/>
        <v/>
      </c>
      <c r="K733" s="18" t="str">
        <f t="shared" si="137"/>
        <v/>
      </c>
      <c r="L733" s="16" t="str">
        <f t="shared" si="138"/>
        <v/>
      </c>
      <c r="M733" s="16" t="str">
        <f t="shared" si="139"/>
        <v/>
      </c>
      <c r="N733" s="16" t="str">
        <f t="shared" si="140"/>
        <v/>
      </c>
      <c r="O733" s="16" t="str">
        <f t="shared" si="141"/>
        <v/>
      </c>
      <c r="P733" s="16" t="str">
        <f t="shared" si="142"/>
        <v/>
      </c>
      <c r="Q733" s="18" t="str">
        <f t="shared" si="143"/>
        <v/>
      </c>
      <c r="R733" s="19" t="str">
        <f>IF(C733="","",IF(ISNA(MATCH(B733,'Registru oferte'!$B$5:$B$504,0)),"Oferta nu există în registru",IF(N(F733)&lt;=0,"Lipsește cantitatea",IF(AND(ISNUMBER(Q733),Q733&lt;MarjaMin),"Marjă sub minim ("&amp;TEXT(Q733*100,"0")&amp;"%)",""))))</f>
        <v/>
      </c>
      <c r="S733" s="1" t="str">
        <f>IF(B733="","",B733&amp;"|"&amp;COUNTIF($B$5:B733,B733))</f>
        <v/>
      </c>
    </row>
    <row r="734" spans="2:19" x14ac:dyDescent="0.2">
      <c r="B734" s="11"/>
      <c r="C734" s="11"/>
      <c r="D734" s="10" t="str">
        <f t="shared" si="132"/>
        <v/>
      </c>
      <c r="E734" s="15" t="str">
        <f t="shared" si="133"/>
        <v/>
      </c>
      <c r="F734" s="11"/>
      <c r="G734" s="16" t="str">
        <f t="shared" si="134"/>
        <v/>
      </c>
      <c r="H734" s="17"/>
      <c r="I734" s="16" t="str">
        <f t="shared" si="135"/>
        <v/>
      </c>
      <c r="J734" s="16" t="str">
        <f t="shared" si="136"/>
        <v/>
      </c>
      <c r="K734" s="18" t="str">
        <f t="shared" si="137"/>
        <v/>
      </c>
      <c r="L734" s="16" t="str">
        <f t="shared" si="138"/>
        <v/>
      </c>
      <c r="M734" s="16" t="str">
        <f t="shared" si="139"/>
        <v/>
      </c>
      <c r="N734" s="16" t="str">
        <f t="shared" si="140"/>
        <v/>
      </c>
      <c r="O734" s="16" t="str">
        <f t="shared" si="141"/>
        <v/>
      </c>
      <c r="P734" s="16" t="str">
        <f t="shared" si="142"/>
        <v/>
      </c>
      <c r="Q734" s="18" t="str">
        <f t="shared" si="143"/>
        <v/>
      </c>
      <c r="R734" s="19" t="str">
        <f>IF(C734="","",IF(ISNA(MATCH(B734,'Registru oferte'!$B$5:$B$504,0)),"Oferta nu există în registru",IF(N(F734)&lt;=0,"Lipsește cantitatea",IF(AND(ISNUMBER(Q734),Q734&lt;MarjaMin),"Marjă sub minim ("&amp;TEXT(Q734*100,"0")&amp;"%)",""))))</f>
        <v/>
      </c>
      <c r="S734" s="1" t="str">
        <f>IF(B734="","",B734&amp;"|"&amp;COUNTIF($B$5:B734,B734))</f>
        <v/>
      </c>
    </row>
    <row r="735" spans="2:19" x14ac:dyDescent="0.2">
      <c r="B735" s="11"/>
      <c r="C735" s="11"/>
      <c r="D735" s="10" t="str">
        <f t="shared" si="132"/>
        <v/>
      </c>
      <c r="E735" s="15" t="str">
        <f t="shared" si="133"/>
        <v/>
      </c>
      <c r="F735" s="11"/>
      <c r="G735" s="16" t="str">
        <f t="shared" si="134"/>
        <v/>
      </c>
      <c r="H735" s="17"/>
      <c r="I735" s="16" t="str">
        <f t="shared" si="135"/>
        <v/>
      </c>
      <c r="J735" s="16" t="str">
        <f t="shared" si="136"/>
        <v/>
      </c>
      <c r="K735" s="18" t="str">
        <f t="shared" si="137"/>
        <v/>
      </c>
      <c r="L735" s="16" t="str">
        <f t="shared" si="138"/>
        <v/>
      </c>
      <c r="M735" s="16" t="str">
        <f t="shared" si="139"/>
        <v/>
      </c>
      <c r="N735" s="16" t="str">
        <f t="shared" si="140"/>
        <v/>
      </c>
      <c r="O735" s="16" t="str">
        <f t="shared" si="141"/>
        <v/>
      </c>
      <c r="P735" s="16" t="str">
        <f t="shared" si="142"/>
        <v/>
      </c>
      <c r="Q735" s="18" t="str">
        <f t="shared" si="143"/>
        <v/>
      </c>
      <c r="R735" s="19" t="str">
        <f>IF(C735="","",IF(ISNA(MATCH(B735,'Registru oferte'!$B$5:$B$504,0)),"Oferta nu există în registru",IF(N(F735)&lt;=0,"Lipsește cantitatea",IF(AND(ISNUMBER(Q735),Q735&lt;MarjaMin),"Marjă sub minim ("&amp;TEXT(Q735*100,"0")&amp;"%)",""))))</f>
        <v/>
      </c>
      <c r="S735" s="1" t="str">
        <f>IF(B735="","",B735&amp;"|"&amp;COUNTIF($B$5:B735,B735))</f>
        <v/>
      </c>
    </row>
    <row r="736" spans="2:19" x14ac:dyDescent="0.2">
      <c r="B736" s="11"/>
      <c r="C736" s="11"/>
      <c r="D736" s="10" t="str">
        <f t="shared" si="132"/>
        <v/>
      </c>
      <c r="E736" s="15" t="str">
        <f t="shared" si="133"/>
        <v/>
      </c>
      <c r="F736" s="11"/>
      <c r="G736" s="16" t="str">
        <f t="shared" si="134"/>
        <v/>
      </c>
      <c r="H736" s="17"/>
      <c r="I736" s="16" t="str">
        <f t="shared" si="135"/>
        <v/>
      </c>
      <c r="J736" s="16" t="str">
        <f t="shared" si="136"/>
        <v/>
      </c>
      <c r="K736" s="18" t="str">
        <f t="shared" si="137"/>
        <v/>
      </c>
      <c r="L736" s="16" t="str">
        <f t="shared" si="138"/>
        <v/>
      </c>
      <c r="M736" s="16" t="str">
        <f t="shared" si="139"/>
        <v/>
      </c>
      <c r="N736" s="16" t="str">
        <f t="shared" si="140"/>
        <v/>
      </c>
      <c r="O736" s="16" t="str">
        <f t="shared" si="141"/>
        <v/>
      </c>
      <c r="P736" s="16" t="str">
        <f t="shared" si="142"/>
        <v/>
      </c>
      <c r="Q736" s="18" t="str">
        <f t="shared" si="143"/>
        <v/>
      </c>
      <c r="R736" s="19" t="str">
        <f>IF(C736="","",IF(ISNA(MATCH(B736,'Registru oferte'!$B$5:$B$504,0)),"Oferta nu există în registru",IF(N(F736)&lt;=0,"Lipsește cantitatea",IF(AND(ISNUMBER(Q736),Q736&lt;MarjaMin),"Marjă sub minim ("&amp;TEXT(Q736*100,"0")&amp;"%)",""))))</f>
        <v/>
      </c>
      <c r="S736" s="1" t="str">
        <f>IF(B736="","",B736&amp;"|"&amp;COUNTIF($B$5:B736,B736))</f>
        <v/>
      </c>
    </row>
    <row r="737" spans="2:19" x14ac:dyDescent="0.2">
      <c r="B737" s="11"/>
      <c r="C737" s="11"/>
      <c r="D737" s="10" t="str">
        <f t="shared" si="132"/>
        <v/>
      </c>
      <c r="E737" s="15" t="str">
        <f t="shared" si="133"/>
        <v/>
      </c>
      <c r="F737" s="11"/>
      <c r="G737" s="16" t="str">
        <f t="shared" si="134"/>
        <v/>
      </c>
      <c r="H737" s="17"/>
      <c r="I737" s="16" t="str">
        <f t="shared" si="135"/>
        <v/>
      </c>
      <c r="J737" s="16" t="str">
        <f t="shared" si="136"/>
        <v/>
      </c>
      <c r="K737" s="18" t="str">
        <f t="shared" si="137"/>
        <v/>
      </c>
      <c r="L737" s="16" t="str">
        <f t="shared" si="138"/>
        <v/>
      </c>
      <c r="M737" s="16" t="str">
        <f t="shared" si="139"/>
        <v/>
      </c>
      <c r="N737" s="16" t="str">
        <f t="shared" si="140"/>
        <v/>
      </c>
      <c r="O737" s="16" t="str">
        <f t="shared" si="141"/>
        <v/>
      </c>
      <c r="P737" s="16" t="str">
        <f t="shared" si="142"/>
        <v/>
      </c>
      <c r="Q737" s="18" t="str">
        <f t="shared" si="143"/>
        <v/>
      </c>
      <c r="R737" s="19" t="str">
        <f>IF(C737="","",IF(ISNA(MATCH(B737,'Registru oferte'!$B$5:$B$504,0)),"Oferta nu există în registru",IF(N(F737)&lt;=0,"Lipsește cantitatea",IF(AND(ISNUMBER(Q737),Q737&lt;MarjaMin),"Marjă sub minim ("&amp;TEXT(Q737*100,"0")&amp;"%)",""))))</f>
        <v/>
      </c>
      <c r="S737" s="1" t="str">
        <f>IF(B737="","",B737&amp;"|"&amp;COUNTIF($B$5:B737,B737))</f>
        <v/>
      </c>
    </row>
    <row r="738" spans="2:19" x14ac:dyDescent="0.2">
      <c r="B738" s="11"/>
      <c r="C738" s="11"/>
      <c r="D738" s="10" t="str">
        <f t="shared" si="132"/>
        <v/>
      </c>
      <c r="E738" s="15" t="str">
        <f t="shared" si="133"/>
        <v/>
      </c>
      <c r="F738" s="11"/>
      <c r="G738" s="16" t="str">
        <f t="shared" si="134"/>
        <v/>
      </c>
      <c r="H738" s="17"/>
      <c r="I738" s="16" t="str">
        <f t="shared" si="135"/>
        <v/>
      </c>
      <c r="J738" s="16" t="str">
        <f t="shared" si="136"/>
        <v/>
      </c>
      <c r="K738" s="18" t="str">
        <f t="shared" si="137"/>
        <v/>
      </c>
      <c r="L738" s="16" t="str">
        <f t="shared" si="138"/>
        <v/>
      </c>
      <c r="M738" s="16" t="str">
        <f t="shared" si="139"/>
        <v/>
      </c>
      <c r="N738" s="16" t="str">
        <f t="shared" si="140"/>
        <v/>
      </c>
      <c r="O738" s="16" t="str">
        <f t="shared" si="141"/>
        <v/>
      </c>
      <c r="P738" s="16" t="str">
        <f t="shared" si="142"/>
        <v/>
      </c>
      <c r="Q738" s="18" t="str">
        <f t="shared" si="143"/>
        <v/>
      </c>
      <c r="R738" s="19" t="str">
        <f>IF(C738="","",IF(ISNA(MATCH(B738,'Registru oferte'!$B$5:$B$504,0)),"Oferta nu există în registru",IF(N(F738)&lt;=0,"Lipsește cantitatea",IF(AND(ISNUMBER(Q738),Q738&lt;MarjaMin),"Marjă sub minim ("&amp;TEXT(Q738*100,"0")&amp;"%)",""))))</f>
        <v/>
      </c>
      <c r="S738" s="1" t="str">
        <f>IF(B738="","",B738&amp;"|"&amp;COUNTIF($B$5:B738,B738))</f>
        <v/>
      </c>
    </row>
    <row r="739" spans="2:19" x14ac:dyDescent="0.2">
      <c r="B739" s="11"/>
      <c r="C739" s="11"/>
      <c r="D739" s="10" t="str">
        <f t="shared" si="132"/>
        <v/>
      </c>
      <c r="E739" s="15" t="str">
        <f t="shared" si="133"/>
        <v/>
      </c>
      <c r="F739" s="11"/>
      <c r="G739" s="16" t="str">
        <f t="shared" si="134"/>
        <v/>
      </c>
      <c r="H739" s="17"/>
      <c r="I739" s="16" t="str">
        <f t="shared" si="135"/>
        <v/>
      </c>
      <c r="J739" s="16" t="str">
        <f t="shared" si="136"/>
        <v/>
      </c>
      <c r="K739" s="18" t="str">
        <f t="shared" si="137"/>
        <v/>
      </c>
      <c r="L739" s="16" t="str">
        <f t="shared" si="138"/>
        <v/>
      </c>
      <c r="M739" s="16" t="str">
        <f t="shared" si="139"/>
        <v/>
      </c>
      <c r="N739" s="16" t="str">
        <f t="shared" si="140"/>
        <v/>
      </c>
      <c r="O739" s="16" t="str">
        <f t="shared" si="141"/>
        <v/>
      </c>
      <c r="P739" s="16" t="str">
        <f t="shared" si="142"/>
        <v/>
      </c>
      <c r="Q739" s="18" t="str">
        <f t="shared" si="143"/>
        <v/>
      </c>
      <c r="R739" s="19" t="str">
        <f>IF(C739="","",IF(ISNA(MATCH(B739,'Registru oferte'!$B$5:$B$504,0)),"Oferta nu există în registru",IF(N(F739)&lt;=0,"Lipsește cantitatea",IF(AND(ISNUMBER(Q739),Q739&lt;MarjaMin),"Marjă sub minim ("&amp;TEXT(Q739*100,"0")&amp;"%)",""))))</f>
        <v/>
      </c>
      <c r="S739" s="1" t="str">
        <f>IF(B739="","",B739&amp;"|"&amp;COUNTIF($B$5:B739,B739))</f>
        <v/>
      </c>
    </row>
    <row r="740" spans="2:19" x14ac:dyDescent="0.2">
      <c r="B740" s="11"/>
      <c r="C740" s="11"/>
      <c r="D740" s="10" t="str">
        <f t="shared" si="132"/>
        <v/>
      </c>
      <c r="E740" s="15" t="str">
        <f t="shared" si="133"/>
        <v/>
      </c>
      <c r="F740" s="11"/>
      <c r="G740" s="16" t="str">
        <f t="shared" si="134"/>
        <v/>
      </c>
      <c r="H740" s="17"/>
      <c r="I740" s="16" t="str">
        <f t="shared" si="135"/>
        <v/>
      </c>
      <c r="J740" s="16" t="str">
        <f t="shared" si="136"/>
        <v/>
      </c>
      <c r="K740" s="18" t="str">
        <f t="shared" si="137"/>
        <v/>
      </c>
      <c r="L740" s="16" t="str">
        <f t="shared" si="138"/>
        <v/>
      </c>
      <c r="M740" s="16" t="str">
        <f t="shared" si="139"/>
        <v/>
      </c>
      <c r="N740" s="16" t="str">
        <f t="shared" si="140"/>
        <v/>
      </c>
      <c r="O740" s="16" t="str">
        <f t="shared" si="141"/>
        <v/>
      </c>
      <c r="P740" s="16" t="str">
        <f t="shared" si="142"/>
        <v/>
      </c>
      <c r="Q740" s="18" t="str">
        <f t="shared" si="143"/>
        <v/>
      </c>
      <c r="R740" s="19" t="str">
        <f>IF(C740="","",IF(ISNA(MATCH(B740,'Registru oferte'!$B$5:$B$504,0)),"Oferta nu există în registru",IF(N(F740)&lt;=0,"Lipsește cantitatea",IF(AND(ISNUMBER(Q740),Q740&lt;MarjaMin),"Marjă sub minim ("&amp;TEXT(Q740*100,"0")&amp;"%)",""))))</f>
        <v/>
      </c>
      <c r="S740" s="1" t="str">
        <f>IF(B740="","",B740&amp;"|"&amp;COUNTIF($B$5:B740,B740))</f>
        <v/>
      </c>
    </row>
    <row r="741" spans="2:19" x14ac:dyDescent="0.2">
      <c r="B741" s="11"/>
      <c r="C741" s="11"/>
      <c r="D741" s="10" t="str">
        <f t="shared" si="132"/>
        <v/>
      </c>
      <c r="E741" s="15" t="str">
        <f t="shared" si="133"/>
        <v/>
      </c>
      <c r="F741" s="11"/>
      <c r="G741" s="16" t="str">
        <f t="shared" si="134"/>
        <v/>
      </c>
      <c r="H741" s="17"/>
      <c r="I741" s="16" t="str">
        <f t="shared" si="135"/>
        <v/>
      </c>
      <c r="J741" s="16" t="str">
        <f t="shared" si="136"/>
        <v/>
      </c>
      <c r="K741" s="18" t="str">
        <f t="shared" si="137"/>
        <v/>
      </c>
      <c r="L741" s="16" t="str">
        <f t="shared" si="138"/>
        <v/>
      </c>
      <c r="M741" s="16" t="str">
        <f t="shared" si="139"/>
        <v/>
      </c>
      <c r="N741" s="16" t="str">
        <f t="shared" si="140"/>
        <v/>
      </c>
      <c r="O741" s="16" t="str">
        <f t="shared" si="141"/>
        <v/>
      </c>
      <c r="P741" s="16" t="str">
        <f t="shared" si="142"/>
        <v/>
      </c>
      <c r="Q741" s="18" t="str">
        <f t="shared" si="143"/>
        <v/>
      </c>
      <c r="R741" s="19" t="str">
        <f>IF(C741="","",IF(ISNA(MATCH(B741,'Registru oferte'!$B$5:$B$504,0)),"Oferta nu există în registru",IF(N(F741)&lt;=0,"Lipsește cantitatea",IF(AND(ISNUMBER(Q741),Q741&lt;MarjaMin),"Marjă sub minim ("&amp;TEXT(Q741*100,"0")&amp;"%)",""))))</f>
        <v/>
      </c>
      <c r="S741" s="1" t="str">
        <f>IF(B741="","",B741&amp;"|"&amp;COUNTIF($B$5:B741,B741))</f>
        <v/>
      </c>
    </row>
    <row r="742" spans="2:19" x14ac:dyDescent="0.2">
      <c r="B742" s="11"/>
      <c r="C742" s="11"/>
      <c r="D742" s="10" t="str">
        <f t="shared" si="132"/>
        <v/>
      </c>
      <c r="E742" s="15" t="str">
        <f t="shared" si="133"/>
        <v/>
      </c>
      <c r="F742" s="11"/>
      <c r="G742" s="16" t="str">
        <f t="shared" si="134"/>
        <v/>
      </c>
      <c r="H742" s="17"/>
      <c r="I742" s="16" t="str">
        <f t="shared" si="135"/>
        <v/>
      </c>
      <c r="J742" s="16" t="str">
        <f t="shared" si="136"/>
        <v/>
      </c>
      <c r="K742" s="18" t="str">
        <f t="shared" si="137"/>
        <v/>
      </c>
      <c r="L742" s="16" t="str">
        <f t="shared" si="138"/>
        <v/>
      </c>
      <c r="M742" s="16" t="str">
        <f t="shared" si="139"/>
        <v/>
      </c>
      <c r="N742" s="16" t="str">
        <f t="shared" si="140"/>
        <v/>
      </c>
      <c r="O742" s="16" t="str">
        <f t="shared" si="141"/>
        <v/>
      </c>
      <c r="P742" s="16" t="str">
        <f t="shared" si="142"/>
        <v/>
      </c>
      <c r="Q742" s="18" t="str">
        <f t="shared" si="143"/>
        <v/>
      </c>
      <c r="R742" s="19" t="str">
        <f>IF(C742="","",IF(ISNA(MATCH(B742,'Registru oferte'!$B$5:$B$504,0)),"Oferta nu există în registru",IF(N(F742)&lt;=0,"Lipsește cantitatea",IF(AND(ISNUMBER(Q742),Q742&lt;MarjaMin),"Marjă sub minim ("&amp;TEXT(Q742*100,"0")&amp;"%)",""))))</f>
        <v/>
      </c>
      <c r="S742" s="1" t="str">
        <f>IF(B742="","",B742&amp;"|"&amp;COUNTIF($B$5:B742,B742))</f>
        <v/>
      </c>
    </row>
    <row r="743" spans="2:19" x14ac:dyDescent="0.2">
      <c r="B743" s="11"/>
      <c r="C743" s="11"/>
      <c r="D743" s="10" t="str">
        <f t="shared" si="132"/>
        <v/>
      </c>
      <c r="E743" s="15" t="str">
        <f t="shared" si="133"/>
        <v/>
      </c>
      <c r="F743" s="11"/>
      <c r="G743" s="16" t="str">
        <f t="shared" si="134"/>
        <v/>
      </c>
      <c r="H743" s="17"/>
      <c r="I743" s="16" t="str">
        <f t="shared" si="135"/>
        <v/>
      </c>
      <c r="J743" s="16" t="str">
        <f t="shared" si="136"/>
        <v/>
      </c>
      <c r="K743" s="18" t="str">
        <f t="shared" si="137"/>
        <v/>
      </c>
      <c r="L743" s="16" t="str">
        <f t="shared" si="138"/>
        <v/>
      </c>
      <c r="M743" s="16" t="str">
        <f t="shared" si="139"/>
        <v/>
      </c>
      <c r="N743" s="16" t="str">
        <f t="shared" si="140"/>
        <v/>
      </c>
      <c r="O743" s="16" t="str">
        <f t="shared" si="141"/>
        <v/>
      </c>
      <c r="P743" s="16" t="str">
        <f t="shared" si="142"/>
        <v/>
      </c>
      <c r="Q743" s="18" t="str">
        <f t="shared" si="143"/>
        <v/>
      </c>
      <c r="R743" s="19" t="str">
        <f>IF(C743="","",IF(ISNA(MATCH(B743,'Registru oferte'!$B$5:$B$504,0)),"Oferta nu există în registru",IF(N(F743)&lt;=0,"Lipsește cantitatea",IF(AND(ISNUMBER(Q743),Q743&lt;MarjaMin),"Marjă sub minim ("&amp;TEXT(Q743*100,"0")&amp;"%)",""))))</f>
        <v/>
      </c>
      <c r="S743" s="1" t="str">
        <f>IF(B743="","",B743&amp;"|"&amp;COUNTIF($B$5:B743,B743))</f>
        <v/>
      </c>
    </row>
    <row r="744" spans="2:19" x14ac:dyDescent="0.2">
      <c r="B744" s="11"/>
      <c r="C744" s="11"/>
      <c r="D744" s="10" t="str">
        <f t="shared" si="132"/>
        <v/>
      </c>
      <c r="E744" s="15" t="str">
        <f t="shared" si="133"/>
        <v/>
      </c>
      <c r="F744" s="11"/>
      <c r="G744" s="16" t="str">
        <f t="shared" si="134"/>
        <v/>
      </c>
      <c r="H744" s="17"/>
      <c r="I744" s="16" t="str">
        <f t="shared" si="135"/>
        <v/>
      </c>
      <c r="J744" s="16" t="str">
        <f t="shared" si="136"/>
        <v/>
      </c>
      <c r="K744" s="18" t="str">
        <f t="shared" si="137"/>
        <v/>
      </c>
      <c r="L744" s="16" t="str">
        <f t="shared" si="138"/>
        <v/>
      </c>
      <c r="M744" s="16" t="str">
        <f t="shared" si="139"/>
        <v/>
      </c>
      <c r="N744" s="16" t="str">
        <f t="shared" si="140"/>
        <v/>
      </c>
      <c r="O744" s="16" t="str">
        <f t="shared" si="141"/>
        <v/>
      </c>
      <c r="P744" s="16" t="str">
        <f t="shared" si="142"/>
        <v/>
      </c>
      <c r="Q744" s="18" t="str">
        <f t="shared" si="143"/>
        <v/>
      </c>
      <c r="R744" s="19" t="str">
        <f>IF(C744="","",IF(ISNA(MATCH(B744,'Registru oferte'!$B$5:$B$504,0)),"Oferta nu există în registru",IF(N(F744)&lt;=0,"Lipsește cantitatea",IF(AND(ISNUMBER(Q744),Q744&lt;MarjaMin),"Marjă sub minim ("&amp;TEXT(Q744*100,"0")&amp;"%)",""))))</f>
        <v/>
      </c>
      <c r="S744" s="1" t="str">
        <f>IF(B744="","",B744&amp;"|"&amp;COUNTIF($B$5:B744,B744))</f>
        <v/>
      </c>
    </row>
    <row r="745" spans="2:19" x14ac:dyDescent="0.2">
      <c r="B745" s="11"/>
      <c r="C745" s="11"/>
      <c r="D745" s="10" t="str">
        <f t="shared" si="132"/>
        <v/>
      </c>
      <c r="E745" s="15" t="str">
        <f t="shared" si="133"/>
        <v/>
      </c>
      <c r="F745" s="11"/>
      <c r="G745" s="16" t="str">
        <f t="shared" si="134"/>
        <v/>
      </c>
      <c r="H745" s="17"/>
      <c r="I745" s="16" t="str">
        <f t="shared" si="135"/>
        <v/>
      </c>
      <c r="J745" s="16" t="str">
        <f t="shared" si="136"/>
        <v/>
      </c>
      <c r="K745" s="18" t="str">
        <f t="shared" si="137"/>
        <v/>
      </c>
      <c r="L745" s="16" t="str">
        <f t="shared" si="138"/>
        <v/>
      </c>
      <c r="M745" s="16" t="str">
        <f t="shared" si="139"/>
        <v/>
      </c>
      <c r="N745" s="16" t="str">
        <f t="shared" si="140"/>
        <v/>
      </c>
      <c r="O745" s="16" t="str">
        <f t="shared" si="141"/>
        <v/>
      </c>
      <c r="P745" s="16" t="str">
        <f t="shared" si="142"/>
        <v/>
      </c>
      <c r="Q745" s="18" t="str">
        <f t="shared" si="143"/>
        <v/>
      </c>
      <c r="R745" s="19" t="str">
        <f>IF(C745="","",IF(ISNA(MATCH(B745,'Registru oferte'!$B$5:$B$504,0)),"Oferta nu există în registru",IF(N(F745)&lt;=0,"Lipsește cantitatea",IF(AND(ISNUMBER(Q745),Q745&lt;MarjaMin),"Marjă sub minim ("&amp;TEXT(Q745*100,"0")&amp;"%)",""))))</f>
        <v/>
      </c>
      <c r="S745" s="1" t="str">
        <f>IF(B745="","",B745&amp;"|"&amp;COUNTIF($B$5:B745,B745))</f>
        <v/>
      </c>
    </row>
    <row r="746" spans="2:19" x14ac:dyDescent="0.2">
      <c r="B746" s="11"/>
      <c r="C746" s="11"/>
      <c r="D746" s="10" t="str">
        <f t="shared" si="132"/>
        <v/>
      </c>
      <c r="E746" s="15" t="str">
        <f t="shared" si="133"/>
        <v/>
      </c>
      <c r="F746" s="11"/>
      <c r="G746" s="16" t="str">
        <f t="shared" si="134"/>
        <v/>
      </c>
      <c r="H746" s="17"/>
      <c r="I746" s="16" t="str">
        <f t="shared" si="135"/>
        <v/>
      </c>
      <c r="J746" s="16" t="str">
        <f t="shared" si="136"/>
        <v/>
      </c>
      <c r="K746" s="18" t="str">
        <f t="shared" si="137"/>
        <v/>
      </c>
      <c r="L746" s="16" t="str">
        <f t="shared" si="138"/>
        <v/>
      </c>
      <c r="M746" s="16" t="str">
        <f t="shared" si="139"/>
        <v/>
      </c>
      <c r="N746" s="16" t="str">
        <f t="shared" si="140"/>
        <v/>
      </c>
      <c r="O746" s="16" t="str">
        <f t="shared" si="141"/>
        <v/>
      </c>
      <c r="P746" s="16" t="str">
        <f t="shared" si="142"/>
        <v/>
      </c>
      <c r="Q746" s="18" t="str">
        <f t="shared" si="143"/>
        <v/>
      </c>
      <c r="R746" s="19" t="str">
        <f>IF(C746="","",IF(ISNA(MATCH(B746,'Registru oferte'!$B$5:$B$504,0)),"Oferta nu există în registru",IF(N(F746)&lt;=0,"Lipsește cantitatea",IF(AND(ISNUMBER(Q746),Q746&lt;MarjaMin),"Marjă sub minim ("&amp;TEXT(Q746*100,"0")&amp;"%)",""))))</f>
        <v/>
      </c>
      <c r="S746" s="1" t="str">
        <f>IF(B746="","",B746&amp;"|"&amp;COUNTIF($B$5:B746,B746))</f>
        <v/>
      </c>
    </row>
    <row r="747" spans="2:19" x14ac:dyDescent="0.2">
      <c r="B747" s="11"/>
      <c r="C747" s="11"/>
      <c r="D747" s="10" t="str">
        <f t="shared" si="132"/>
        <v/>
      </c>
      <c r="E747" s="15" t="str">
        <f t="shared" si="133"/>
        <v/>
      </c>
      <c r="F747" s="11"/>
      <c r="G747" s="16" t="str">
        <f t="shared" si="134"/>
        <v/>
      </c>
      <c r="H747" s="17"/>
      <c r="I747" s="16" t="str">
        <f t="shared" si="135"/>
        <v/>
      </c>
      <c r="J747" s="16" t="str">
        <f t="shared" si="136"/>
        <v/>
      </c>
      <c r="K747" s="18" t="str">
        <f t="shared" si="137"/>
        <v/>
      </c>
      <c r="L747" s="16" t="str">
        <f t="shared" si="138"/>
        <v/>
      </c>
      <c r="M747" s="16" t="str">
        <f t="shared" si="139"/>
        <v/>
      </c>
      <c r="N747" s="16" t="str">
        <f t="shared" si="140"/>
        <v/>
      </c>
      <c r="O747" s="16" t="str">
        <f t="shared" si="141"/>
        <v/>
      </c>
      <c r="P747" s="16" t="str">
        <f t="shared" si="142"/>
        <v/>
      </c>
      <c r="Q747" s="18" t="str">
        <f t="shared" si="143"/>
        <v/>
      </c>
      <c r="R747" s="19" t="str">
        <f>IF(C747="","",IF(ISNA(MATCH(B747,'Registru oferte'!$B$5:$B$504,0)),"Oferta nu există în registru",IF(N(F747)&lt;=0,"Lipsește cantitatea",IF(AND(ISNUMBER(Q747),Q747&lt;MarjaMin),"Marjă sub minim ("&amp;TEXT(Q747*100,"0")&amp;"%)",""))))</f>
        <v/>
      </c>
      <c r="S747" s="1" t="str">
        <f>IF(B747="","",B747&amp;"|"&amp;COUNTIF($B$5:B747,B747))</f>
        <v/>
      </c>
    </row>
    <row r="748" spans="2:19" x14ac:dyDescent="0.2">
      <c r="B748" s="11"/>
      <c r="C748" s="11"/>
      <c r="D748" s="10" t="str">
        <f t="shared" si="132"/>
        <v/>
      </c>
      <c r="E748" s="15" t="str">
        <f t="shared" si="133"/>
        <v/>
      </c>
      <c r="F748" s="11"/>
      <c r="G748" s="16" t="str">
        <f t="shared" si="134"/>
        <v/>
      </c>
      <c r="H748" s="17"/>
      <c r="I748" s="16" t="str">
        <f t="shared" si="135"/>
        <v/>
      </c>
      <c r="J748" s="16" t="str">
        <f t="shared" si="136"/>
        <v/>
      </c>
      <c r="K748" s="18" t="str">
        <f t="shared" si="137"/>
        <v/>
      </c>
      <c r="L748" s="16" t="str">
        <f t="shared" si="138"/>
        <v/>
      </c>
      <c r="M748" s="16" t="str">
        <f t="shared" si="139"/>
        <v/>
      </c>
      <c r="N748" s="16" t="str">
        <f t="shared" si="140"/>
        <v/>
      </c>
      <c r="O748" s="16" t="str">
        <f t="shared" si="141"/>
        <v/>
      </c>
      <c r="P748" s="16" t="str">
        <f t="shared" si="142"/>
        <v/>
      </c>
      <c r="Q748" s="18" t="str">
        <f t="shared" si="143"/>
        <v/>
      </c>
      <c r="R748" s="19" t="str">
        <f>IF(C748="","",IF(ISNA(MATCH(B748,'Registru oferte'!$B$5:$B$504,0)),"Oferta nu există în registru",IF(N(F748)&lt;=0,"Lipsește cantitatea",IF(AND(ISNUMBER(Q748),Q748&lt;MarjaMin),"Marjă sub minim ("&amp;TEXT(Q748*100,"0")&amp;"%)",""))))</f>
        <v/>
      </c>
      <c r="S748" s="1" t="str">
        <f>IF(B748="","",B748&amp;"|"&amp;COUNTIF($B$5:B748,B748))</f>
        <v/>
      </c>
    </row>
    <row r="749" spans="2:19" x14ac:dyDescent="0.2">
      <c r="B749" s="11"/>
      <c r="C749" s="11"/>
      <c r="D749" s="10" t="str">
        <f t="shared" si="132"/>
        <v/>
      </c>
      <c r="E749" s="15" t="str">
        <f t="shared" si="133"/>
        <v/>
      </c>
      <c r="F749" s="11"/>
      <c r="G749" s="16" t="str">
        <f t="shared" si="134"/>
        <v/>
      </c>
      <c r="H749" s="17"/>
      <c r="I749" s="16" t="str">
        <f t="shared" si="135"/>
        <v/>
      </c>
      <c r="J749" s="16" t="str">
        <f t="shared" si="136"/>
        <v/>
      </c>
      <c r="K749" s="18" t="str">
        <f t="shared" si="137"/>
        <v/>
      </c>
      <c r="L749" s="16" t="str">
        <f t="shared" si="138"/>
        <v/>
      </c>
      <c r="M749" s="16" t="str">
        <f t="shared" si="139"/>
        <v/>
      </c>
      <c r="N749" s="16" t="str">
        <f t="shared" si="140"/>
        <v/>
      </c>
      <c r="O749" s="16" t="str">
        <f t="shared" si="141"/>
        <v/>
      </c>
      <c r="P749" s="16" t="str">
        <f t="shared" si="142"/>
        <v/>
      </c>
      <c r="Q749" s="18" t="str">
        <f t="shared" si="143"/>
        <v/>
      </c>
      <c r="R749" s="19" t="str">
        <f>IF(C749="","",IF(ISNA(MATCH(B749,'Registru oferte'!$B$5:$B$504,0)),"Oferta nu există în registru",IF(N(F749)&lt;=0,"Lipsește cantitatea",IF(AND(ISNUMBER(Q749),Q749&lt;MarjaMin),"Marjă sub minim ("&amp;TEXT(Q749*100,"0")&amp;"%)",""))))</f>
        <v/>
      </c>
      <c r="S749" s="1" t="str">
        <f>IF(B749="","",B749&amp;"|"&amp;COUNTIF($B$5:B749,B749))</f>
        <v/>
      </c>
    </row>
    <row r="750" spans="2:19" x14ac:dyDescent="0.2">
      <c r="B750" s="11"/>
      <c r="C750" s="11"/>
      <c r="D750" s="10" t="str">
        <f t="shared" si="132"/>
        <v/>
      </c>
      <c r="E750" s="15" t="str">
        <f t="shared" si="133"/>
        <v/>
      </c>
      <c r="F750" s="11"/>
      <c r="G750" s="16" t="str">
        <f t="shared" si="134"/>
        <v/>
      </c>
      <c r="H750" s="17"/>
      <c r="I750" s="16" t="str">
        <f t="shared" si="135"/>
        <v/>
      </c>
      <c r="J750" s="16" t="str">
        <f t="shared" si="136"/>
        <v/>
      </c>
      <c r="K750" s="18" t="str">
        <f t="shared" si="137"/>
        <v/>
      </c>
      <c r="L750" s="16" t="str">
        <f t="shared" si="138"/>
        <v/>
      </c>
      <c r="M750" s="16" t="str">
        <f t="shared" si="139"/>
        <v/>
      </c>
      <c r="N750" s="16" t="str">
        <f t="shared" si="140"/>
        <v/>
      </c>
      <c r="O750" s="16" t="str">
        <f t="shared" si="141"/>
        <v/>
      </c>
      <c r="P750" s="16" t="str">
        <f t="shared" si="142"/>
        <v/>
      </c>
      <c r="Q750" s="18" t="str">
        <f t="shared" si="143"/>
        <v/>
      </c>
      <c r="R750" s="19" t="str">
        <f>IF(C750="","",IF(ISNA(MATCH(B750,'Registru oferte'!$B$5:$B$504,0)),"Oferta nu există în registru",IF(N(F750)&lt;=0,"Lipsește cantitatea",IF(AND(ISNUMBER(Q750),Q750&lt;MarjaMin),"Marjă sub minim ("&amp;TEXT(Q750*100,"0")&amp;"%)",""))))</f>
        <v/>
      </c>
      <c r="S750" s="1" t="str">
        <f>IF(B750="","",B750&amp;"|"&amp;COUNTIF($B$5:B750,B750))</f>
        <v/>
      </c>
    </row>
    <row r="751" spans="2:19" x14ac:dyDescent="0.2">
      <c r="B751" s="11"/>
      <c r="C751" s="11"/>
      <c r="D751" s="10" t="str">
        <f t="shared" si="132"/>
        <v/>
      </c>
      <c r="E751" s="15" t="str">
        <f t="shared" si="133"/>
        <v/>
      </c>
      <c r="F751" s="11"/>
      <c r="G751" s="16" t="str">
        <f t="shared" si="134"/>
        <v/>
      </c>
      <c r="H751" s="17"/>
      <c r="I751" s="16" t="str">
        <f t="shared" si="135"/>
        <v/>
      </c>
      <c r="J751" s="16" t="str">
        <f t="shared" si="136"/>
        <v/>
      </c>
      <c r="K751" s="18" t="str">
        <f t="shared" si="137"/>
        <v/>
      </c>
      <c r="L751" s="16" t="str">
        <f t="shared" si="138"/>
        <v/>
      </c>
      <c r="M751" s="16" t="str">
        <f t="shared" si="139"/>
        <v/>
      </c>
      <c r="N751" s="16" t="str">
        <f t="shared" si="140"/>
        <v/>
      </c>
      <c r="O751" s="16" t="str">
        <f t="shared" si="141"/>
        <v/>
      </c>
      <c r="P751" s="16" t="str">
        <f t="shared" si="142"/>
        <v/>
      </c>
      <c r="Q751" s="18" t="str">
        <f t="shared" si="143"/>
        <v/>
      </c>
      <c r="R751" s="19" t="str">
        <f>IF(C751="","",IF(ISNA(MATCH(B751,'Registru oferte'!$B$5:$B$504,0)),"Oferta nu există în registru",IF(N(F751)&lt;=0,"Lipsește cantitatea",IF(AND(ISNUMBER(Q751),Q751&lt;MarjaMin),"Marjă sub minim ("&amp;TEXT(Q751*100,"0")&amp;"%)",""))))</f>
        <v/>
      </c>
      <c r="S751" s="1" t="str">
        <f>IF(B751="","",B751&amp;"|"&amp;COUNTIF($B$5:B751,B751))</f>
        <v/>
      </c>
    </row>
    <row r="752" spans="2:19" x14ac:dyDescent="0.2">
      <c r="B752" s="11"/>
      <c r="C752" s="11"/>
      <c r="D752" s="10" t="str">
        <f t="shared" si="132"/>
        <v/>
      </c>
      <c r="E752" s="15" t="str">
        <f t="shared" si="133"/>
        <v/>
      </c>
      <c r="F752" s="11"/>
      <c r="G752" s="16" t="str">
        <f t="shared" si="134"/>
        <v/>
      </c>
      <c r="H752" s="17"/>
      <c r="I752" s="16" t="str">
        <f t="shared" si="135"/>
        <v/>
      </c>
      <c r="J752" s="16" t="str">
        <f t="shared" si="136"/>
        <v/>
      </c>
      <c r="K752" s="18" t="str">
        <f t="shared" si="137"/>
        <v/>
      </c>
      <c r="L752" s="16" t="str">
        <f t="shared" si="138"/>
        <v/>
      </c>
      <c r="M752" s="16" t="str">
        <f t="shared" si="139"/>
        <v/>
      </c>
      <c r="N752" s="16" t="str">
        <f t="shared" si="140"/>
        <v/>
      </c>
      <c r="O752" s="16" t="str">
        <f t="shared" si="141"/>
        <v/>
      </c>
      <c r="P752" s="16" t="str">
        <f t="shared" si="142"/>
        <v/>
      </c>
      <c r="Q752" s="18" t="str">
        <f t="shared" si="143"/>
        <v/>
      </c>
      <c r="R752" s="19" t="str">
        <f>IF(C752="","",IF(ISNA(MATCH(B752,'Registru oferte'!$B$5:$B$504,0)),"Oferta nu există în registru",IF(N(F752)&lt;=0,"Lipsește cantitatea",IF(AND(ISNUMBER(Q752),Q752&lt;MarjaMin),"Marjă sub minim ("&amp;TEXT(Q752*100,"0")&amp;"%)",""))))</f>
        <v/>
      </c>
      <c r="S752" s="1" t="str">
        <f>IF(B752="","",B752&amp;"|"&amp;COUNTIF($B$5:B752,B752))</f>
        <v/>
      </c>
    </row>
    <row r="753" spans="2:19" x14ac:dyDescent="0.2">
      <c r="B753" s="11"/>
      <c r="C753" s="11"/>
      <c r="D753" s="10" t="str">
        <f t="shared" si="132"/>
        <v/>
      </c>
      <c r="E753" s="15" t="str">
        <f t="shared" si="133"/>
        <v/>
      </c>
      <c r="F753" s="11"/>
      <c r="G753" s="16" t="str">
        <f t="shared" si="134"/>
        <v/>
      </c>
      <c r="H753" s="17"/>
      <c r="I753" s="16" t="str">
        <f t="shared" si="135"/>
        <v/>
      </c>
      <c r="J753" s="16" t="str">
        <f t="shared" si="136"/>
        <v/>
      </c>
      <c r="K753" s="18" t="str">
        <f t="shared" si="137"/>
        <v/>
      </c>
      <c r="L753" s="16" t="str">
        <f t="shared" si="138"/>
        <v/>
      </c>
      <c r="M753" s="16" t="str">
        <f t="shared" si="139"/>
        <v/>
      </c>
      <c r="N753" s="16" t="str">
        <f t="shared" si="140"/>
        <v/>
      </c>
      <c r="O753" s="16" t="str">
        <f t="shared" si="141"/>
        <v/>
      </c>
      <c r="P753" s="16" t="str">
        <f t="shared" si="142"/>
        <v/>
      </c>
      <c r="Q753" s="18" t="str">
        <f t="shared" si="143"/>
        <v/>
      </c>
      <c r="R753" s="19" t="str">
        <f>IF(C753="","",IF(ISNA(MATCH(B753,'Registru oferte'!$B$5:$B$504,0)),"Oferta nu există în registru",IF(N(F753)&lt;=0,"Lipsește cantitatea",IF(AND(ISNUMBER(Q753),Q753&lt;MarjaMin),"Marjă sub minim ("&amp;TEXT(Q753*100,"0")&amp;"%)",""))))</f>
        <v/>
      </c>
      <c r="S753" s="1" t="str">
        <f>IF(B753="","",B753&amp;"|"&amp;COUNTIF($B$5:B753,B753))</f>
        <v/>
      </c>
    </row>
    <row r="754" spans="2:19" x14ac:dyDescent="0.2">
      <c r="B754" s="11"/>
      <c r="C754" s="11"/>
      <c r="D754" s="10" t="str">
        <f t="shared" si="132"/>
        <v/>
      </c>
      <c r="E754" s="15" t="str">
        <f t="shared" si="133"/>
        <v/>
      </c>
      <c r="F754" s="11"/>
      <c r="G754" s="16" t="str">
        <f t="shared" si="134"/>
        <v/>
      </c>
      <c r="H754" s="17"/>
      <c r="I754" s="16" t="str">
        <f t="shared" si="135"/>
        <v/>
      </c>
      <c r="J754" s="16" t="str">
        <f t="shared" si="136"/>
        <v/>
      </c>
      <c r="K754" s="18" t="str">
        <f t="shared" si="137"/>
        <v/>
      </c>
      <c r="L754" s="16" t="str">
        <f t="shared" si="138"/>
        <v/>
      </c>
      <c r="M754" s="16" t="str">
        <f t="shared" si="139"/>
        <v/>
      </c>
      <c r="N754" s="16" t="str">
        <f t="shared" si="140"/>
        <v/>
      </c>
      <c r="O754" s="16" t="str">
        <f t="shared" si="141"/>
        <v/>
      </c>
      <c r="P754" s="16" t="str">
        <f t="shared" si="142"/>
        <v/>
      </c>
      <c r="Q754" s="18" t="str">
        <f t="shared" si="143"/>
        <v/>
      </c>
      <c r="R754" s="19" t="str">
        <f>IF(C754="","",IF(ISNA(MATCH(B754,'Registru oferte'!$B$5:$B$504,0)),"Oferta nu există în registru",IF(N(F754)&lt;=0,"Lipsește cantitatea",IF(AND(ISNUMBER(Q754),Q754&lt;MarjaMin),"Marjă sub minim ("&amp;TEXT(Q754*100,"0")&amp;"%)",""))))</f>
        <v/>
      </c>
      <c r="S754" s="1" t="str">
        <f>IF(B754="","",B754&amp;"|"&amp;COUNTIF($B$5:B754,B754))</f>
        <v/>
      </c>
    </row>
    <row r="755" spans="2:19" x14ac:dyDescent="0.2">
      <c r="B755" s="11"/>
      <c r="C755" s="11"/>
      <c r="D755" s="10" t="str">
        <f t="shared" si="132"/>
        <v/>
      </c>
      <c r="E755" s="15" t="str">
        <f t="shared" si="133"/>
        <v/>
      </c>
      <c r="F755" s="11"/>
      <c r="G755" s="16" t="str">
        <f t="shared" si="134"/>
        <v/>
      </c>
      <c r="H755" s="17"/>
      <c r="I755" s="16" t="str">
        <f t="shared" si="135"/>
        <v/>
      </c>
      <c r="J755" s="16" t="str">
        <f t="shared" si="136"/>
        <v/>
      </c>
      <c r="K755" s="18" t="str">
        <f t="shared" si="137"/>
        <v/>
      </c>
      <c r="L755" s="16" t="str">
        <f t="shared" si="138"/>
        <v/>
      </c>
      <c r="M755" s="16" t="str">
        <f t="shared" si="139"/>
        <v/>
      </c>
      <c r="N755" s="16" t="str">
        <f t="shared" si="140"/>
        <v/>
      </c>
      <c r="O755" s="16" t="str">
        <f t="shared" si="141"/>
        <v/>
      </c>
      <c r="P755" s="16" t="str">
        <f t="shared" si="142"/>
        <v/>
      </c>
      <c r="Q755" s="18" t="str">
        <f t="shared" si="143"/>
        <v/>
      </c>
      <c r="R755" s="19" t="str">
        <f>IF(C755="","",IF(ISNA(MATCH(B755,'Registru oferte'!$B$5:$B$504,0)),"Oferta nu există în registru",IF(N(F755)&lt;=0,"Lipsește cantitatea",IF(AND(ISNUMBER(Q755),Q755&lt;MarjaMin),"Marjă sub minim ("&amp;TEXT(Q755*100,"0")&amp;"%)",""))))</f>
        <v/>
      </c>
      <c r="S755" s="1" t="str">
        <f>IF(B755="","",B755&amp;"|"&amp;COUNTIF($B$5:B755,B755))</f>
        <v/>
      </c>
    </row>
    <row r="756" spans="2:19" x14ac:dyDescent="0.2">
      <c r="B756" s="11"/>
      <c r="C756" s="11"/>
      <c r="D756" s="10" t="str">
        <f t="shared" si="132"/>
        <v/>
      </c>
      <c r="E756" s="15" t="str">
        <f t="shared" si="133"/>
        <v/>
      </c>
      <c r="F756" s="11"/>
      <c r="G756" s="16" t="str">
        <f t="shared" si="134"/>
        <v/>
      </c>
      <c r="H756" s="17"/>
      <c r="I756" s="16" t="str">
        <f t="shared" si="135"/>
        <v/>
      </c>
      <c r="J756" s="16" t="str">
        <f t="shared" si="136"/>
        <v/>
      </c>
      <c r="K756" s="18" t="str">
        <f t="shared" si="137"/>
        <v/>
      </c>
      <c r="L756" s="16" t="str">
        <f t="shared" si="138"/>
        <v/>
      </c>
      <c r="M756" s="16" t="str">
        <f t="shared" si="139"/>
        <v/>
      </c>
      <c r="N756" s="16" t="str">
        <f t="shared" si="140"/>
        <v/>
      </c>
      <c r="O756" s="16" t="str">
        <f t="shared" si="141"/>
        <v/>
      </c>
      <c r="P756" s="16" t="str">
        <f t="shared" si="142"/>
        <v/>
      </c>
      <c r="Q756" s="18" t="str">
        <f t="shared" si="143"/>
        <v/>
      </c>
      <c r="R756" s="19" t="str">
        <f>IF(C756="","",IF(ISNA(MATCH(B756,'Registru oferte'!$B$5:$B$504,0)),"Oferta nu există în registru",IF(N(F756)&lt;=0,"Lipsește cantitatea",IF(AND(ISNUMBER(Q756),Q756&lt;MarjaMin),"Marjă sub minim ("&amp;TEXT(Q756*100,"0")&amp;"%)",""))))</f>
        <v/>
      </c>
      <c r="S756" s="1" t="str">
        <f>IF(B756="","",B756&amp;"|"&amp;COUNTIF($B$5:B756,B756))</f>
        <v/>
      </c>
    </row>
    <row r="757" spans="2:19" x14ac:dyDescent="0.2">
      <c r="B757" s="11"/>
      <c r="C757" s="11"/>
      <c r="D757" s="10" t="str">
        <f t="shared" si="132"/>
        <v/>
      </c>
      <c r="E757" s="15" t="str">
        <f t="shared" si="133"/>
        <v/>
      </c>
      <c r="F757" s="11"/>
      <c r="G757" s="16" t="str">
        <f t="shared" si="134"/>
        <v/>
      </c>
      <c r="H757" s="17"/>
      <c r="I757" s="16" t="str">
        <f t="shared" si="135"/>
        <v/>
      </c>
      <c r="J757" s="16" t="str">
        <f t="shared" si="136"/>
        <v/>
      </c>
      <c r="K757" s="18" t="str">
        <f t="shared" si="137"/>
        <v/>
      </c>
      <c r="L757" s="16" t="str">
        <f t="shared" si="138"/>
        <v/>
      </c>
      <c r="M757" s="16" t="str">
        <f t="shared" si="139"/>
        <v/>
      </c>
      <c r="N757" s="16" t="str">
        <f t="shared" si="140"/>
        <v/>
      </c>
      <c r="O757" s="16" t="str">
        <f t="shared" si="141"/>
        <v/>
      </c>
      <c r="P757" s="16" t="str">
        <f t="shared" si="142"/>
        <v/>
      </c>
      <c r="Q757" s="18" t="str">
        <f t="shared" si="143"/>
        <v/>
      </c>
      <c r="R757" s="19" t="str">
        <f>IF(C757="","",IF(ISNA(MATCH(B757,'Registru oferte'!$B$5:$B$504,0)),"Oferta nu există în registru",IF(N(F757)&lt;=0,"Lipsește cantitatea",IF(AND(ISNUMBER(Q757),Q757&lt;MarjaMin),"Marjă sub minim ("&amp;TEXT(Q757*100,"0")&amp;"%)",""))))</f>
        <v/>
      </c>
      <c r="S757" s="1" t="str">
        <f>IF(B757="","",B757&amp;"|"&amp;COUNTIF($B$5:B757,B757))</f>
        <v/>
      </c>
    </row>
    <row r="758" spans="2:19" x14ac:dyDescent="0.2">
      <c r="B758" s="11"/>
      <c r="C758" s="11"/>
      <c r="D758" s="10" t="str">
        <f t="shared" si="132"/>
        <v/>
      </c>
      <c r="E758" s="15" t="str">
        <f t="shared" si="133"/>
        <v/>
      </c>
      <c r="F758" s="11"/>
      <c r="G758" s="16" t="str">
        <f t="shared" si="134"/>
        <v/>
      </c>
      <c r="H758" s="17"/>
      <c r="I758" s="16" t="str">
        <f t="shared" si="135"/>
        <v/>
      </c>
      <c r="J758" s="16" t="str">
        <f t="shared" si="136"/>
        <v/>
      </c>
      <c r="K758" s="18" t="str">
        <f t="shared" si="137"/>
        <v/>
      </c>
      <c r="L758" s="16" t="str">
        <f t="shared" si="138"/>
        <v/>
      </c>
      <c r="M758" s="16" t="str">
        <f t="shared" si="139"/>
        <v/>
      </c>
      <c r="N758" s="16" t="str">
        <f t="shared" si="140"/>
        <v/>
      </c>
      <c r="O758" s="16" t="str">
        <f t="shared" si="141"/>
        <v/>
      </c>
      <c r="P758" s="16" t="str">
        <f t="shared" si="142"/>
        <v/>
      </c>
      <c r="Q758" s="18" t="str">
        <f t="shared" si="143"/>
        <v/>
      </c>
      <c r="R758" s="19" t="str">
        <f>IF(C758="","",IF(ISNA(MATCH(B758,'Registru oferte'!$B$5:$B$504,0)),"Oferta nu există în registru",IF(N(F758)&lt;=0,"Lipsește cantitatea",IF(AND(ISNUMBER(Q758),Q758&lt;MarjaMin),"Marjă sub minim ("&amp;TEXT(Q758*100,"0")&amp;"%)",""))))</f>
        <v/>
      </c>
      <c r="S758" s="1" t="str">
        <f>IF(B758="","",B758&amp;"|"&amp;COUNTIF($B$5:B758,B758))</f>
        <v/>
      </c>
    </row>
    <row r="759" spans="2:19" x14ac:dyDescent="0.2">
      <c r="B759" s="11"/>
      <c r="C759" s="11"/>
      <c r="D759" s="10" t="str">
        <f t="shared" si="132"/>
        <v/>
      </c>
      <c r="E759" s="15" t="str">
        <f t="shared" si="133"/>
        <v/>
      </c>
      <c r="F759" s="11"/>
      <c r="G759" s="16" t="str">
        <f t="shared" si="134"/>
        <v/>
      </c>
      <c r="H759" s="17"/>
      <c r="I759" s="16" t="str">
        <f t="shared" si="135"/>
        <v/>
      </c>
      <c r="J759" s="16" t="str">
        <f t="shared" si="136"/>
        <v/>
      </c>
      <c r="K759" s="18" t="str">
        <f t="shared" si="137"/>
        <v/>
      </c>
      <c r="L759" s="16" t="str">
        <f t="shared" si="138"/>
        <v/>
      </c>
      <c r="M759" s="16" t="str">
        <f t="shared" si="139"/>
        <v/>
      </c>
      <c r="N759" s="16" t="str">
        <f t="shared" si="140"/>
        <v/>
      </c>
      <c r="O759" s="16" t="str">
        <f t="shared" si="141"/>
        <v/>
      </c>
      <c r="P759" s="16" t="str">
        <f t="shared" si="142"/>
        <v/>
      </c>
      <c r="Q759" s="18" t="str">
        <f t="shared" si="143"/>
        <v/>
      </c>
      <c r="R759" s="19" t="str">
        <f>IF(C759="","",IF(ISNA(MATCH(B759,'Registru oferte'!$B$5:$B$504,0)),"Oferta nu există în registru",IF(N(F759)&lt;=0,"Lipsește cantitatea",IF(AND(ISNUMBER(Q759),Q759&lt;MarjaMin),"Marjă sub minim ("&amp;TEXT(Q759*100,"0")&amp;"%)",""))))</f>
        <v/>
      </c>
      <c r="S759" s="1" t="str">
        <f>IF(B759="","",B759&amp;"|"&amp;COUNTIF($B$5:B759,B759))</f>
        <v/>
      </c>
    </row>
    <row r="760" spans="2:19" x14ac:dyDescent="0.2">
      <c r="B760" s="11"/>
      <c r="C760" s="11"/>
      <c r="D760" s="10" t="str">
        <f t="shared" si="132"/>
        <v/>
      </c>
      <c r="E760" s="15" t="str">
        <f t="shared" si="133"/>
        <v/>
      </c>
      <c r="F760" s="11"/>
      <c r="G760" s="16" t="str">
        <f t="shared" si="134"/>
        <v/>
      </c>
      <c r="H760" s="17"/>
      <c r="I760" s="16" t="str">
        <f t="shared" si="135"/>
        <v/>
      </c>
      <c r="J760" s="16" t="str">
        <f t="shared" si="136"/>
        <v/>
      </c>
      <c r="K760" s="18" t="str">
        <f t="shared" si="137"/>
        <v/>
      </c>
      <c r="L760" s="16" t="str">
        <f t="shared" si="138"/>
        <v/>
      </c>
      <c r="M760" s="16" t="str">
        <f t="shared" si="139"/>
        <v/>
      </c>
      <c r="N760" s="16" t="str">
        <f t="shared" si="140"/>
        <v/>
      </c>
      <c r="O760" s="16" t="str">
        <f t="shared" si="141"/>
        <v/>
      </c>
      <c r="P760" s="16" t="str">
        <f t="shared" si="142"/>
        <v/>
      </c>
      <c r="Q760" s="18" t="str">
        <f t="shared" si="143"/>
        <v/>
      </c>
      <c r="R760" s="19" t="str">
        <f>IF(C760="","",IF(ISNA(MATCH(B760,'Registru oferte'!$B$5:$B$504,0)),"Oferta nu există în registru",IF(N(F760)&lt;=0,"Lipsește cantitatea",IF(AND(ISNUMBER(Q760),Q760&lt;MarjaMin),"Marjă sub minim ("&amp;TEXT(Q760*100,"0")&amp;"%)",""))))</f>
        <v/>
      </c>
      <c r="S760" s="1" t="str">
        <f>IF(B760="","",B760&amp;"|"&amp;COUNTIF($B$5:B760,B760))</f>
        <v/>
      </c>
    </row>
    <row r="761" spans="2:19" x14ac:dyDescent="0.2">
      <c r="B761" s="11"/>
      <c r="C761" s="11"/>
      <c r="D761" s="10" t="str">
        <f t="shared" si="132"/>
        <v/>
      </c>
      <c r="E761" s="15" t="str">
        <f t="shared" si="133"/>
        <v/>
      </c>
      <c r="F761" s="11"/>
      <c r="G761" s="16" t="str">
        <f t="shared" si="134"/>
        <v/>
      </c>
      <c r="H761" s="17"/>
      <c r="I761" s="16" t="str">
        <f t="shared" si="135"/>
        <v/>
      </c>
      <c r="J761" s="16" t="str">
        <f t="shared" si="136"/>
        <v/>
      </c>
      <c r="K761" s="18" t="str">
        <f t="shared" si="137"/>
        <v/>
      </c>
      <c r="L761" s="16" t="str">
        <f t="shared" si="138"/>
        <v/>
      </c>
      <c r="M761" s="16" t="str">
        <f t="shared" si="139"/>
        <v/>
      </c>
      <c r="N761" s="16" t="str">
        <f t="shared" si="140"/>
        <v/>
      </c>
      <c r="O761" s="16" t="str">
        <f t="shared" si="141"/>
        <v/>
      </c>
      <c r="P761" s="16" t="str">
        <f t="shared" si="142"/>
        <v/>
      </c>
      <c r="Q761" s="18" t="str">
        <f t="shared" si="143"/>
        <v/>
      </c>
      <c r="R761" s="19" t="str">
        <f>IF(C761="","",IF(ISNA(MATCH(B761,'Registru oferte'!$B$5:$B$504,0)),"Oferta nu există în registru",IF(N(F761)&lt;=0,"Lipsește cantitatea",IF(AND(ISNUMBER(Q761),Q761&lt;MarjaMin),"Marjă sub minim ("&amp;TEXT(Q761*100,"0")&amp;"%)",""))))</f>
        <v/>
      </c>
      <c r="S761" s="1" t="str">
        <f>IF(B761="","",B761&amp;"|"&amp;COUNTIF($B$5:B761,B761))</f>
        <v/>
      </c>
    </row>
    <row r="762" spans="2:19" x14ac:dyDescent="0.2">
      <c r="B762" s="11"/>
      <c r="C762" s="11"/>
      <c r="D762" s="10" t="str">
        <f t="shared" si="132"/>
        <v/>
      </c>
      <c r="E762" s="15" t="str">
        <f t="shared" si="133"/>
        <v/>
      </c>
      <c r="F762" s="11"/>
      <c r="G762" s="16" t="str">
        <f t="shared" si="134"/>
        <v/>
      </c>
      <c r="H762" s="17"/>
      <c r="I762" s="16" t="str">
        <f t="shared" si="135"/>
        <v/>
      </c>
      <c r="J762" s="16" t="str">
        <f t="shared" si="136"/>
        <v/>
      </c>
      <c r="K762" s="18" t="str">
        <f t="shared" si="137"/>
        <v/>
      </c>
      <c r="L762" s="16" t="str">
        <f t="shared" si="138"/>
        <v/>
      </c>
      <c r="M762" s="16" t="str">
        <f t="shared" si="139"/>
        <v/>
      </c>
      <c r="N762" s="16" t="str">
        <f t="shared" si="140"/>
        <v/>
      </c>
      <c r="O762" s="16" t="str">
        <f t="shared" si="141"/>
        <v/>
      </c>
      <c r="P762" s="16" t="str">
        <f t="shared" si="142"/>
        <v/>
      </c>
      <c r="Q762" s="18" t="str">
        <f t="shared" si="143"/>
        <v/>
      </c>
      <c r="R762" s="19" t="str">
        <f>IF(C762="","",IF(ISNA(MATCH(B762,'Registru oferte'!$B$5:$B$504,0)),"Oferta nu există în registru",IF(N(F762)&lt;=0,"Lipsește cantitatea",IF(AND(ISNUMBER(Q762),Q762&lt;MarjaMin),"Marjă sub minim ("&amp;TEXT(Q762*100,"0")&amp;"%)",""))))</f>
        <v/>
      </c>
      <c r="S762" s="1" t="str">
        <f>IF(B762="","",B762&amp;"|"&amp;COUNTIF($B$5:B762,B762))</f>
        <v/>
      </c>
    </row>
    <row r="763" spans="2:19" x14ac:dyDescent="0.2">
      <c r="B763" s="11"/>
      <c r="C763" s="11"/>
      <c r="D763" s="10" t="str">
        <f t="shared" si="132"/>
        <v/>
      </c>
      <c r="E763" s="15" t="str">
        <f t="shared" si="133"/>
        <v/>
      </c>
      <c r="F763" s="11"/>
      <c r="G763" s="16" t="str">
        <f t="shared" si="134"/>
        <v/>
      </c>
      <c r="H763" s="17"/>
      <c r="I763" s="16" t="str">
        <f t="shared" si="135"/>
        <v/>
      </c>
      <c r="J763" s="16" t="str">
        <f t="shared" si="136"/>
        <v/>
      </c>
      <c r="K763" s="18" t="str">
        <f t="shared" si="137"/>
        <v/>
      </c>
      <c r="L763" s="16" t="str">
        <f t="shared" si="138"/>
        <v/>
      </c>
      <c r="M763" s="16" t="str">
        <f t="shared" si="139"/>
        <v/>
      </c>
      <c r="N763" s="16" t="str">
        <f t="shared" si="140"/>
        <v/>
      </c>
      <c r="O763" s="16" t="str">
        <f t="shared" si="141"/>
        <v/>
      </c>
      <c r="P763" s="16" t="str">
        <f t="shared" si="142"/>
        <v/>
      </c>
      <c r="Q763" s="18" t="str">
        <f t="shared" si="143"/>
        <v/>
      </c>
      <c r="R763" s="19" t="str">
        <f>IF(C763="","",IF(ISNA(MATCH(B763,'Registru oferte'!$B$5:$B$504,0)),"Oferta nu există în registru",IF(N(F763)&lt;=0,"Lipsește cantitatea",IF(AND(ISNUMBER(Q763),Q763&lt;MarjaMin),"Marjă sub minim ("&amp;TEXT(Q763*100,"0")&amp;"%)",""))))</f>
        <v/>
      </c>
      <c r="S763" s="1" t="str">
        <f>IF(B763="","",B763&amp;"|"&amp;COUNTIF($B$5:B763,B763))</f>
        <v/>
      </c>
    </row>
    <row r="764" spans="2:19" x14ac:dyDescent="0.2">
      <c r="B764" s="11"/>
      <c r="C764" s="11"/>
      <c r="D764" s="10" t="str">
        <f t="shared" si="132"/>
        <v/>
      </c>
      <c r="E764" s="15" t="str">
        <f t="shared" si="133"/>
        <v/>
      </c>
      <c r="F764" s="11"/>
      <c r="G764" s="16" t="str">
        <f t="shared" si="134"/>
        <v/>
      </c>
      <c r="H764" s="17"/>
      <c r="I764" s="16" t="str">
        <f t="shared" si="135"/>
        <v/>
      </c>
      <c r="J764" s="16" t="str">
        <f t="shared" si="136"/>
        <v/>
      </c>
      <c r="K764" s="18" t="str">
        <f t="shared" si="137"/>
        <v/>
      </c>
      <c r="L764" s="16" t="str">
        <f t="shared" si="138"/>
        <v/>
      </c>
      <c r="M764" s="16" t="str">
        <f t="shared" si="139"/>
        <v/>
      </c>
      <c r="N764" s="16" t="str">
        <f t="shared" si="140"/>
        <v/>
      </c>
      <c r="O764" s="16" t="str">
        <f t="shared" si="141"/>
        <v/>
      </c>
      <c r="P764" s="16" t="str">
        <f t="shared" si="142"/>
        <v/>
      </c>
      <c r="Q764" s="18" t="str">
        <f t="shared" si="143"/>
        <v/>
      </c>
      <c r="R764" s="19" t="str">
        <f>IF(C764="","",IF(ISNA(MATCH(B764,'Registru oferte'!$B$5:$B$504,0)),"Oferta nu există în registru",IF(N(F764)&lt;=0,"Lipsește cantitatea",IF(AND(ISNUMBER(Q764),Q764&lt;MarjaMin),"Marjă sub minim ("&amp;TEXT(Q764*100,"0")&amp;"%)",""))))</f>
        <v/>
      </c>
      <c r="S764" s="1" t="str">
        <f>IF(B764="","",B764&amp;"|"&amp;COUNTIF($B$5:B764,B764))</f>
        <v/>
      </c>
    </row>
    <row r="765" spans="2:19" x14ac:dyDescent="0.2">
      <c r="B765" s="11"/>
      <c r="C765" s="11"/>
      <c r="D765" s="10" t="str">
        <f t="shared" si="132"/>
        <v/>
      </c>
      <c r="E765" s="15" t="str">
        <f t="shared" si="133"/>
        <v/>
      </c>
      <c r="F765" s="11"/>
      <c r="G765" s="16" t="str">
        <f t="shared" si="134"/>
        <v/>
      </c>
      <c r="H765" s="17"/>
      <c r="I765" s="16" t="str">
        <f t="shared" si="135"/>
        <v/>
      </c>
      <c r="J765" s="16" t="str">
        <f t="shared" si="136"/>
        <v/>
      </c>
      <c r="K765" s="18" t="str">
        <f t="shared" si="137"/>
        <v/>
      </c>
      <c r="L765" s="16" t="str">
        <f t="shared" si="138"/>
        <v/>
      </c>
      <c r="M765" s="16" t="str">
        <f t="shared" si="139"/>
        <v/>
      </c>
      <c r="N765" s="16" t="str">
        <f t="shared" si="140"/>
        <v/>
      </c>
      <c r="O765" s="16" t="str">
        <f t="shared" si="141"/>
        <v/>
      </c>
      <c r="P765" s="16" t="str">
        <f t="shared" si="142"/>
        <v/>
      </c>
      <c r="Q765" s="18" t="str">
        <f t="shared" si="143"/>
        <v/>
      </c>
      <c r="R765" s="19" t="str">
        <f>IF(C765="","",IF(ISNA(MATCH(B765,'Registru oferte'!$B$5:$B$504,0)),"Oferta nu există în registru",IF(N(F765)&lt;=0,"Lipsește cantitatea",IF(AND(ISNUMBER(Q765),Q765&lt;MarjaMin),"Marjă sub minim ("&amp;TEXT(Q765*100,"0")&amp;"%)",""))))</f>
        <v/>
      </c>
      <c r="S765" s="1" t="str">
        <f>IF(B765="","",B765&amp;"|"&amp;COUNTIF($B$5:B765,B765))</f>
        <v/>
      </c>
    </row>
    <row r="766" spans="2:19" x14ac:dyDescent="0.2">
      <c r="B766" s="11"/>
      <c r="C766" s="11"/>
      <c r="D766" s="10" t="str">
        <f t="shared" si="132"/>
        <v/>
      </c>
      <c r="E766" s="15" t="str">
        <f t="shared" si="133"/>
        <v/>
      </c>
      <c r="F766" s="11"/>
      <c r="G766" s="16" t="str">
        <f t="shared" si="134"/>
        <v/>
      </c>
      <c r="H766" s="17"/>
      <c r="I766" s="16" t="str">
        <f t="shared" si="135"/>
        <v/>
      </c>
      <c r="J766" s="16" t="str">
        <f t="shared" si="136"/>
        <v/>
      </c>
      <c r="K766" s="18" t="str">
        <f t="shared" si="137"/>
        <v/>
      </c>
      <c r="L766" s="16" t="str">
        <f t="shared" si="138"/>
        <v/>
      </c>
      <c r="M766" s="16" t="str">
        <f t="shared" si="139"/>
        <v/>
      </c>
      <c r="N766" s="16" t="str">
        <f t="shared" si="140"/>
        <v/>
      </c>
      <c r="O766" s="16" t="str">
        <f t="shared" si="141"/>
        <v/>
      </c>
      <c r="P766" s="16" t="str">
        <f t="shared" si="142"/>
        <v/>
      </c>
      <c r="Q766" s="18" t="str">
        <f t="shared" si="143"/>
        <v/>
      </c>
      <c r="R766" s="19" t="str">
        <f>IF(C766="","",IF(ISNA(MATCH(B766,'Registru oferte'!$B$5:$B$504,0)),"Oferta nu există în registru",IF(N(F766)&lt;=0,"Lipsește cantitatea",IF(AND(ISNUMBER(Q766),Q766&lt;MarjaMin),"Marjă sub minim ("&amp;TEXT(Q766*100,"0")&amp;"%)",""))))</f>
        <v/>
      </c>
      <c r="S766" s="1" t="str">
        <f>IF(B766="","",B766&amp;"|"&amp;COUNTIF($B$5:B766,B766))</f>
        <v/>
      </c>
    </row>
    <row r="767" spans="2:19" x14ac:dyDescent="0.2">
      <c r="B767" s="11"/>
      <c r="C767" s="11"/>
      <c r="D767" s="10" t="str">
        <f t="shared" si="132"/>
        <v/>
      </c>
      <c r="E767" s="15" t="str">
        <f t="shared" si="133"/>
        <v/>
      </c>
      <c r="F767" s="11"/>
      <c r="G767" s="16" t="str">
        <f t="shared" si="134"/>
        <v/>
      </c>
      <c r="H767" s="17"/>
      <c r="I767" s="16" t="str">
        <f t="shared" si="135"/>
        <v/>
      </c>
      <c r="J767" s="16" t="str">
        <f t="shared" si="136"/>
        <v/>
      </c>
      <c r="K767" s="18" t="str">
        <f t="shared" si="137"/>
        <v/>
      </c>
      <c r="L767" s="16" t="str">
        <f t="shared" si="138"/>
        <v/>
      </c>
      <c r="M767" s="16" t="str">
        <f t="shared" si="139"/>
        <v/>
      </c>
      <c r="N767" s="16" t="str">
        <f t="shared" si="140"/>
        <v/>
      </c>
      <c r="O767" s="16" t="str">
        <f t="shared" si="141"/>
        <v/>
      </c>
      <c r="P767" s="16" t="str">
        <f t="shared" si="142"/>
        <v/>
      </c>
      <c r="Q767" s="18" t="str">
        <f t="shared" si="143"/>
        <v/>
      </c>
      <c r="R767" s="19" t="str">
        <f>IF(C767="","",IF(ISNA(MATCH(B767,'Registru oferte'!$B$5:$B$504,0)),"Oferta nu există în registru",IF(N(F767)&lt;=0,"Lipsește cantitatea",IF(AND(ISNUMBER(Q767),Q767&lt;MarjaMin),"Marjă sub minim ("&amp;TEXT(Q767*100,"0")&amp;"%)",""))))</f>
        <v/>
      </c>
      <c r="S767" s="1" t="str">
        <f>IF(B767="","",B767&amp;"|"&amp;COUNTIF($B$5:B767,B767))</f>
        <v/>
      </c>
    </row>
    <row r="768" spans="2:19" x14ac:dyDescent="0.2">
      <c r="B768" s="11"/>
      <c r="C768" s="11"/>
      <c r="D768" s="10" t="str">
        <f t="shared" si="132"/>
        <v/>
      </c>
      <c r="E768" s="15" t="str">
        <f t="shared" si="133"/>
        <v/>
      </c>
      <c r="F768" s="11"/>
      <c r="G768" s="16" t="str">
        <f t="shared" si="134"/>
        <v/>
      </c>
      <c r="H768" s="17"/>
      <c r="I768" s="16" t="str">
        <f t="shared" si="135"/>
        <v/>
      </c>
      <c r="J768" s="16" t="str">
        <f t="shared" si="136"/>
        <v/>
      </c>
      <c r="K768" s="18" t="str">
        <f t="shared" si="137"/>
        <v/>
      </c>
      <c r="L768" s="16" t="str">
        <f t="shared" si="138"/>
        <v/>
      </c>
      <c r="M768" s="16" t="str">
        <f t="shared" si="139"/>
        <v/>
      </c>
      <c r="N768" s="16" t="str">
        <f t="shared" si="140"/>
        <v/>
      </c>
      <c r="O768" s="16" t="str">
        <f t="shared" si="141"/>
        <v/>
      </c>
      <c r="P768" s="16" t="str">
        <f t="shared" si="142"/>
        <v/>
      </c>
      <c r="Q768" s="18" t="str">
        <f t="shared" si="143"/>
        <v/>
      </c>
      <c r="R768" s="19" t="str">
        <f>IF(C768="","",IF(ISNA(MATCH(B768,'Registru oferte'!$B$5:$B$504,0)),"Oferta nu există în registru",IF(N(F768)&lt;=0,"Lipsește cantitatea",IF(AND(ISNUMBER(Q768),Q768&lt;MarjaMin),"Marjă sub minim ("&amp;TEXT(Q768*100,"0")&amp;"%)",""))))</f>
        <v/>
      </c>
      <c r="S768" s="1" t="str">
        <f>IF(B768="","",B768&amp;"|"&amp;COUNTIF($B$5:B768,B768))</f>
        <v/>
      </c>
    </row>
    <row r="769" spans="2:19" x14ac:dyDescent="0.2">
      <c r="B769" s="11"/>
      <c r="C769" s="11"/>
      <c r="D769" s="10" t="str">
        <f t="shared" si="132"/>
        <v/>
      </c>
      <c r="E769" s="15" t="str">
        <f t="shared" si="133"/>
        <v/>
      </c>
      <c r="F769" s="11"/>
      <c r="G769" s="16" t="str">
        <f t="shared" si="134"/>
        <v/>
      </c>
      <c r="H769" s="17"/>
      <c r="I769" s="16" t="str">
        <f t="shared" si="135"/>
        <v/>
      </c>
      <c r="J769" s="16" t="str">
        <f t="shared" si="136"/>
        <v/>
      </c>
      <c r="K769" s="18" t="str">
        <f t="shared" si="137"/>
        <v/>
      </c>
      <c r="L769" s="16" t="str">
        <f t="shared" si="138"/>
        <v/>
      </c>
      <c r="M769" s="16" t="str">
        <f t="shared" si="139"/>
        <v/>
      </c>
      <c r="N769" s="16" t="str">
        <f t="shared" si="140"/>
        <v/>
      </c>
      <c r="O769" s="16" t="str">
        <f t="shared" si="141"/>
        <v/>
      </c>
      <c r="P769" s="16" t="str">
        <f t="shared" si="142"/>
        <v/>
      </c>
      <c r="Q769" s="18" t="str">
        <f t="shared" si="143"/>
        <v/>
      </c>
      <c r="R769" s="19" t="str">
        <f>IF(C769="","",IF(ISNA(MATCH(B769,'Registru oferte'!$B$5:$B$504,0)),"Oferta nu există în registru",IF(N(F769)&lt;=0,"Lipsește cantitatea",IF(AND(ISNUMBER(Q769),Q769&lt;MarjaMin),"Marjă sub minim ("&amp;TEXT(Q769*100,"0")&amp;"%)",""))))</f>
        <v/>
      </c>
      <c r="S769" s="1" t="str">
        <f>IF(B769="","",B769&amp;"|"&amp;COUNTIF($B$5:B769,B769))</f>
        <v/>
      </c>
    </row>
    <row r="770" spans="2:19" x14ac:dyDescent="0.2">
      <c r="B770" s="11"/>
      <c r="C770" s="11"/>
      <c r="D770" s="10" t="str">
        <f t="shared" si="132"/>
        <v/>
      </c>
      <c r="E770" s="15" t="str">
        <f t="shared" si="133"/>
        <v/>
      </c>
      <c r="F770" s="11"/>
      <c r="G770" s="16" t="str">
        <f t="shared" si="134"/>
        <v/>
      </c>
      <c r="H770" s="17"/>
      <c r="I770" s="16" t="str">
        <f t="shared" si="135"/>
        <v/>
      </c>
      <c r="J770" s="16" t="str">
        <f t="shared" si="136"/>
        <v/>
      </c>
      <c r="K770" s="18" t="str">
        <f t="shared" si="137"/>
        <v/>
      </c>
      <c r="L770" s="16" t="str">
        <f t="shared" si="138"/>
        <v/>
      </c>
      <c r="M770" s="16" t="str">
        <f t="shared" si="139"/>
        <v/>
      </c>
      <c r="N770" s="16" t="str">
        <f t="shared" si="140"/>
        <v/>
      </c>
      <c r="O770" s="16" t="str">
        <f t="shared" si="141"/>
        <v/>
      </c>
      <c r="P770" s="16" t="str">
        <f t="shared" si="142"/>
        <v/>
      </c>
      <c r="Q770" s="18" t="str">
        <f t="shared" si="143"/>
        <v/>
      </c>
      <c r="R770" s="19" t="str">
        <f>IF(C770="","",IF(ISNA(MATCH(B770,'Registru oferte'!$B$5:$B$504,0)),"Oferta nu există în registru",IF(N(F770)&lt;=0,"Lipsește cantitatea",IF(AND(ISNUMBER(Q770),Q770&lt;MarjaMin),"Marjă sub minim ("&amp;TEXT(Q770*100,"0")&amp;"%)",""))))</f>
        <v/>
      </c>
      <c r="S770" s="1" t="str">
        <f>IF(B770="","",B770&amp;"|"&amp;COUNTIF($B$5:B770,B770))</f>
        <v/>
      </c>
    </row>
    <row r="771" spans="2:19" x14ac:dyDescent="0.2">
      <c r="B771" s="11"/>
      <c r="C771" s="11"/>
      <c r="D771" s="10" t="str">
        <f t="shared" si="132"/>
        <v/>
      </c>
      <c r="E771" s="15" t="str">
        <f t="shared" si="133"/>
        <v/>
      </c>
      <c r="F771" s="11"/>
      <c r="G771" s="16" t="str">
        <f t="shared" si="134"/>
        <v/>
      </c>
      <c r="H771" s="17"/>
      <c r="I771" s="16" t="str">
        <f t="shared" si="135"/>
        <v/>
      </c>
      <c r="J771" s="16" t="str">
        <f t="shared" si="136"/>
        <v/>
      </c>
      <c r="K771" s="18" t="str">
        <f t="shared" si="137"/>
        <v/>
      </c>
      <c r="L771" s="16" t="str">
        <f t="shared" si="138"/>
        <v/>
      </c>
      <c r="M771" s="16" t="str">
        <f t="shared" si="139"/>
        <v/>
      </c>
      <c r="N771" s="16" t="str">
        <f t="shared" si="140"/>
        <v/>
      </c>
      <c r="O771" s="16" t="str">
        <f t="shared" si="141"/>
        <v/>
      </c>
      <c r="P771" s="16" t="str">
        <f t="shared" si="142"/>
        <v/>
      </c>
      <c r="Q771" s="18" t="str">
        <f t="shared" si="143"/>
        <v/>
      </c>
      <c r="R771" s="19" t="str">
        <f>IF(C771="","",IF(ISNA(MATCH(B771,'Registru oferte'!$B$5:$B$504,0)),"Oferta nu există în registru",IF(N(F771)&lt;=0,"Lipsește cantitatea",IF(AND(ISNUMBER(Q771),Q771&lt;MarjaMin),"Marjă sub minim ("&amp;TEXT(Q771*100,"0")&amp;"%)",""))))</f>
        <v/>
      </c>
      <c r="S771" s="1" t="str">
        <f>IF(B771="","",B771&amp;"|"&amp;COUNTIF($B$5:B771,B771))</f>
        <v/>
      </c>
    </row>
    <row r="772" spans="2:19" x14ac:dyDescent="0.2">
      <c r="B772" s="11"/>
      <c r="C772" s="11"/>
      <c r="D772" s="10" t="str">
        <f t="shared" si="132"/>
        <v/>
      </c>
      <c r="E772" s="15" t="str">
        <f t="shared" si="133"/>
        <v/>
      </c>
      <c r="F772" s="11"/>
      <c r="G772" s="16" t="str">
        <f t="shared" si="134"/>
        <v/>
      </c>
      <c r="H772" s="17"/>
      <c r="I772" s="16" t="str">
        <f t="shared" si="135"/>
        <v/>
      </c>
      <c r="J772" s="16" t="str">
        <f t="shared" si="136"/>
        <v/>
      </c>
      <c r="K772" s="18" t="str">
        <f t="shared" si="137"/>
        <v/>
      </c>
      <c r="L772" s="16" t="str">
        <f t="shared" si="138"/>
        <v/>
      </c>
      <c r="M772" s="16" t="str">
        <f t="shared" si="139"/>
        <v/>
      </c>
      <c r="N772" s="16" t="str">
        <f t="shared" si="140"/>
        <v/>
      </c>
      <c r="O772" s="16" t="str">
        <f t="shared" si="141"/>
        <v/>
      </c>
      <c r="P772" s="16" t="str">
        <f t="shared" si="142"/>
        <v/>
      </c>
      <c r="Q772" s="18" t="str">
        <f t="shared" si="143"/>
        <v/>
      </c>
      <c r="R772" s="19" t="str">
        <f>IF(C772="","",IF(ISNA(MATCH(B772,'Registru oferte'!$B$5:$B$504,0)),"Oferta nu există în registru",IF(N(F772)&lt;=0,"Lipsește cantitatea",IF(AND(ISNUMBER(Q772),Q772&lt;MarjaMin),"Marjă sub minim ("&amp;TEXT(Q772*100,"0")&amp;"%)",""))))</f>
        <v/>
      </c>
      <c r="S772" s="1" t="str">
        <f>IF(B772="","",B772&amp;"|"&amp;COUNTIF($B$5:B772,B772))</f>
        <v/>
      </c>
    </row>
    <row r="773" spans="2:19" x14ac:dyDescent="0.2">
      <c r="B773" s="11"/>
      <c r="C773" s="11"/>
      <c r="D773" s="10" t="str">
        <f t="shared" ref="D773:D836" si="144">IF(C773="","",IFERROR(VLOOKUP(C773,TabCat,2,FALSE),"Cod inexistent"))</f>
        <v/>
      </c>
      <c r="E773" s="15" t="str">
        <f t="shared" ref="E773:E836" si="145">IF(C773="","",IFERROR(VLOOKUP(C773,TabCat,3,FALSE),""))</f>
        <v/>
      </c>
      <c r="F773" s="11"/>
      <c r="G773" s="16" t="str">
        <f t="shared" ref="G773:G836" si="146">IF(C773="","",IFERROR(VLOOKUP(C773,TabCat,4,FALSE),0))</f>
        <v/>
      </c>
      <c r="H773" s="17"/>
      <c r="I773" s="16" t="str">
        <f t="shared" ref="I773:I836" si="147">IF(C773="","",ROUND(G773*(1-N(H773)),2))</f>
        <v/>
      </c>
      <c r="J773" s="16" t="str">
        <f t="shared" ref="J773:J836" si="148">IF(C773="","",ROUND(I773*N(F773),2))</f>
        <v/>
      </c>
      <c r="K773" s="18" t="str">
        <f t="shared" ref="K773:K836" si="149">IF(C773="","",IFERROR(VLOOKUP(C773,TabCat,6,FALSE),0))</f>
        <v/>
      </c>
      <c r="L773" s="16" t="str">
        <f t="shared" ref="L773:L836" si="150">IF(C773="","",ROUND(J773*K773,2))</f>
        <v/>
      </c>
      <c r="M773" s="16" t="str">
        <f t="shared" ref="M773:M836" si="151">IF(C773="","",J773+L773)</f>
        <v/>
      </c>
      <c r="N773" s="16" t="str">
        <f t="shared" ref="N773:N836" si="152">IF(C773="","",IFERROR(VLOOKUP(C773,TabCat,5,FALSE),0))</f>
        <v/>
      </c>
      <c r="O773" s="16" t="str">
        <f t="shared" ref="O773:O836" si="153">IF(C773="","",ROUND(N773*N(F773),2))</f>
        <v/>
      </c>
      <c r="P773" s="16" t="str">
        <f t="shared" ref="P773:P836" si="154">IF(C773="","",J773-O773)</f>
        <v/>
      </c>
      <c r="Q773" s="18" t="str">
        <f t="shared" ref="Q773:Q836" si="155">IF(OR(C773="",N(J773)=0),"",P773/J773)</f>
        <v/>
      </c>
      <c r="R773" s="19" t="str">
        <f>IF(C773="","",IF(ISNA(MATCH(B773,'Registru oferte'!$B$5:$B$504,0)),"Oferta nu există în registru",IF(N(F773)&lt;=0,"Lipsește cantitatea",IF(AND(ISNUMBER(Q773),Q773&lt;MarjaMin),"Marjă sub minim ("&amp;TEXT(Q773*100,"0")&amp;"%)",""))))</f>
        <v/>
      </c>
      <c r="S773" s="1" t="str">
        <f>IF(B773="","",B773&amp;"|"&amp;COUNTIF($B$5:B773,B773))</f>
        <v/>
      </c>
    </row>
    <row r="774" spans="2:19" x14ac:dyDescent="0.2">
      <c r="B774" s="11"/>
      <c r="C774" s="11"/>
      <c r="D774" s="10" t="str">
        <f t="shared" si="144"/>
        <v/>
      </c>
      <c r="E774" s="15" t="str">
        <f t="shared" si="145"/>
        <v/>
      </c>
      <c r="F774" s="11"/>
      <c r="G774" s="16" t="str">
        <f t="shared" si="146"/>
        <v/>
      </c>
      <c r="H774" s="17"/>
      <c r="I774" s="16" t="str">
        <f t="shared" si="147"/>
        <v/>
      </c>
      <c r="J774" s="16" t="str">
        <f t="shared" si="148"/>
        <v/>
      </c>
      <c r="K774" s="18" t="str">
        <f t="shared" si="149"/>
        <v/>
      </c>
      <c r="L774" s="16" t="str">
        <f t="shared" si="150"/>
        <v/>
      </c>
      <c r="M774" s="16" t="str">
        <f t="shared" si="151"/>
        <v/>
      </c>
      <c r="N774" s="16" t="str">
        <f t="shared" si="152"/>
        <v/>
      </c>
      <c r="O774" s="16" t="str">
        <f t="shared" si="153"/>
        <v/>
      </c>
      <c r="P774" s="16" t="str">
        <f t="shared" si="154"/>
        <v/>
      </c>
      <c r="Q774" s="18" t="str">
        <f t="shared" si="155"/>
        <v/>
      </c>
      <c r="R774" s="19" t="str">
        <f>IF(C774="","",IF(ISNA(MATCH(B774,'Registru oferte'!$B$5:$B$504,0)),"Oferta nu există în registru",IF(N(F774)&lt;=0,"Lipsește cantitatea",IF(AND(ISNUMBER(Q774),Q774&lt;MarjaMin),"Marjă sub minim ("&amp;TEXT(Q774*100,"0")&amp;"%)",""))))</f>
        <v/>
      </c>
      <c r="S774" s="1" t="str">
        <f>IF(B774="","",B774&amp;"|"&amp;COUNTIF($B$5:B774,B774))</f>
        <v/>
      </c>
    </row>
    <row r="775" spans="2:19" x14ac:dyDescent="0.2">
      <c r="B775" s="11"/>
      <c r="C775" s="11"/>
      <c r="D775" s="10" t="str">
        <f t="shared" si="144"/>
        <v/>
      </c>
      <c r="E775" s="15" t="str">
        <f t="shared" si="145"/>
        <v/>
      </c>
      <c r="F775" s="11"/>
      <c r="G775" s="16" t="str">
        <f t="shared" si="146"/>
        <v/>
      </c>
      <c r="H775" s="17"/>
      <c r="I775" s="16" t="str">
        <f t="shared" si="147"/>
        <v/>
      </c>
      <c r="J775" s="16" t="str">
        <f t="shared" si="148"/>
        <v/>
      </c>
      <c r="K775" s="18" t="str">
        <f t="shared" si="149"/>
        <v/>
      </c>
      <c r="L775" s="16" t="str">
        <f t="shared" si="150"/>
        <v/>
      </c>
      <c r="M775" s="16" t="str">
        <f t="shared" si="151"/>
        <v/>
      </c>
      <c r="N775" s="16" t="str">
        <f t="shared" si="152"/>
        <v/>
      </c>
      <c r="O775" s="16" t="str">
        <f t="shared" si="153"/>
        <v/>
      </c>
      <c r="P775" s="16" t="str">
        <f t="shared" si="154"/>
        <v/>
      </c>
      <c r="Q775" s="18" t="str">
        <f t="shared" si="155"/>
        <v/>
      </c>
      <c r="R775" s="19" t="str">
        <f>IF(C775="","",IF(ISNA(MATCH(B775,'Registru oferte'!$B$5:$B$504,0)),"Oferta nu există în registru",IF(N(F775)&lt;=0,"Lipsește cantitatea",IF(AND(ISNUMBER(Q775),Q775&lt;MarjaMin),"Marjă sub minim ("&amp;TEXT(Q775*100,"0")&amp;"%)",""))))</f>
        <v/>
      </c>
      <c r="S775" s="1" t="str">
        <f>IF(B775="","",B775&amp;"|"&amp;COUNTIF($B$5:B775,B775))</f>
        <v/>
      </c>
    </row>
    <row r="776" spans="2:19" x14ac:dyDescent="0.2">
      <c r="B776" s="11"/>
      <c r="C776" s="11"/>
      <c r="D776" s="10" t="str">
        <f t="shared" si="144"/>
        <v/>
      </c>
      <c r="E776" s="15" t="str">
        <f t="shared" si="145"/>
        <v/>
      </c>
      <c r="F776" s="11"/>
      <c r="G776" s="16" t="str">
        <f t="shared" si="146"/>
        <v/>
      </c>
      <c r="H776" s="17"/>
      <c r="I776" s="16" t="str">
        <f t="shared" si="147"/>
        <v/>
      </c>
      <c r="J776" s="16" t="str">
        <f t="shared" si="148"/>
        <v/>
      </c>
      <c r="K776" s="18" t="str">
        <f t="shared" si="149"/>
        <v/>
      </c>
      <c r="L776" s="16" t="str">
        <f t="shared" si="150"/>
        <v/>
      </c>
      <c r="M776" s="16" t="str">
        <f t="shared" si="151"/>
        <v/>
      </c>
      <c r="N776" s="16" t="str">
        <f t="shared" si="152"/>
        <v/>
      </c>
      <c r="O776" s="16" t="str">
        <f t="shared" si="153"/>
        <v/>
      </c>
      <c r="P776" s="16" t="str">
        <f t="shared" si="154"/>
        <v/>
      </c>
      <c r="Q776" s="18" t="str">
        <f t="shared" si="155"/>
        <v/>
      </c>
      <c r="R776" s="19" t="str">
        <f>IF(C776="","",IF(ISNA(MATCH(B776,'Registru oferte'!$B$5:$B$504,0)),"Oferta nu există în registru",IF(N(F776)&lt;=0,"Lipsește cantitatea",IF(AND(ISNUMBER(Q776),Q776&lt;MarjaMin),"Marjă sub minim ("&amp;TEXT(Q776*100,"0")&amp;"%)",""))))</f>
        <v/>
      </c>
      <c r="S776" s="1" t="str">
        <f>IF(B776="","",B776&amp;"|"&amp;COUNTIF($B$5:B776,B776))</f>
        <v/>
      </c>
    </row>
    <row r="777" spans="2:19" x14ac:dyDescent="0.2">
      <c r="B777" s="11"/>
      <c r="C777" s="11"/>
      <c r="D777" s="10" t="str">
        <f t="shared" si="144"/>
        <v/>
      </c>
      <c r="E777" s="15" t="str">
        <f t="shared" si="145"/>
        <v/>
      </c>
      <c r="F777" s="11"/>
      <c r="G777" s="16" t="str">
        <f t="shared" si="146"/>
        <v/>
      </c>
      <c r="H777" s="17"/>
      <c r="I777" s="16" t="str">
        <f t="shared" si="147"/>
        <v/>
      </c>
      <c r="J777" s="16" t="str">
        <f t="shared" si="148"/>
        <v/>
      </c>
      <c r="K777" s="18" t="str">
        <f t="shared" si="149"/>
        <v/>
      </c>
      <c r="L777" s="16" t="str">
        <f t="shared" si="150"/>
        <v/>
      </c>
      <c r="M777" s="16" t="str">
        <f t="shared" si="151"/>
        <v/>
      </c>
      <c r="N777" s="16" t="str">
        <f t="shared" si="152"/>
        <v/>
      </c>
      <c r="O777" s="16" t="str">
        <f t="shared" si="153"/>
        <v/>
      </c>
      <c r="P777" s="16" t="str">
        <f t="shared" si="154"/>
        <v/>
      </c>
      <c r="Q777" s="18" t="str">
        <f t="shared" si="155"/>
        <v/>
      </c>
      <c r="R777" s="19" t="str">
        <f>IF(C777="","",IF(ISNA(MATCH(B777,'Registru oferte'!$B$5:$B$504,0)),"Oferta nu există în registru",IF(N(F777)&lt;=0,"Lipsește cantitatea",IF(AND(ISNUMBER(Q777),Q777&lt;MarjaMin),"Marjă sub minim ("&amp;TEXT(Q777*100,"0")&amp;"%)",""))))</f>
        <v/>
      </c>
      <c r="S777" s="1" t="str">
        <f>IF(B777="","",B777&amp;"|"&amp;COUNTIF($B$5:B777,B777))</f>
        <v/>
      </c>
    </row>
    <row r="778" spans="2:19" x14ac:dyDescent="0.2">
      <c r="B778" s="11"/>
      <c r="C778" s="11"/>
      <c r="D778" s="10" t="str">
        <f t="shared" si="144"/>
        <v/>
      </c>
      <c r="E778" s="15" t="str">
        <f t="shared" si="145"/>
        <v/>
      </c>
      <c r="F778" s="11"/>
      <c r="G778" s="16" t="str">
        <f t="shared" si="146"/>
        <v/>
      </c>
      <c r="H778" s="17"/>
      <c r="I778" s="16" t="str">
        <f t="shared" si="147"/>
        <v/>
      </c>
      <c r="J778" s="16" t="str">
        <f t="shared" si="148"/>
        <v/>
      </c>
      <c r="K778" s="18" t="str">
        <f t="shared" si="149"/>
        <v/>
      </c>
      <c r="L778" s="16" t="str">
        <f t="shared" si="150"/>
        <v/>
      </c>
      <c r="M778" s="16" t="str">
        <f t="shared" si="151"/>
        <v/>
      </c>
      <c r="N778" s="16" t="str">
        <f t="shared" si="152"/>
        <v/>
      </c>
      <c r="O778" s="16" t="str">
        <f t="shared" si="153"/>
        <v/>
      </c>
      <c r="P778" s="16" t="str">
        <f t="shared" si="154"/>
        <v/>
      </c>
      <c r="Q778" s="18" t="str">
        <f t="shared" si="155"/>
        <v/>
      </c>
      <c r="R778" s="19" t="str">
        <f>IF(C778="","",IF(ISNA(MATCH(B778,'Registru oferte'!$B$5:$B$504,0)),"Oferta nu există în registru",IF(N(F778)&lt;=0,"Lipsește cantitatea",IF(AND(ISNUMBER(Q778),Q778&lt;MarjaMin),"Marjă sub minim ("&amp;TEXT(Q778*100,"0")&amp;"%)",""))))</f>
        <v/>
      </c>
      <c r="S778" s="1" t="str">
        <f>IF(B778="","",B778&amp;"|"&amp;COUNTIF($B$5:B778,B778))</f>
        <v/>
      </c>
    </row>
    <row r="779" spans="2:19" x14ac:dyDescent="0.2">
      <c r="B779" s="11"/>
      <c r="C779" s="11"/>
      <c r="D779" s="10" t="str">
        <f t="shared" si="144"/>
        <v/>
      </c>
      <c r="E779" s="15" t="str">
        <f t="shared" si="145"/>
        <v/>
      </c>
      <c r="F779" s="11"/>
      <c r="G779" s="16" t="str">
        <f t="shared" si="146"/>
        <v/>
      </c>
      <c r="H779" s="17"/>
      <c r="I779" s="16" t="str">
        <f t="shared" si="147"/>
        <v/>
      </c>
      <c r="J779" s="16" t="str">
        <f t="shared" si="148"/>
        <v/>
      </c>
      <c r="K779" s="18" t="str">
        <f t="shared" si="149"/>
        <v/>
      </c>
      <c r="L779" s="16" t="str">
        <f t="shared" si="150"/>
        <v/>
      </c>
      <c r="M779" s="16" t="str">
        <f t="shared" si="151"/>
        <v/>
      </c>
      <c r="N779" s="16" t="str">
        <f t="shared" si="152"/>
        <v/>
      </c>
      <c r="O779" s="16" t="str">
        <f t="shared" si="153"/>
        <v/>
      </c>
      <c r="P779" s="16" t="str">
        <f t="shared" si="154"/>
        <v/>
      </c>
      <c r="Q779" s="18" t="str">
        <f t="shared" si="155"/>
        <v/>
      </c>
      <c r="R779" s="19" t="str">
        <f>IF(C779="","",IF(ISNA(MATCH(B779,'Registru oferte'!$B$5:$B$504,0)),"Oferta nu există în registru",IF(N(F779)&lt;=0,"Lipsește cantitatea",IF(AND(ISNUMBER(Q779),Q779&lt;MarjaMin),"Marjă sub minim ("&amp;TEXT(Q779*100,"0")&amp;"%)",""))))</f>
        <v/>
      </c>
      <c r="S779" s="1" t="str">
        <f>IF(B779="","",B779&amp;"|"&amp;COUNTIF($B$5:B779,B779))</f>
        <v/>
      </c>
    </row>
    <row r="780" spans="2:19" x14ac:dyDescent="0.2">
      <c r="B780" s="11"/>
      <c r="C780" s="11"/>
      <c r="D780" s="10" t="str">
        <f t="shared" si="144"/>
        <v/>
      </c>
      <c r="E780" s="15" t="str">
        <f t="shared" si="145"/>
        <v/>
      </c>
      <c r="F780" s="11"/>
      <c r="G780" s="16" t="str">
        <f t="shared" si="146"/>
        <v/>
      </c>
      <c r="H780" s="17"/>
      <c r="I780" s="16" t="str">
        <f t="shared" si="147"/>
        <v/>
      </c>
      <c r="J780" s="16" t="str">
        <f t="shared" si="148"/>
        <v/>
      </c>
      <c r="K780" s="18" t="str">
        <f t="shared" si="149"/>
        <v/>
      </c>
      <c r="L780" s="16" t="str">
        <f t="shared" si="150"/>
        <v/>
      </c>
      <c r="M780" s="16" t="str">
        <f t="shared" si="151"/>
        <v/>
      </c>
      <c r="N780" s="16" t="str">
        <f t="shared" si="152"/>
        <v/>
      </c>
      <c r="O780" s="16" t="str">
        <f t="shared" si="153"/>
        <v/>
      </c>
      <c r="P780" s="16" t="str">
        <f t="shared" si="154"/>
        <v/>
      </c>
      <c r="Q780" s="18" t="str">
        <f t="shared" si="155"/>
        <v/>
      </c>
      <c r="R780" s="19" t="str">
        <f>IF(C780="","",IF(ISNA(MATCH(B780,'Registru oferte'!$B$5:$B$504,0)),"Oferta nu există în registru",IF(N(F780)&lt;=0,"Lipsește cantitatea",IF(AND(ISNUMBER(Q780),Q780&lt;MarjaMin),"Marjă sub minim ("&amp;TEXT(Q780*100,"0")&amp;"%)",""))))</f>
        <v/>
      </c>
      <c r="S780" s="1" t="str">
        <f>IF(B780="","",B780&amp;"|"&amp;COUNTIF($B$5:B780,B780))</f>
        <v/>
      </c>
    </row>
    <row r="781" spans="2:19" x14ac:dyDescent="0.2">
      <c r="B781" s="11"/>
      <c r="C781" s="11"/>
      <c r="D781" s="10" t="str">
        <f t="shared" si="144"/>
        <v/>
      </c>
      <c r="E781" s="15" t="str">
        <f t="shared" si="145"/>
        <v/>
      </c>
      <c r="F781" s="11"/>
      <c r="G781" s="16" t="str">
        <f t="shared" si="146"/>
        <v/>
      </c>
      <c r="H781" s="17"/>
      <c r="I781" s="16" t="str">
        <f t="shared" si="147"/>
        <v/>
      </c>
      <c r="J781" s="16" t="str">
        <f t="shared" si="148"/>
        <v/>
      </c>
      <c r="K781" s="18" t="str">
        <f t="shared" si="149"/>
        <v/>
      </c>
      <c r="L781" s="16" t="str">
        <f t="shared" si="150"/>
        <v/>
      </c>
      <c r="M781" s="16" t="str">
        <f t="shared" si="151"/>
        <v/>
      </c>
      <c r="N781" s="16" t="str">
        <f t="shared" si="152"/>
        <v/>
      </c>
      <c r="O781" s="16" t="str">
        <f t="shared" si="153"/>
        <v/>
      </c>
      <c r="P781" s="16" t="str">
        <f t="shared" si="154"/>
        <v/>
      </c>
      <c r="Q781" s="18" t="str">
        <f t="shared" si="155"/>
        <v/>
      </c>
      <c r="R781" s="19" t="str">
        <f>IF(C781="","",IF(ISNA(MATCH(B781,'Registru oferte'!$B$5:$B$504,0)),"Oferta nu există în registru",IF(N(F781)&lt;=0,"Lipsește cantitatea",IF(AND(ISNUMBER(Q781),Q781&lt;MarjaMin),"Marjă sub minim ("&amp;TEXT(Q781*100,"0")&amp;"%)",""))))</f>
        <v/>
      </c>
      <c r="S781" s="1" t="str">
        <f>IF(B781="","",B781&amp;"|"&amp;COUNTIF($B$5:B781,B781))</f>
        <v/>
      </c>
    </row>
    <row r="782" spans="2:19" x14ac:dyDescent="0.2">
      <c r="B782" s="11"/>
      <c r="C782" s="11"/>
      <c r="D782" s="10" t="str">
        <f t="shared" si="144"/>
        <v/>
      </c>
      <c r="E782" s="15" t="str">
        <f t="shared" si="145"/>
        <v/>
      </c>
      <c r="F782" s="11"/>
      <c r="G782" s="16" t="str">
        <f t="shared" si="146"/>
        <v/>
      </c>
      <c r="H782" s="17"/>
      <c r="I782" s="16" t="str">
        <f t="shared" si="147"/>
        <v/>
      </c>
      <c r="J782" s="16" t="str">
        <f t="shared" si="148"/>
        <v/>
      </c>
      <c r="K782" s="18" t="str">
        <f t="shared" si="149"/>
        <v/>
      </c>
      <c r="L782" s="16" t="str">
        <f t="shared" si="150"/>
        <v/>
      </c>
      <c r="M782" s="16" t="str">
        <f t="shared" si="151"/>
        <v/>
      </c>
      <c r="N782" s="16" t="str">
        <f t="shared" si="152"/>
        <v/>
      </c>
      <c r="O782" s="16" t="str">
        <f t="shared" si="153"/>
        <v/>
      </c>
      <c r="P782" s="16" t="str">
        <f t="shared" si="154"/>
        <v/>
      </c>
      <c r="Q782" s="18" t="str">
        <f t="shared" si="155"/>
        <v/>
      </c>
      <c r="R782" s="19" t="str">
        <f>IF(C782="","",IF(ISNA(MATCH(B782,'Registru oferte'!$B$5:$B$504,0)),"Oferta nu există în registru",IF(N(F782)&lt;=0,"Lipsește cantitatea",IF(AND(ISNUMBER(Q782),Q782&lt;MarjaMin),"Marjă sub minim ("&amp;TEXT(Q782*100,"0")&amp;"%)",""))))</f>
        <v/>
      </c>
      <c r="S782" s="1" t="str">
        <f>IF(B782="","",B782&amp;"|"&amp;COUNTIF($B$5:B782,B782))</f>
        <v/>
      </c>
    </row>
    <row r="783" spans="2:19" x14ac:dyDescent="0.2">
      <c r="B783" s="11"/>
      <c r="C783" s="11"/>
      <c r="D783" s="10" t="str">
        <f t="shared" si="144"/>
        <v/>
      </c>
      <c r="E783" s="15" t="str">
        <f t="shared" si="145"/>
        <v/>
      </c>
      <c r="F783" s="11"/>
      <c r="G783" s="16" t="str">
        <f t="shared" si="146"/>
        <v/>
      </c>
      <c r="H783" s="17"/>
      <c r="I783" s="16" t="str">
        <f t="shared" si="147"/>
        <v/>
      </c>
      <c r="J783" s="16" t="str">
        <f t="shared" si="148"/>
        <v/>
      </c>
      <c r="K783" s="18" t="str">
        <f t="shared" si="149"/>
        <v/>
      </c>
      <c r="L783" s="16" t="str">
        <f t="shared" si="150"/>
        <v/>
      </c>
      <c r="M783" s="16" t="str">
        <f t="shared" si="151"/>
        <v/>
      </c>
      <c r="N783" s="16" t="str">
        <f t="shared" si="152"/>
        <v/>
      </c>
      <c r="O783" s="16" t="str">
        <f t="shared" si="153"/>
        <v/>
      </c>
      <c r="P783" s="16" t="str">
        <f t="shared" si="154"/>
        <v/>
      </c>
      <c r="Q783" s="18" t="str">
        <f t="shared" si="155"/>
        <v/>
      </c>
      <c r="R783" s="19" t="str">
        <f>IF(C783="","",IF(ISNA(MATCH(B783,'Registru oferte'!$B$5:$B$504,0)),"Oferta nu există în registru",IF(N(F783)&lt;=0,"Lipsește cantitatea",IF(AND(ISNUMBER(Q783),Q783&lt;MarjaMin),"Marjă sub minim ("&amp;TEXT(Q783*100,"0")&amp;"%)",""))))</f>
        <v/>
      </c>
      <c r="S783" s="1" t="str">
        <f>IF(B783="","",B783&amp;"|"&amp;COUNTIF($B$5:B783,B783))</f>
        <v/>
      </c>
    </row>
    <row r="784" spans="2:19" x14ac:dyDescent="0.2">
      <c r="B784" s="11"/>
      <c r="C784" s="11"/>
      <c r="D784" s="10" t="str">
        <f t="shared" si="144"/>
        <v/>
      </c>
      <c r="E784" s="15" t="str">
        <f t="shared" si="145"/>
        <v/>
      </c>
      <c r="F784" s="11"/>
      <c r="G784" s="16" t="str">
        <f t="shared" si="146"/>
        <v/>
      </c>
      <c r="H784" s="17"/>
      <c r="I784" s="16" t="str">
        <f t="shared" si="147"/>
        <v/>
      </c>
      <c r="J784" s="16" t="str">
        <f t="shared" si="148"/>
        <v/>
      </c>
      <c r="K784" s="18" t="str">
        <f t="shared" si="149"/>
        <v/>
      </c>
      <c r="L784" s="16" t="str">
        <f t="shared" si="150"/>
        <v/>
      </c>
      <c r="M784" s="16" t="str">
        <f t="shared" si="151"/>
        <v/>
      </c>
      <c r="N784" s="16" t="str">
        <f t="shared" si="152"/>
        <v/>
      </c>
      <c r="O784" s="16" t="str">
        <f t="shared" si="153"/>
        <v/>
      </c>
      <c r="P784" s="16" t="str">
        <f t="shared" si="154"/>
        <v/>
      </c>
      <c r="Q784" s="18" t="str">
        <f t="shared" si="155"/>
        <v/>
      </c>
      <c r="R784" s="19" t="str">
        <f>IF(C784="","",IF(ISNA(MATCH(B784,'Registru oferte'!$B$5:$B$504,0)),"Oferta nu există în registru",IF(N(F784)&lt;=0,"Lipsește cantitatea",IF(AND(ISNUMBER(Q784),Q784&lt;MarjaMin),"Marjă sub minim ("&amp;TEXT(Q784*100,"0")&amp;"%)",""))))</f>
        <v/>
      </c>
      <c r="S784" s="1" t="str">
        <f>IF(B784="","",B784&amp;"|"&amp;COUNTIF($B$5:B784,B784))</f>
        <v/>
      </c>
    </row>
    <row r="785" spans="2:19" x14ac:dyDescent="0.2">
      <c r="B785" s="11"/>
      <c r="C785" s="11"/>
      <c r="D785" s="10" t="str">
        <f t="shared" si="144"/>
        <v/>
      </c>
      <c r="E785" s="15" t="str">
        <f t="shared" si="145"/>
        <v/>
      </c>
      <c r="F785" s="11"/>
      <c r="G785" s="16" t="str">
        <f t="shared" si="146"/>
        <v/>
      </c>
      <c r="H785" s="17"/>
      <c r="I785" s="16" t="str">
        <f t="shared" si="147"/>
        <v/>
      </c>
      <c r="J785" s="16" t="str">
        <f t="shared" si="148"/>
        <v/>
      </c>
      <c r="K785" s="18" t="str">
        <f t="shared" si="149"/>
        <v/>
      </c>
      <c r="L785" s="16" t="str">
        <f t="shared" si="150"/>
        <v/>
      </c>
      <c r="M785" s="16" t="str">
        <f t="shared" si="151"/>
        <v/>
      </c>
      <c r="N785" s="16" t="str">
        <f t="shared" si="152"/>
        <v/>
      </c>
      <c r="O785" s="16" t="str">
        <f t="shared" si="153"/>
        <v/>
      </c>
      <c r="P785" s="16" t="str">
        <f t="shared" si="154"/>
        <v/>
      </c>
      <c r="Q785" s="18" t="str">
        <f t="shared" si="155"/>
        <v/>
      </c>
      <c r="R785" s="19" t="str">
        <f>IF(C785="","",IF(ISNA(MATCH(B785,'Registru oferte'!$B$5:$B$504,0)),"Oferta nu există în registru",IF(N(F785)&lt;=0,"Lipsește cantitatea",IF(AND(ISNUMBER(Q785),Q785&lt;MarjaMin),"Marjă sub minim ("&amp;TEXT(Q785*100,"0")&amp;"%)",""))))</f>
        <v/>
      </c>
      <c r="S785" s="1" t="str">
        <f>IF(B785="","",B785&amp;"|"&amp;COUNTIF($B$5:B785,B785))</f>
        <v/>
      </c>
    </row>
    <row r="786" spans="2:19" x14ac:dyDescent="0.2">
      <c r="B786" s="11"/>
      <c r="C786" s="11"/>
      <c r="D786" s="10" t="str">
        <f t="shared" si="144"/>
        <v/>
      </c>
      <c r="E786" s="15" t="str">
        <f t="shared" si="145"/>
        <v/>
      </c>
      <c r="F786" s="11"/>
      <c r="G786" s="16" t="str">
        <f t="shared" si="146"/>
        <v/>
      </c>
      <c r="H786" s="17"/>
      <c r="I786" s="16" t="str">
        <f t="shared" si="147"/>
        <v/>
      </c>
      <c r="J786" s="16" t="str">
        <f t="shared" si="148"/>
        <v/>
      </c>
      <c r="K786" s="18" t="str">
        <f t="shared" si="149"/>
        <v/>
      </c>
      <c r="L786" s="16" t="str">
        <f t="shared" si="150"/>
        <v/>
      </c>
      <c r="M786" s="16" t="str">
        <f t="shared" si="151"/>
        <v/>
      </c>
      <c r="N786" s="16" t="str">
        <f t="shared" si="152"/>
        <v/>
      </c>
      <c r="O786" s="16" t="str">
        <f t="shared" si="153"/>
        <v/>
      </c>
      <c r="P786" s="16" t="str">
        <f t="shared" si="154"/>
        <v/>
      </c>
      <c r="Q786" s="18" t="str">
        <f t="shared" si="155"/>
        <v/>
      </c>
      <c r="R786" s="19" t="str">
        <f>IF(C786="","",IF(ISNA(MATCH(B786,'Registru oferte'!$B$5:$B$504,0)),"Oferta nu există în registru",IF(N(F786)&lt;=0,"Lipsește cantitatea",IF(AND(ISNUMBER(Q786),Q786&lt;MarjaMin),"Marjă sub minim ("&amp;TEXT(Q786*100,"0")&amp;"%)",""))))</f>
        <v/>
      </c>
      <c r="S786" s="1" t="str">
        <f>IF(B786="","",B786&amp;"|"&amp;COUNTIF($B$5:B786,B786))</f>
        <v/>
      </c>
    </row>
    <row r="787" spans="2:19" x14ac:dyDescent="0.2">
      <c r="B787" s="11"/>
      <c r="C787" s="11"/>
      <c r="D787" s="10" t="str">
        <f t="shared" si="144"/>
        <v/>
      </c>
      <c r="E787" s="15" t="str">
        <f t="shared" si="145"/>
        <v/>
      </c>
      <c r="F787" s="11"/>
      <c r="G787" s="16" t="str">
        <f t="shared" si="146"/>
        <v/>
      </c>
      <c r="H787" s="17"/>
      <c r="I787" s="16" t="str">
        <f t="shared" si="147"/>
        <v/>
      </c>
      <c r="J787" s="16" t="str">
        <f t="shared" si="148"/>
        <v/>
      </c>
      <c r="K787" s="18" t="str">
        <f t="shared" si="149"/>
        <v/>
      </c>
      <c r="L787" s="16" t="str">
        <f t="shared" si="150"/>
        <v/>
      </c>
      <c r="M787" s="16" t="str">
        <f t="shared" si="151"/>
        <v/>
      </c>
      <c r="N787" s="16" t="str">
        <f t="shared" si="152"/>
        <v/>
      </c>
      <c r="O787" s="16" t="str">
        <f t="shared" si="153"/>
        <v/>
      </c>
      <c r="P787" s="16" t="str">
        <f t="shared" si="154"/>
        <v/>
      </c>
      <c r="Q787" s="18" t="str">
        <f t="shared" si="155"/>
        <v/>
      </c>
      <c r="R787" s="19" t="str">
        <f>IF(C787="","",IF(ISNA(MATCH(B787,'Registru oferte'!$B$5:$B$504,0)),"Oferta nu există în registru",IF(N(F787)&lt;=0,"Lipsește cantitatea",IF(AND(ISNUMBER(Q787),Q787&lt;MarjaMin),"Marjă sub minim ("&amp;TEXT(Q787*100,"0")&amp;"%)",""))))</f>
        <v/>
      </c>
      <c r="S787" s="1" t="str">
        <f>IF(B787="","",B787&amp;"|"&amp;COUNTIF($B$5:B787,B787))</f>
        <v/>
      </c>
    </row>
    <row r="788" spans="2:19" x14ac:dyDescent="0.2">
      <c r="B788" s="11"/>
      <c r="C788" s="11"/>
      <c r="D788" s="10" t="str">
        <f t="shared" si="144"/>
        <v/>
      </c>
      <c r="E788" s="15" t="str">
        <f t="shared" si="145"/>
        <v/>
      </c>
      <c r="F788" s="11"/>
      <c r="G788" s="16" t="str">
        <f t="shared" si="146"/>
        <v/>
      </c>
      <c r="H788" s="17"/>
      <c r="I788" s="16" t="str">
        <f t="shared" si="147"/>
        <v/>
      </c>
      <c r="J788" s="16" t="str">
        <f t="shared" si="148"/>
        <v/>
      </c>
      <c r="K788" s="18" t="str">
        <f t="shared" si="149"/>
        <v/>
      </c>
      <c r="L788" s="16" t="str">
        <f t="shared" si="150"/>
        <v/>
      </c>
      <c r="M788" s="16" t="str">
        <f t="shared" si="151"/>
        <v/>
      </c>
      <c r="N788" s="16" t="str">
        <f t="shared" si="152"/>
        <v/>
      </c>
      <c r="O788" s="16" t="str">
        <f t="shared" si="153"/>
        <v/>
      </c>
      <c r="P788" s="16" t="str">
        <f t="shared" si="154"/>
        <v/>
      </c>
      <c r="Q788" s="18" t="str">
        <f t="shared" si="155"/>
        <v/>
      </c>
      <c r="R788" s="19" t="str">
        <f>IF(C788="","",IF(ISNA(MATCH(B788,'Registru oferte'!$B$5:$B$504,0)),"Oferta nu există în registru",IF(N(F788)&lt;=0,"Lipsește cantitatea",IF(AND(ISNUMBER(Q788),Q788&lt;MarjaMin),"Marjă sub minim ("&amp;TEXT(Q788*100,"0")&amp;"%)",""))))</f>
        <v/>
      </c>
      <c r="S788" s="1" t="str">
        <f>IF(B788="","",B788&amp;"|"&amp;COUNTIF($B$5:B788,B788))</f>
        <v/>
      </c>
    </row>
    <row r="789" spans="2:19" x14ac:dyDescent="0.2">
      <c r="B789" s="11"/>
      <c r="C789" s="11"/>
      <c r="D789" s="10" t="str">
        <f t="shared" si="144"/>
        <v/>
      </c>
      <c r="E789" s="15" t="str">
        <f t="shared" si="145"/>
        <v/>
      </c>
      <c r="F789" s="11"/>
      <c r="G789" s="16" t="str">
        <f t="shared" si="146"/>
        <v/>
      </c>
      <c r="H789" s="17"/>
      <c r="I789" s="16" t="str">
        <f t="shared" si="147"/>
        <v/>
      </c>
      <c r="J789" s="16" t="str">
        <f t="shared" si="148"/>
        <v/>
      </c>
      <c r="K789" s="18" t="str">
        <f t="shared" si="149"/>
        <v/>
      </c>
      <c r="L789" s="16" t="str">
        <f t="shared" si="150"/>
        <v/>
      </c>
      <c r="M789" s="16" t="str">
        <f t="shared" si="151"/>
        <v/>
      </c>
      <c r="N789" s="16" t="str">
        <f t="shared" si="152"/>
        <v/>
      </c>
      <c r="O789" s="16" t="str">
        <f t="shared" si="153"/>
        <v/>
      </c>
      <c r="P789" s="16" t="str">
        <f t="shared" si="154"/>
        <v/>
      </c>
      <c r="Q789" s="18" t="str">
        <f t="shared" si="155"/>
        <v/>
      </c>
      <c r="R789" s="19" t="str">
        <f>IF(C789="","",IF(ISNA(MATCH(B789,'Registru oferte'!$B$5:$B$504,0)),"Oferta nu există în registru",IF(N(F789)&lt;=0,"Lipsește cantitatea",IF(AND(ISNUMBER(Q789),Q789&lt;MarjaMin),"Marjă sub minim ("&amp;TEXT(Q789*100,"0")&amp;"%)",""))))</f>
        <v/>
      </c>
      <c r="S789" s="1" t="str">
        <f>IF(B789="","",B789&amp;"|"&amp;COUNTIF($B$5:B789,B789))</f>
        <v/>
      </c>
    </row>
    <row r="790" spans="2:19" x14ac:dyDescent="0.2">
      <c r="B790" s="11"/>
      <c r="C790" s="11"/>
      <c r="D790" s="10" t="str">
        <f t="shared" si="144"/>
        <v/>
      </c>
      <c r="E790" s="15" t="str">
        <f t="shared" si="145"/>
        <v/>
      </c>
      <c r="F790" s="11"/>
      <c r="G790" s="16" t="str">
        <f t="shared" si="146"/>
        <v/>
      </c>
      <c r="H790" s="17"/>
      <c r="I790" s="16" t="str">
        <f t="shared" si="147"/>
        <v/>
      </c>
      <c r="J790" s="16" t="str">
        <f t="shared" si="148"/>
        <v/>
      </c>
      <c r="K790" s="18" t="str">
        <f t="shared" si="149"/>
        <v/>
      </c>
      <c r="L790" s="16" t="str">
        <f t="shared" si="150"/>
        <v/>
      </c>
      <c r="M790" s="16" t="str">
        <f t="shared" si="151"/>
        <v/>
      </c>
      <c r="N790" s="16" t="str">
        <f t="shared" si="152"/>
        <v/>
      </c>
      <c r="O790" s="16" t="str">
        <f t="shared" si="153"/>
        <v/>
      </c>
      <c r="P790" s="16" t="str">
        <f t="shared" si="154"/>
        <v/>
      </c>
      <c r="Q790" s="18" t="str">
        <f t="shared" si="155"/>
        <v/>
      </c>
      <c r="R790" s="19" t="str">
        <f>IF(C790="","",IF(ISNA(MATCH(B790,'Registru oferte'!$B$5:$B$504,0)),"Oferta nu există în registru",IF(N(F790)&lt;=0,"Lipsește cantitatea",IF(AND(ISNUMBER(Q790),Q790&lt;MarjaMin),"Marjă sub minim ("&amp;TEXT(Q790*100,"0")&amp;"%)",""))))</f>
        <v/>
      </c>
      <c r="S790" s="1" t="str">
        <f>IF(B790="","",B790&amp;"|"&amp;COUNTIF($B$5:B790,B790))</f>
        <v/>
      </c>
    </row>
    <row r="791" spans="2:19" x14ac:dyDescent="0.2">
      <c r="B791" s="11"/>
      <c r="C791" s="11"/>
      <c r="D791" s="10" t="str">
        <f t="shared" si="144"/>
        <v/>
      </c>
      <c r="E791" s="15" t="str">
        <f t="shared" si="145"/>
        <v/>
      </c>
      <c r="F791" s="11"/>
      <c r="G791" s="16" t="str">
        <f t="shared" si="146"/>
        <v/>
      </c>
      <c r="H791" s="17"/>
      <c r="I791" s="16" t="str">
        <f t="shared" si="147"/>
        <v/>
      </c>
      <c r="J791" s="16" t="str">
        <f t="shared" si="148"/>
        <v/>
      </c>
      <c r="K791" s="18" t="str">
        <f t="shared" si="149"/>
        <v/>
      </c>
      <c r="L791" s="16" t="str">
        <f t="shared" si="150"/>
        <v/>
      </c>
      <c r="M791" s="16" t="str">
        <f t="shared" si="151"/>
        <v/>
      </c>
      <c r="N791" s="16" t="str">
        <f t="shared" si="152"/>
        <v/>
      </c>
      <c r="O791" s="16" t="str">
        <f t="shared" si="153"/>
        <v/>
      </c>
      <c r="P791" s="16" t="str">
        <f t="shared" si="154"/>
        <v/>
      </c>
      <c r="Q791" s="18" t="str">
        <f t="shared" si="155"/>
        <v/>
      </c>
      <c r="R791" s="19" t="str">
        <f>IF(C791="","",IF(ISNA(MATCH(B791,'Registru oferte'!$B$5:$B$504,0)),"Oferta nu există în registru",IF(N(F791)&lt;=0,"Lipsește cantitatea",IF(AND(ISNUMBER(Q791),Q791&lt;MarjaMin),"Marjă sub minim ("&amp;TEXT(Q791*100,"0")&amp;"%)",""))))</f>
        <v/>
      </c>
      <c r="S791" s="1" t="str">
        <f>IF(B791="","",B791&amp;"|"&amp;COUNTIF($B$5:B791,B791))</f>
        <v/>
      </c>
    </row>
    <row r="792" spans="2:19" x14ac:dyDescent="0.2">
      <c r="B792" s="11"/>
      <c r="C792" s="11"/>
      <c r="D792" s="10" t="str">
        <f t="shared" si="144"/>
        <v/>
      </c>
      <c r="E792" s="15" t="str">
        <f t="shared" si="145"/>
        <v/>
      </c>
      <c r="F792" s="11"/>
      <c r="G792" s="16" t="str">
        <f t="shared" si="146"/>
        <v/>
      </c>
      <c r="H792" s="17"/>
      <c r="I792" s="16" t="str">
        <f t="shared" si="147"/>
        <v/>
      </c>
      <c r="J792" s="16" t="str">
        <f t="shared" si="148"/>
        <v/>
      </c>
      <c r="K792" s="18" t="str">
        <f t="shared" si="149"/>
        <v/>
      </c>
      <c r="L792" s="16" t="str">
        <f t="shared" si="150"/>
        <v/>
      </c>
      <c r="M792" s="16" t="str">
        <f t="shared" si="151"/>
        <v/>
      </c>
      <c r="N792" s="16" t="str">
        <f t="shared" si="152"/>
        <v/>
      </c>
      <c r="O792" s="16" t="str">
        <f t="shared" si="153"/>
        <v/>
      </c>
      <c r="P792" s="16" t="str">
        <f t="shared" si="154"/>
        <v/>
      </c>
      <c r="Q792" s="18" t="str">
        <f t="shared" si="155"/>
        <v/>
      </c>
      <c r="R792" s="19" t="str">
        <f>IF(C792="","",IF(ISNA(MATCH(B792,'Registru oferte'!$B$5:$B$504,0)),"Oferta nu există în registru",IF(N(F792)&lt;=0,"Lipsește cantitatea",IF(AND(ISNUMBER(Q792),Q792&lt;MarjaMin),"Marjă sub minim ("&amp;TEXT(Q792*100,"0")&amp;"%)",""))))</f>
        <v/>
      </c>
      <c r="S792" s="1" t="str">
        <f>IF(B792="","",B792&amp;"|"&amp;COUNTIF($B$5:B792,B792))</f>
        <v/>
      </c>
    </row>
    <row r="793" spans="2:19" x14ac:dyDescent="0.2">
      <c r="B793" s="11"/>
      <c r="C793" s="11"/>
      <c r="D793" s="10" t="str">
        <f t="shared" si="144"/>
        <v/>
      </c>
      <c r="E793" s="15" t="str">
        <f t="shared" si="145"/>
        <v/>
      </c>
      <c r="F793" s="11"/>
      <c r="G793" s="16" t="str">
        <f t="shared" si="146"/>
        <v/>
      </c>
      <c r="H793" s="17"/>
      <c r="I793" s="16" t="str">
        <f t="shared" si="147"/>
        <v/>
      </c>
      <c r="J793" s="16" t="str">
        <f t="shared" si="148"/>
        <v/>
      </c>
      <c r="K793" s="18" t="str">
        <f t="shared" si="149"/>
        <v/>
      </c>
      <c r="L793" s="16" t="str">
        <f t="shared" si="150"/>
        <v/>
      </c>
      <c r="M793" s="16" t="str">
        <f t="shared" si="151"/>
        <v/>
      </c>
      <c r="N793" s="16" t="str">
        <f t="shared" si="152"/>
        <v/>
      </c>
      <c r="O793" s="16" t="str">
        <f t="shared" si="153"/>
        <v/>
      </c>
      <c r="P793" s="16" t="str">
        <f t="shared" si="154"/>
        <v/>
      </c>
      <c r="Q793" s="18" t="str">
        <f t="shared" si="155"/>
        <v/>
      </c>
      <c r="R793" s="19" t="str">
        <f>IF(C793="","",IF(ISNA(MATCH(B793,'Registru oferte'!$B$5:$B$504,0)),"Oferta nu există în registru",IF(N(F793)&lt;=0,"Lipsește cantitatea",IF(AND(ISNUMBER(Q793),Q793&lt;MarjaMin),"Marjă sub minim ("&amp;TEXT(Q793*100,"0")&amp;"%)",""))))</f>
        <v/>
      </c>
      <c r="S793" s="1" t="str">
        <f>IF(B793="","",B793&amp;"|"&amp;COUNTIF($B$5:B793,B793))</f>
        <v/>
      </c>
    </row>
    <row r="794" spans="2:19" x14ac:dyDescent="0.2">
      <c r="B794" s="11"/>
      <c r="C794" s="11"/>
      <c r="D794" s="10" t="str">
        <f t="shared" si="144"/>
        <v/>
      </c>
      <c r="E794" s="15" t="str">
        <f t="shared" si="145"/>
        <v/>
      </c>
      <c r="F794" s="11"/>
      <c r="G794" s="16" t="str">
        <f t="shared" si="146"/>
        <v/>
      </c>
      <c r="H794" s="17"/>
      <c r="I794" s="16" t="str">
        <f t="shared" si="147"/>
        <v/>
      </c>
      <c r="J794" s="16" t="str">
        <f t="shared" si="148"/>
        <v/>
      </c>
      <c r="K794" s="18" t="str">
        <f t="shared" si="149"/>
        <v/>
      </c>
      <c r="L794" s="16" t="str">
        <f t="shared" si="150"/>
        <v/>
      </c>
      <c r="M794" s="16" t="str">
        <f t="shared" si="151"/>
        <v/>
      </c>
      <c r="N794" s="16" t="str">
        <f t="shared" si="152"/>
        <v/>
      </c>
      <c r="O794" s="16" t="str">
        <f t="shared" si="153"/>
        <v/>
      </c>
      <c r="P794" s="16" t="str">
        <f t="shared" si="154"/>
        <v/>
      </c>
      <c r="Q794" s="18" t="str">
        <f t="shared" si="155"/>
        <v/>
      </c>
      <c r="R794" s="19" t="str">
        <f>IF(C794="","",IF(ISNA(MATCH(B794,'Registru oferte'!$B$5:$B$504,0)),"Oferta nu există în registru",IF(N(F794)&lt;=0,"Lipsește cantitatea",IF(AND(ISNUMBER(Q794),Q794&lt;MarjaMin),"Marjă sub minim ("&amp;TEXT(Q794*100,"0")&amp;"%)",""))))</f>
        <v/>
      </c>
      <c r="S794" s="1" t="str">
        <f>IF(B794="","",B794&amp;"|"&amp;COUNTIF($B$5:B794,B794))</f>
        <v/>
      </c>
    </row>
    <row r="795" spans="2:19" x14ac:dyDescent="0.2">
      <c r="B795" s="11"/>
      <c r="C795" s="11"/>
      <c r="D795" s="10" t="str">
        <f t="shared" si="144"/>
        <v/>
      </c>
      <c r="E795" s="15" t="str">
        <f t="shared" si="145"/>
        <v/>
      </c>
      <c r="F795" s="11"/>
      <c r="G795" s="16" t="str">
        <f t="shared" si="146"/>
        <v/>
      </c>
      <c r="H795" s="17"/>
      <c r="I795" s="16" t="str">
        <f t="shared" si="147"/>
        <v/>
      </c>
      <c r="J795" s="16" t="str">
        <f t="shared" si="148"/>
        <v/>
      </c>
      <c r="K795" s="18" t="str">
        <f t="shared" si="149"/>
        <v/>
      </c>
      <c r="L795" s="16" t="str">
        <f t="shared" si="150"/>
        <v/>
      </c>
      <c r="M795" s="16" t="str">
        <f t="shared" si="151"/>
        <v/>
      </c>
      <c r="N795" s="16" t="str">
        <f t="shared" si="152"/>
        <v/>
      </c>
      <c r="O795" s="16" t="str">
        <f t="shared" si="153"/>
        <v/>
      </c>
      <c r="P795" s="16" t="str">
        <f t="shared" si="154"/>
        <v/>
      </c>
      <c r="Q795" s="18" t="str">
        <f t="shared" si="155"/>
        <v/>
      </c>
      <c r="R795" s="19" t="str">
        <f>IF(C795="","",IF(ISNA(MATCH(B795,'Registru oferte'!$B$5:$B$504,0)),"Oferta nu există în registru",IF(N(F795)&lt;=0,"Lipsește cantitatea",IF(AND(ISNUMBER(Q795),Q795&lt;MarjaMin),"Marjă sub minim ("&amp;TEXT(Q795*100,"0")&amp;"%)",""))))</f>
        <v/>
      </c>
      <c r="S795" s="1" t="str">
        <f>IF(B795="","",B795&amp;"|"&amp;COUNTIF($B$5:B795,B795))</f>
        <v/>
      </c>
    </row>
    <row r="796" spans="2:19" x14ac:dyDescent="0.2">
      <c r="B796" s="11"/>
      <c r="C796" s="11"/>
      <c r="D796" s="10" t="str">
        <f t="shared" si="144"/>
        <v/>
      </c>
      <c r="E796" s="15" t="str">
        <f t="shared" si="145"/>
        <v/>
      </c>
      <c r="F796" s="11"/>
      <c r="G796" s="16" t="str">
        <f t="shared" si="146"/>
        <v/>
      </c>
      <c r="H796" s="17"/>
      <c r="I796" s="16" t="str">
        <f t="shared" si="147"/>
        <v/>
      </c>
      <c r="J796" s="16" t="str">
        <f t="shared" si="148"/>
        <v/>
      </c>
      <c r="K796" s="18" t="str">
        <f t="shared" si="149"/>
        <v/>
      </c>
      <c r="L796" s="16" t="str">
        <f t="shared" si="150"/>
        <v/>
      </c>
      <c r="M796" s="16" t="str">
        <f t="shared" si="151"/>
        <v/>
      </c>
      <c r="N796" s="16" t="str">
        <f t="shared" si="152"/>
        <v/>
      </c>
      <c r="O796" s="16" t="str">
        <f t="shared" si="153"/>
        <v/>
      </c>
      <c r="P796" s="16" t="str">
        <f t="shared" si="154"/>
        <v/>
      </c>
      <c r="Q796" s="18" t="str">
        <f t="shared" si="155"/>
        <v/>
      </c>
      <c r="R796" s="19" t="str">
        <f>IF(C796="","",IF(ISNA(MATCH(B796,'Registru oferte'!$B$5:$B$504,0)),"Oferta nu există în registru",IF(N(F796)&lt;=0,"Lipsește cantitatea",IF(AND(ISNUMBER(Q796),Q796&lt;MarjaMin),"Marjă sub minim ("&amp;TEXT(Q796*100,"0")&amp;"%)",""))))</f>
        <v/>
      </c>
      <c r="S796" s="1" t="str">
        <f>IF(B796="","",B796&amp;"|"&amp;COUNTIF($B$5:B796,B796))</f>
        <v/>
      </c>
    </row>
    <row r="797" spans="2:19" x14ac:dyDescent="0.2">
      <c r="B797" s="11"/>
      <c r="C797" s="11"/>
      <c r="D797" s="10" t="str">
        <f t="shared" si="144"/>
        <v/>
      </c>
      <c r="E797" s="15" t="str">
        <f t="shared" si="145"/>
        <v/>
      </c>
      <c r="F797" s="11"/>
      <c r="G797" s="16" t="str">
        <f t="shared" si="146"/>
        <v/>
      </c>
      <c r="H797" s="17"/>
      <c r="I797" s="16" t="str">
        <f t="shared" si="147"/>
        <v/>
      </c>
      <c r="J797" s="16" t="str">
        <f t="shared" si="148"/>
        <v/>
      </c>
      <c r="K797" s="18" t="str">
        <f t="shared" si="149"/>
        <v/>
      </c>
      <c r="L797" s="16" t="str">
        <f t="shared" si="150"/>
        <v/>
      </c>
      <c r="M797" s="16" t="str">
        <f t="shared" si="151"/>
        <v/>
      </c>
      <c r="N797" s="16" t="str">
        <f t="shared" si="152"/>
        <v/>
      </c>
      <c r="O797" s="16" t="str">
        <f t="shared" si="153"/>
        <v/>
      </c>
      <c r="P797" s="16" t="str">
        <f t="shared" si="154"/>
        <v/>
      </c>
      <c r="Q797" s="18" t="str">
        <f t="shared" si="155"/>
        <v/>
      </c>
      <c r="R797" s="19" t="str">
        <f>IF(C797="","",IF(ISNA(MATCH(B797,'Registru oferte'!$B$5:$B$504,0)),"Oferta nu există în registru",IF(N(F797)&lt;=0,"Lipsește cantitatea",IF(AND(ISNUMBER(Q797),Q797&lt;MarjaMin),"Marjă sub minim ("&amp;TEXT(Q797*100,"0")&amp;"%)",""))))</f>
        <v/>
      </c>
      <c r="S797" s="1" t="str">
        <f>IF(B797="","",B797&amp;"|"&amp;COUNTIF($B$5:B797,B797))</f>
        <v/>
      </c>
    </row>
    <row r="798" spans="2:19" x14ac:dyDescent="0.2">
      <c r="B798" s="11"/>
      <c r="C798" s="11"/>
      <c r="D798" s="10" t="str">
        <f t="shared" si="144"/>
        <v/>
      </c>
      <c r="E798" s="15" t="str">
        <f t="shared" si="145"/>
        <v/>
      </c>
      <c r="F798" s="11"/>
      <c r="G798" s="16" t="str">
        <f t="shared" si="146"/>
        <v/>
      </c>
      <c r="H798" s="17"/>
      <c r="I798" s="16" t="str">
        <f t="shared" si="147"/>
        <v/>
      </c>
      <c r="J798" s="16" t="str">
        <f t="shared" si="148"/>
        <v/>
      </c>
      <c r="K798" s="18" t="str">
        <f t="shared" si="149"/>
        <v/>
      </c>
      <c r="L798" s="16" t="str">
        <f t="shared" si="150"/>
        <v/>
      </c>
      <c r="M798" s="16" t="str">
        <f t="shared" si="151"/>
        <v/>
      </c>
      <c r="N798" s="16" t="str">
        <f t="shared" si="152"/>
        <v/>
      </c>
      <c r="O798" s="16" t="str">
        <f t="shared" si="153"/>
        <v/>
      </c>
      <c r="P798" s="16" t="str">
        <f t="shared" si="154"/>
        <v/>
      </c>
      <c r="Q798" s="18" t="str">
        <f t="shared" si="155"/>
        <v/>
      </c>
      <c r="R798" s="19" t="str">
        <f>IF(C798="","",IF(ISNA(MATCH(B798,'Registru oferte'!$B$5:$B$504,0)),"Oferta nu există în registru",IF(N(F798)&lt;=0,"Lipsește cantitatea",IF(AND(ISNUMBER(Q798),Q798&lt;MarjaMin),"Marjă sub minim ("&amp;TEXT(Q798*100,"0")&amp;"%)",""))))</f>
        <v/>
      </c>
      <c r="S798" s="1" t="str">
        <f>IF(B798="","",B798&amp;"|"&amp;COUNTIF($B$5:B798,B798))</f>
        <v/>
      </c>
    </row>
    <row r="799" spans="2:19" x14ac:dyDescent="0.2">
      <c r="B799" s="11"/>
      <c r="C799" s="11"/>
      <c r="D799" s="10" t="str">
        <f t="shared" si="144"/>
        <v/>
      </c>
      <c r="E799" s="15" t="str">
        <f t="shared" si="145"/>
        <v/>
      </c>
      <c r="F799" s="11"/>
      <c r="G799" s="16" t="str">
        <f t="shared" si="146"/>
        <v/>
      </c>
      <c r="H799" s="17"/>
      <c r="I799" s="16" t="str">
        <f t="shared" si="147"/>
        <v/>
      </c>
      <c r="J799" s="16" t="str">
        <f t="shared" si="148"/>
        <v/>
      </c>
      <c r="K799" s="18" t="str">
        <f t="shared" si="149"/>
        <v/>
      </c>
      <c r="L799" s="16" t="str">
        <f t="shared" si="150"/>
        <v/>
      </c>
      <c r="M799" s="16" t="str">
        <f t="shared" si="151"/>
        <v/>
      </c>
      <c r="N799" s="16" t="str">
        <f t="shared" si="152"/>
        <v/>
      </c>
      <c r="O799" s="16" t="str">
        <f t="shared" si="153"/>
        <v/>
      </c>
      <c r="P799" s="16" t="str">
        <f t="shared" si="154"/>
        <v/>
      </c>
      <c r="Q799" s="18" t="str">
        <f t="shared" si="155"/>
        <v/>
      </c>
      <c r="R799" s="19" t="str">
        <f>IF(C799="","",IF(ISNA(MATCH(B799,'Registru oferte'!$B$5:$B$504,0)),"Oferta nu există în registru",IF(N(F799)&lt;=0,"Lipsește cantitatea",IF(AND(ISNUMBER(Q799),Q799&lt;MarjaMin),"Marjă sub minim ("&amp;TEXT(Q799*100,"0")&amp;"%)",""))))</f>
        <v/>
      </c>
      <c r="S799" s="1" t="str">
        <f>IF(B799="","",B799&amp;"|"&amp;COUNTIF($B$5:B799,B799))</f>
        <v/>
      </c>
    </row>
    <row r="800" spans="2:19" x14ac:dyDescent="0.2">
      <c r="B800" s="11"/>
      <c r="C800" s="11"/>
      <c r="D800" s="10" t="str">
        <f t="shared" si="144"/>
        <v/>
      </c>
      <c r="E800" s="15" t="str">
        <f t="shared" si="145"/>
        <v/>
      </c>
      <c r="F800" s="11"/>
      <c r="G800" s="16" t="str">
        <f t="shared" si="146"/>
        <v/>
      </c>
      <c r="H800" s="17"/>
      <c r="I800" s="16" t="str">
        <f t="shared" si="147"/>
        <v/>
      </c>
      <c r="J800" s="16" t="str">
        <f t="shared" si="148"/>
        <v/>
      </c>
      <c r="K800" s="18" t="str">
        <f t="shared" si="149"/>
        <v/>
      </c>
      <c r="L800" s="16" t="str">
        <f t="shared" si="150"/>
        <v/>
      </c>
      <c r="M800" s="16" t="str">
        <f t="shared" si="151"/>
        <v/>
      </c>
      <c r="N800" s="16" t="str">
        <f t="shared" si="152"/>
        <v/>
      </c>
      <c r="O800" s="16" t="str">
        <f t="shared" si="153"/>
        <v/>
      </c>
      <c r="P800" s="16" t="str">
        <f t="shared" si="154"/>
        <v/>
      </c>
      <c r="Q800" s="18" t="str">
        <f t="shared" si="155"/>
        <v/>
      </c>
      <c r="R800" s="19" t="str">
        <f>IF(C800="","",IF(ISNA(MATCH(B800,'Registru oferte'!$B$5:$B$504,0)),"Oferta nu există în registru",IF(N(F800)&lt;=0,"Lipsește cantitatea",IF(AND(ISNUMBER(Q800),Q800&lt;MarjaMin),"Marjă sub minim ("&amp;TEXT(Q800*100,"0")&amp;"%)",""))))</f>
        <v/>
      </c>
      <c r="S800" s="1" t="str">
        <f>IF(B800="","",B800&amp;"|"&amp;COUNTIF($B$5:B800,B800))</f>
        <v/>
      </c>
    </row>
    <row r="801" spans="2:19" x14ac:dyDescent="0.2">
      <c r="B801" s="11"/>
      <c r="C801" s="11"/>
      <c r="D801" s="10" t="str">
        <f t="shared" si="144"/>
        <v/>
      </c>
      <c r="E801" s="15" t="str">
        <f t="shared" si="145"/>
        <v/>
      </c>
      <c r="F801" s="11"/>
      <c r="G801" s="16" t="str">
        <f t="shared" si="146"/>
        <v/>
      </c>
      <c r="H801" s="17"/>
      <c r="I801" s="16" t="str">
        <f t="shared" si="147"/>
        <v/>
      </c>
      <c r="J801" s="16" t="str">
        <f t="shared" si="148"/>
        <v/>
      </c>
      <c r="K801" s="18" t="str">
        <f t="shared" si="149"/>
        <v/>
      </c>
      <c r="L801" s="16" t="str">
        <f t="shared" si="150"/>
        <v/>
      </c>
      <c r="M801" s="16" t="str">
        <f t="shared" si="151"/>
        <v/>
      </c>
      <c r="N801" s="16" t="str">
        <f t="shared" si="152"/>
        <v/>
      </c>
      <c r="O801" s="16" t="str">
        <f t="shared" si="153"/>
        <v/>
      </c>
      <c r="P801" s="16" t="str">
        <f t="shared" si="154"/>
        <v/>
      </c>
      <c r="Q801" s="18" t="str">
        <f t="shared" si="155"/>
        <v/>
      </c>
      <c r="R801" s="19" t="str">
        <f>IF(C801="","",IF(ISNA(MATCH(B801,'Registru oferte'!$B$5:$B$504,0)),"Oferta nu există în registru",IF(N(F801)&lt;=0,"Lipsește cantitatea",IF(AND(ISNUMBER(Q801),Q801&lt;MarjaMin),"Marjă sub minim ("&amp;TEXT(Q801*100,"0")&amp;"%)",""))))</f>
        <v/>
      </c>
      <c r="S801" s="1" t="str">
        <f>IF(B801="","",B801&amp;"|"&amp;COUNTIF($B$5:B801,B801))</f>
        <v/>
      </c>
    </row>
    <row r="802" spans="2:19" x14ac:dyDescent="0.2">
      <c r="B802" s="11"/>
      <c r="C802" s="11"/>
      <c r="D802" s="10" t="str">
        <f t="shared" si="144"/>
        <v/>
      </c>
      <c r="E802" s="15" t="str">
        <f t="shared" si="145"/>
        <v/>
      </c>
      <c r="F802" s="11"/>
      <c r="G802" s="16" t="str">
        <f t="shared" si="146"/>
        <v/>
      </c>
      <c r="H802" s="17"/>
      <c r="I802" s="16" t="str">
        <f t="shared" si="147"/>
        <v/>
      </c>
      <c r="J802" s="16" t="str">
        <f t="shared" si="148"/>
        <v/>
      </c>
      <c r="K802" s="18" t="str">
        <f t="shared" si="149"/>
        <v/>
      </c>
      <c r="L802" s="16" t="str">
        <f t="shared" si="150"/>
        <v/>
      </c>
      <c r="M802" s="16" t="str">
        <f t="shared" si="151"/>
        <v/>
      </c>
      <c r="N802" s="16" t="str">
        <f t="shared" si="152"/>
        <v/>
      </c>
      <c r="O802" s="16" t="str">
        <f t="shared" si="153"/>
        <v/>
      </c>
      <c r="P802" s="16" t="str">
        <f t="shared" si="154"/>
        <v/>
      </c>
      <c r="Q802" s="18" t="str">
        <f t="shared" si="155"/>
        <v/>
      </c>
      <c r="R802" s="19" t="str">
        <f>IF(C802="","",IF(ISNA(MATCH(B802,'Registru oferte'!$B$5:$B$504,0)),"Oferta nu există în registru",IF(N(F802)&lt;=0,"Lipsește cantitatea",IF(AND(ISNUMBER(Q802),Q802&lt;MarjaMin),"Marjă sub minim ("&amp;TEXT(Q802*100,"0")&amp;"%)",""))))</f>
        <v/>
      </c>
      <c r="S802" s="1" t="str">
        <f>IF(B802="","",B802&amp;"|"&amp;COUNTIF($B$5:B802,B802))</f>
        <v/>
      </c>
    </row>
    <row r="803" spans="2:19" x14ac:dyDescent="0.2">
      <c r="B803" s="11"/>
      <c r="C803" s="11"/>
      <c r="D803" s="10" t="str">
        <f t="shared" si="144"/>
        <v/>
      </c>
      <c r="E803" s="15" t="str">
        <f t="shared" si="145"/>
        <v/>
      </c>
      <c r="F803" s="11"/>
      <c r="G803" s="16" t="str">
        <f t="shared" si="146"/>
        <v/>
      </c>
      <c r="H803" s="17"/>
      <c r="I803" s="16" t="str">
        <f t="shared" si="147"/>
        <v/>
      </c>
      <c r="J803" s="16" t="str">
        <f t="shared" si="148"/>
        <v/>
      </c>
      <c r="K803" s="18" t="str">
        <f t="shared" si="149"/>
        <v/>
      </c>
      <c r="L803" s="16" t="str">
        <f t="shared" si="150"/>
        <v/>
      </c>
      <c r="M803" s="16" t="str">
        <f t="shared" si="151"/>
        <v/>
      </c>
      <c r="N803" s="16" t="str">
        <f t="shared" si="152"/>
        <v/>
      </c>
      <c r="O803" s="16" t="str">
        <f t="shared" si="153"/>
        <v/>
      </c>
      <c r="P803" s="16" t="str">
        <f t="shared" si="154"/>
        <v/>
      </c>
      <c r="Q803" s="18" t="str">
        <f t="shared" si="155"/>
        <v/>
      </c>
      <c r="R803" s="19" t="str">
        <f>IF(C803="","",IF(ISNA(MATCH(B803,'Registru oferte'!$B$5:$B$504,0)),"Oferta nu există în registru",IF(N(F803)&lt;=0,"Lipsește cantitatea",IF(AND(ISNUMBER(Q803),Q803&lt;MarjaMin),"Marjă sub minim ("&amp;TEXT(Q803*100,"0")&amp;"%)",""))))</f>
        <v/>
      </c>
      <c r="S803" s="1" t="str">
        <f>IF(B803="","",B803&amp;"|"&amp;COUNTIF($B$5:B803,B803))</f>
        <v/>
      </c>
    </row>
    <row r="804" spans="2:19" x14ac:dyDescent="0.2">
      <c r="B804" s="11"/>
      <c r="C804" s="11"/>
      <c r="D804" s="10" t="str">
        <f t="shared" si="144"/>
        <v/>
      </c>
      <c r="E804" s="15" t="str">
        <f t="shared" si="145"/>
        <v/>
      </c>
      <c r="F804" s="11"/>
      <c r="G804" s="16" t="str">
        <f t="shared" si="146"/>
        <v/>
      </c>
      <c r="H804" s="17"/>
      <c r="I804" s="16" t="str">
        <f t="shared" si="147"/>
        <v/>
      </c>
      <c r="J804" s="16" t="str">
        <f t="shared" si="148"/>
        <v/>
      </c>
      <c r="K804" s="18" t="str">
        <f t="shared" si="149"/>
        <v/>
      </c>
      <c r="L804" s="16" t="str">
        <f t="shared" si="150"/>
        <v/>
      </c>
      <c r="M804" s="16" t="str">
        <f t="shared" si="151"/>
        <v/>
      </c>
      <c r="N804" s="16" t="str">
        <f t="shared" si="152"/>
        <v/>
      </c>
      <c r="O804" s="16" t="str">
        <f t="shared" si="153"/>
        <v/>
      </c>
      <c r="P804" s="16" t="str">
        <f t="shared" si="154"/>
        <v/>
      </c>
      <c r="Q804" s="18" t="str">
        <f t="shared" si="155"/>
        <v/>
      </c>
      <c r="R804" s="19" t="str">
        <f>IF(C804="","",IF(ISNA(MATCH(B804,'Registru oferte'!$B$5:$B$504,0)),"Oferta nu există în registru",IF(N(F804)&lt;=0,"Lipsește cantitatea",IF(AND(ISNUMBER(Q804),Q804&lt;MarjaMin),"Marjă sub minim ("&amp;TEXT(Q804*100,"0")&amp;"%)",""))))</f>
        <v/>
      </c>
      <c r="S804" s="1" t="str">
        <f>IF(B804="","",B804&amp;"|"&amp;COUNTIF($B$5:B804,B804))</f>
        <v/>
      </c>
    </row>
    <row r="805" spans="2:19" x14ac:dyDescent="0.2">
      <c r="B805" s="11"/>
      <c r="C805" s="11"/>
      <c r="D805" s="10" t="str">
        <f t="shared" si="144"/>
        <v/>
      </c>
      <c r="E805" s="15" t="str">
        <f t="shared" si="145"/>
        <v/>
      </c>
      <c r="F805" s="11"/>
      <c r="G805" s="16" t="str">
        <f t="shared" si="146"/>
        <v/>
      </c>
      <c r="H805" s="17"/>
      <c r="I805" s="16" t="str">
        <f t="shared" si="147"/>
        <v/>
      </c>
      <c r="J805" s="16" t="str">
        <f t="shared" si="148"/>
        <v/>
      </c>
      <c r="K805" s="18" t="str">
        <f t="shared" si="149"/>
        <v/>
      </c>
      <c r="L805" s="16" t="str">
        <f t="shared" si="150"/>
        <v/>
      </c>
      <c r="M805" s="16" t="str">
        <f t="shared" si="151"/>
        <v/>
      </c>
      <c r="N805" s="16" t="str">
        <f t="shared" si="152"/>
        <v/>
      </c>
      <c r="O805" s="16" t="str">
        <f t="shared" si="153"/>
        <v/>
      </c>
      <c r="P805" s="16" t="str">
        <f t="shared" si="154"/>
        <v/>
      </c>
      <c r="Q805" s="18" t="str">
        <f t="shared" si="155"/>
        <v/>
      </c>
      <c r="R805" s="19" t="str">
        <f>IF(C805="","",IF(ISNA(MATCH(B805,'Registru oferte'!$B$5:$B$504,0)),"Oferta nu există în registru",IF(N(F805)&lt;=0,"Lipsește cantitatea",IF(AND(ISNUMBER(Q805),Q805&lt;MarjaMin),"Marjă sub minim ("&amp;TEXT(Q805*100,"0")&amp;"%)",""))))</f>
        <v/>
      </c>
      <c r="S805" s="1" t="str">
        <f>IF(B805="","",B805&amp;"|"&amp;COUNTIF($B$5:B805,B805))</f>
        <v/>
      </c>
    </row>
    <row r="806" spans="2:19" x14ac:dyDescent="0.2">
      <c r="B806" s="11"/>
      <c r="C806" s="11"/>
      <c r="D806" s="10" t="str">
        <f t="shared" si="144"/>
        <v/>
      </c>
      <c r="E806" s="15" t="str">
        <f t="shared" si="145"/>
        <v/>
      </c>
      <c r="F806" s="11"/>
      <c r="G806" s="16" t="str">
        <f t="shared" si="146"/>
        <v/>
      </c>
      <c r="H806" s="17"/>
      <c r="I806" s="16" t="str">
        <f t="shared" si="147"/>
        <v/>
      </c>
      <c r="J806" s="16" t="str">
        <f t="shared" si="148"/>
        <v/>
      </c>
      <c r="K806" s="18" t="str">
        <f t="shared" si="149"/>
        <v/>
      </c>
      <c r="L806" s="16" t="str">
        <f t="shared" si="150"/>
        <v/>
      </c>
      <c r="M806" s="16" t="str">
        <f t="shared" si="151"/>
        <v/>
      </c>
      <c r="N806" s="16" t="str">
        <f t="shared" si="152"/>
        <v/>
      </c>
      <c r="O806" s="16" t="str">
        <f t="shared" si="153"/>
        <v/>
      </c>
      <c r="P806" s="16" t="str">
        <f t="shared" si="154"/>
        <v/>
      </c>
      <c r="Q806" s="18" t="str">
        <f t="shared" si="155"/>
        <v/>
      </c>
      <c r="R806" s="19" t="str">
        <f>IF(C806="","",IF(ISNA(MATCH(B806,'Registru oferte'!$B$5:$B$504,0)),"Oferta nu există în registru",IF(N(F806)&lt;=0,"Lipsește cantitatea",IF(AND(ISNUMBER(Q806),Q806&lt;MarjaMin),"Marjă sub minim ("&amp;TEXT(Q806*100,"0")&amp;"%)",""))))</f>
        <v/>
      </c>
      <c r="S806" s="1" t="str">
        <f>IF(B806="","",B806&amp;"|"&amp;COUNTIF($B$5:B806,B806))</f>
        <v/>
      </c>
    </row>
    <row r="807" spans="2:19" x14ac:dyDescent="0.2">
      <c r="B807" s="11"/>
      <c r="C807" s="11"/>
      <c r="D807" s="10" t="str">
        <f t="shared" si="144"/>
        <v/>
      </c>
      <c r="E807" s="15" t="str">
        <f t="shared" si="145"/>
        <v/>
      </c>
      <c r="F807" s="11"/>
      <c r="G807" s="16" t="str">
        <f t="shared" si="146"/>
        <v/>
      </c>
      <c r="H807" s="17"/>
      <c r="I807" s="16" t="str">
        <f t="shared" si="147"/>
        <v/>
      </c>
      <c r="J807" s="16" t="str">
        <f t="shared" si="148"/>
        <v/>
      </c>
      <c r="K807" s="18" t="str">
        <f t="shared" si="149"/>
        <v/>
      </c>
      <c r="L807" s="16" t="str">
        <f t="shared" si="150"/>
        <v/>
      </c>
      <c r="M807" s="16" t="str">
        <f t="shared" si="151"/>
        <v/>
      </c>
      <c r="N807" s="16" t="str">
        <f t="shared" si="152"/>
        <v/>
      </c>
      <c r="O807" s="16" t="str">
        <f t="shared" si="153"/>
        <v/>
      </c>
      <c r="P807" s="16" t="str">
        <f t="shared" si="154"/>
        <v/>
      </c>
      <c r="Q807" s="18" t="str">
        <f t="shared" si="155"/>
        <v/>
      </c>
      <c r="R807" s="19" t="str">
        <f>IF(C807="","",IF(ISNA(MATCH(B807,'Registru oferte'!$B$5:$B$504,0)),"Oferta nu există în registru",IF(N(F807)&lt;=0,"Lipsește cantitatea",IF(AND(ISNUMBER(Q807),Q807&lt;MarjaMin),"Marjă sub minim ("&amp;TEXT(Q807*100,"0")&amp;"%)",""))))</f>
        <v/>
      </c>
      <c r="S807" s="1" t="str">
        <f>IF(B807="","",B807&amp;"|"&amp;COUNTIF($B$5:B807,B807))</f>
        <v/>
      </c>
    </row>
    <row r="808" spans="2:19" x14ac:dyDescent="0.2">
      <c r="B808" s="11"/>
      <c r="C808" s="11"/>
      <c r="D808" s="10" t="str">
        <f t="shared" si="144"/>
        <v/>
      </c>
      <c r="E808" s="15" t="str">
        <f t="shared" si="145"/>
        <v/>
      </c>
      <c r="F808" s="11"/>
      <c r="G808" s="16" t="str">
        <f t="shared" si="146"/>
        <v/>
      </c>
      <c r="H808" s="17"/>
      <c r="I808" s="16" t="str">
        <f t="shared" si="147"/>
        <v/>
      </c>
      <c r="J808" s="16" t="str">
        <f t="shared" si="148"/>
        <v/>
      </c>
      <c r="K808" s="18" t="str">
        <f t="shared" si="149"/>
        <v/>
      </c>
      <c r="L808" s="16" t="str">
        <f t="shared" si="150"/>
        <v/>
      </c>
      <c r="M808" s="16" t="str">
        <f t="shared" si="151"/>
        <v/>
      </c>
      <c r="N808" s="16" t="str">
        <f t="shared" si="152"/>
        <v/>
      </c>
      <c r="O808" s="16" t="str">
        <f t="shared" si="153"/>
        <v/>
      </c>
      <c r="P808" s="16" t="str">
        <f t="shared" si="154"/>
        <v/>
      </c>
      <c r="Q808" s="18" t="str">
        <f t="shared" si="155"/>
        <v/>
      </c>
      <c r="R808" s="19" t="str">
        <f>IF(C808="","",IF(ISNA(MATCH(B808,'Registru oferte'!$B$5:$B$504,0)),"Oferta nu există în registru",IF(N(F808)&lt;=0,"Lipsește cantitatea",IF(AND(ISNUMBER(Q808),Q808&lt;MarjaMin),"Marjă sub minim ("&amp;TEXT(Q808*100,"0")&amp;"%)",""))))</f>
        <v/>
      </c>
      <c r="S808" s="1" t="str">
        <f>IF(B808="","",B808&amp;"|"&amp;COUNTIF($B$5:B808,B808))</f>
        <v/>
      </c>
    </row>
    <row r="809" spans="2:19" x14ac:dyDescent="0.2">
      <c r="B809" s="11"/>
      <c r="C809" s="11"/>
      <c r="D809" s="10" t="str">
        <f t="shared" si="144"/>
        <v/>
      </c>
      <c r="E809" s="15" t="str">
        <f t="shared" si="145"/>
        <v/>
      </c>
      <c r="F809" s="11"/>
      <c r="G809" s="16" t="str">
        <f t="shared" si="146"/>
        <v/>
      </c>
      <c r="H809" s="17"/>
      <c r="I809" s="16" t="str">
        <f t="shared" si="147"/>
        <v/>
      </c>
      <c r="J809" s="16" t="str">
        <f t="shared" si="148"/>
        <v/>
      </c>
      <c r="K809" s="18" t="str">
        <f t="shared" si="149"/>
        <v/>
      </c>
      <c r="L809" s="16" t="str">
        <f t="shared" si="150"/>
        <v/>
      </c>
      <c r="M809" s="16" t="str">
        <f t="shared" si="151"/>
        <v/>
      </c>
      <c r="N809" s="16" t="str">
        <f t="shared" si="152"/>
        <v/>
      </c>
      <c r="O809" s="16" t="str">
        <f t="shared" si="153"/>
        <v/>
      </c>
      <c r="P809" s="16" t="str">
        <f t="shared" si="154"/>
        <v/>
      </c>
      <c r="Q809" s="18" t="str">
        <f t="shared" si="155"/>
        <v/>
      </c>
      <c r="R809" s="19" t="str">
        <f>IF(C809="","",IF(ISNA(MATCH(B809,'Registru oferte'!$B$5:$B$504,0)),"Oferta nu există în registru",IF(N(F809)&lt;=0,"Lipsește cantitatea",IF(AND(ISNUMBER(Q809),Q809&lt;MarjaMin),"Marjă sub minim ("&amp;TEXT(Q809*100,"0")&amp;"%)",""))))</f>
        <v/>
      </c>
      <c r="S809" s="1" t="str">
        <f>IF(B809="","",B809&amp;"|"&amp;COUNTIF($B$5:B809,B809))</f>
        <v/>
      </c>
    </row>
    <row r="810" spans="2:19" x14ac:dyDescent="0.2">
      <c r="B810" s="11"/>
      <c r="C810" s="11"/>
      <c r="D810" s="10" t="str">
        <f t="shared" si="144"/>
        <v/>
      </c>
      <c r="E810" s="15" t="str">
        <f t="shared" si="145"/>
        <v/>
      </c>
      <c r="F810" s="11"/>
      <c r="G810" s="16" t="str">
        <f t="shared" si="146"/>
        <v/>
      </c>
      <c r="H810" s="17"/>
      <c r="I810" s="16" t="str">
        <f t="shared" si="147"/>
        <v/>
      </c>
      <c r="J810" s="16" t="str">
        <f t="shared" si="148"/>
        <v/>
      </c>
      <c r="K810" s="18" t="str">
        <f t="shared" si="149"/>
        <v/>
      </c>
      <c r="L810" s="16" t="str">
        <f t="shared" si="150"/>
        <v/>
      </c>
      <c r="M810" s="16" t="str">
        <f t="shared" si="151"/>
        <v/>
      </c>
      <c r="N810" s="16" t="str">
        <f t="shared" si="152"/>
        <v/>
      </c>
      <c r="O810" s="16" t="str">
        <f t="shared" si="153"/>
        <v/>
      </c>
      <c r="P810" s="16" t="str">
        <f t="shared" si="154"/>
        <v/>
      </c>
      <c r="Q810" s="18" t="str">
        <f t="shared" si="155"/>
        <v/>
      </c>
      <c r="R810" s="19" t="str">
        <f>IF(C810="","",IF(ISNA(MATCH(B810,'Registru oferte'!$B$5:$B$504,0)),"Oferta nu există în registru",IF(N(F810)&lt;=0,"Lipsește cantitatea",IF(AND(ISNUMBER(Q810),Q810&lt;MarjaMin),"Marjă sub minim ("&amp;TEXT(Q810*100,"0")&amp;"%)",""))))</f>
        <v/>
      </c>
      <c r="S810" s="1" t="str">
        <f>IF(B810="","",B810&amp;"|"&amp;COUNTIF($B$5:B810,B810))</f>
        <v/>
      </c>
    </row>
    <row r="811" spans="2:19" x14ac:dyDescent="0.2">
      <c r="B811" s="11"/>
      <c r="C811" s="11"/>
      <c r="D811" s="10" t="str">
        <f t="shared" si="144"/>
        <v/>
      </c>
      <c r="E811" s="15" t="str">
        <f t="shared" si="145"/>
        <v/>
      </c>
      <c r="F811" s="11"/>
      <c r="G811" s="16" t="str">
        <f t="shared" si="146"/>
        <v/>
      </c>
      <c r="H811" s="17"/>
      <c r="I811" s="16" t="str">
        <f t="shared" si="147"/>
        <v/>
      </c>
      <c r="J811" s="16" t="str">
        <f t="shared" si="148"/>
        <v/>
      </c>
      <c r="K811" s="18" t="str">
        <f t="shared" si="149"/>
        <v/>
      </c>
      <c r="L811" s="16" t="str">
        <f t="shared" si="150"/>
        <v/>
      </c>
      <c r="M811" s="16" t="str">
        <f t="shared" si="151"/>
        <v/>
      </c>
      <c r="N811" s="16" t="str">
        <f t="shared" si="152"/>
        <v/>
      </c>
      <c r="O811" s="16" t="str">
        <f t="shared" si="153"/>
        <v/>
      </c>
      <c r="P811" s="16" t="str">
        <f t="shared" si="154"/>
        <v/>
      </c>
      <c r="Q811" s="18" t="str">
        <f t="shared" si="155"/>
        <v/>
      </c>
      <c r="R811" s="19" t="str">
        <f>IF(C811="","",IF(ISNA(MATCH(B811,'Registru oferte'!$B$5:$B$504,0)),"Oferta nu există în registru",IF(N(F811)&lt;=0,"Lipsește cantitatea",IF(AND(ISNUMBER(Q811),Q811&lt;MarjaMin),"Marjă sub minim ("&amp;TEXT(Q811*100,"0")&amp;"%)",""))))</f>
        <v/>
      </c>
      <c r="S811" s="1" t="str">
        <f>IF(B811="","",B811&amp;"|"&amp;COUNTIF($B$5:B811,B811))</f>
        <v/>
      </c>
    </row>
    <row r="812" spans="2:19" x14ac:dyDescent="0.2">
      <c r="B812" s="11"/>
      <c r="C812" s="11"/>
      <c r="D812" s="10" t="str">
        <f t="shared" si="144"/>
        <v/>
      </c>
      <c r="E812" s="15" t="str">
        <f t="shared" si="145"/>
        <v/>
      </c>
      <c r="F812" s="11"/>
      <c r="G812" s="16" t="str">
        <f t="shared" si="146"/>
        <v/>
      </c>
      <c r="H812" s="17"/>
      <c r="I812" s="16" t="str">
        <f t="shared" si="147"/>
        <v/>
      </c>
      <c r="J812" s="16" t="str">
        <f t="shared" si="148"/>
        <v/>
      </c>
      <c r="K812" s="18" t="str">
        <f t="shared" si="149"/>
        <v/>
      </c>
      <c r="L812" s="16" t="str">
        <f t="shared" si="150"/>
        <v/>
      </c>
      <c r="M812" s="16" t="str">
        <f t="shared" si="151"/>
        <v/>
      </c>
      <c r="N812" s="16" t="str">
        <f t="shared" si="152"/>
        <v/>
      </c>
      <c r="O812" s="16" t="str">
        <f t="shared" si="153"/>
        <v/>
      </c>
      <c r="P812" s="16" t="str">
        <f t="shared" si="154"/>
        <v/>
      </c>
      <c r="Q812" s="18" t="str">
        <f t="shared" si="155"/>
        <v/>
      </c>
      <c r="R812" s="19" t="str">
        <f>IF(C812="","",IF(ISNA(MATCH(B812,'Registru oferte'!$B$5:$B$504,0)),"Oferta nu există în registru",IF(N(F812)&lt;=0,"Lipsește cantitatea",IF(AND(ISNUMBER(Q812),Q812&lt;MarjaMin),"Marjă sub minim ("&amp;TEXT(Q812*100,"0")&amp;"%)",""))))</f>
        <v/>
      </c>
      <c r="S812" s="1" t="str">
        <f>IF(B812="","",B812&amp;"|"&amp;COUNTIF($B$5:B812,B812))</f>
        <v/>
      </c>
    </row>
    <row r="813" spans="2:19" x14ac:dyDescent="0.2">
      <c r="B813" s="11"/>
      <c r="C813" s="11"/>
      <c r="D813" s="10" t="str">
        <f t="shared" si="144"/>
        <v/>
      </c>
      <c r="E813" s="15" t="str">
        <f t="shared" si="145"/>
        <v/>
      </c>
      <c r="F813" s="11"/>
      <c r="G813" s="16" t="str">
        <f t="shared" si="146"/>
        <v/>
      </c>
      <c r="H813" s="17"/>
      <c r="I813" s="16" t="str">
        <f t="shared" si="147"/>
        <v/>
      </c>
      <c r="J813" s="16" t="str">
        <f t="shared" si="148"/>
        <v/>
      </c>
      <c r="K813" s="18" t="str">
        <f t="shared" si="149"/>
        <v/>
      </c>
      <c r="L813" s="16" t="str">
        <f t="shared" si="150"/>
        <v/>
      </c>
      <c r="M813" s="16" t="str">
        <f t="shared" si="151"/>
        <v/>
      </c>
      <c r="N813" s="16" t="str">
        <f t="shared" si="152"/>
        <v/>
      </c>
      <c r="O813" s="16" t="str">
        <f t="shared" si="153"/>
        <v/>
      </c>
      <c r="P813" s="16" t="str">
        <f t="shared" si="154"/>
        <v/>
      </c>
      <c r="Q813" s="18" t="str">
        <f t="shared" si="155"/>
        <v/>
      </c>
      <c r="R813" s="19" t="str">
        <f>IF(C813="","",IF(ISNA(MATCH(B813,'Registru oferte'!$B$5:$B$504,0)),"Oferta nu există în registru",IF(N(F813)&lt;=0,"Lipsește cantitatea",IF(AND(ISNUMBER(Q813),Q813&lt;MarjaMin),"Marjă sub minim ("&amp;TEXT(Q813*100,"0")&amp;"%)",""))))</f>
        <v/>
      </c>
      <c r="S813" s="1" t="str">
        <f>IF(B813="","",B813&amp;"|"&amp;COUNTIF($B$5:B813,B813))</f>
        <v/>
      </c>
    </row>
    <row r="814" spans="2:19" x14ac:dyDescent="0.2">
      <c r="B814" s="11"/>
      <c r="C814" s="11"/>
      <c r="D814" s="10" t="str">
        <f t="shared" si="144"/>
        <v/>
      </c>
      <c r="E814" s="15" t="str">
        <f t="shared" si="145"/>
        <v/>
      </c>
      <c r="F814" s="11"/>
      <c r="G814" s="16" t="str">
        <f t="shared" si="146"/>
        <v/>
      </c>
      <c r="H814" s="17"/>
      <c r="I814" s="16" t="str">
        <f t="shared" si="147"/>
        <v/>
      </c>
      <c r="J814" s="16" t="str">
        <f t="shared" si="148"/>
        <v/>
      </c>
      <c r="K814" s="18" t="str">
        <f t="shared" si="149"/>
        <v/>
      </c>
      <c r="L814" s="16" t="str">
        <f t="shared" si="150"/>
        <v/>
      </c>
      <c r="M814" s="16" t="str">
        <f t="shared" si="151"/>
        <v/>
      </c>
      <c r="N814" s="16" t="str">
        <f t="shared" si="152"/>
        <v/>
      </c>
      <c r="O814" s="16" t="str">
        <f t="shared" si="153"/>
        <v/>
      </c>
      <c r="P814" s="16" t="str">
        <f t="shared" si="154"/>
        <v/>
      </c>
      <c r="Q814" s="18" t="str">
        <f t="shared" si="155"/>
        <v/>
      </c>
      <c r="R814" s="19" t="str">
        <f>IF(C814="","",IF(ISNA(MATCH(B814,'Registru oferte'!$B$5:$B$504,0)),"Oferta nu există în registru",IF(N(F814)&lt;=0,"Lipsește cantitatea",IF(AND(ISNUMBER(Q814),Q814&lt;MarjaMin),"Marjă sub minim ("&amp;TEXT(Q814*100,"0")&amp;"%)",""))))</f>
        <v/>
      </c>
      <c r="S814" s="1" t="str">
        <f>IF(B814="","",B814&amp;"|"&amp;COUNTIF($B$5:B814,B814))</f>
        <v/>
      </c>
    </row>
    <row r="815" spans="2:19" x14ac:dyDescent="0.2">
      <c r="B815" s="11"/>
      <c r="C815" s="11"/>
      <c r="D815" s="10" t="str">
        <f t="shared" si="144"/>
        <v/>
      </c>
      <c r="E815" s="15" t="str">
        <f t="shared" si="145"/>
        <v/>
      </c>
      <c r="F815" s="11"/>
      <c r="G815" s="16" t="str">
        <f t="shared" si="146"/>
        <v/>
      </c>
      <c r="H815" s="17"/>
      <c r="I815" s="16" t="str">
        <f t="shared" si="147"/>
        <v/>
      </c>
      <c r="J815" s="16" t="str">
        <f t="shared" si="148"/>
        <v/>
      </c>
      <c r="K815" s="18" t="str">
        <f t="shared" si="149"/>
        <v/>
      </c>
      <c r="L815" s="16" t="str">
        <f t="shared" si="150"/>
        <v/>
      </c>
      <c r="M815" s="16" t="str">
        <f t="shared" si="151"/>
        <v/>
      </c>
      <c r="N815" s="16" t="str">
        <f t="shared" si="152"/>
        <v/>
      </c>
      <c r="O815" s="16" t="str">
        <f t="shared" si="153"/>
        <v/>
      </c>
      <c r="P815" s="16" t="str">
        <f t="shared" si="154"/>
        <v/>
      </c>
      <c r="Q815" s="18" t="str">
        <f t="shared" si="155"/>
        <v/>
      </c>
      <c r="R815" s="19" t="str">
        <f>IF(C815="","",IF(ISNA(MATCH(B815,'Registru oferte'!$B$5:$B$504,0)),"Oferta nu există în registru",IF(N(F815)&lt;=0,"Lipsește cantitatea",IF(AND(ISNUMBER(Q815),Q815&lt;MarjaMin),"Marjă sub minim ("&amp;TEXT(Q815*100,"0")&amp;"%)",""))))</f>
        <v/>
      </c>
      <c r="S815" s="1" t="str">
        <f>IF(B815="","",B815&amp;"|"&amp;COUNTIF($B$5:B815,B815))</f>
        <v/>
      </c>
    </row>
    <row r="816" spans="2:19" x14ac:dyDescent="0.2">
      <c r="B816" s="11"/>
      <c r="C816" s="11"/>
      <c r="D816" s="10" t="str">
        <f t="shared" si="144"/>
        <v/>
      </c>
      <c r="E816" s="15" t="str">
        <f t="shared" si="145"/>
        <v/>
      </c>
      <c r="F816" s="11"/>
      <c r="G816" s="16" t="str">
        <f t="shared" si="146"/>
        <v/>
      </c>
      <c r="H816" s="17"/>
      <c r="I816" s="16" t="str">
        <f t="shared" si="147"/>
        <v/>
      </c>
      <c r="J816" s="16" t="str">
        <f t="shared" si="148"/>
        <v/>
      </c>
      <c r="K816" s="18" t="str">
        <f t="shared" si="149"/>
        <v/>
      </c>
      <c r="L816" s="16" t="str">
        <f t="shared" si="150"/>
        <v/>
      </c>
      <c r="M816" s="16" t="str">
        <f t="shared" si="151"/>
        <v/>
      </c>
      <c r="N816" s="16" t="str">
        <f t="shared" si="152"/>
        <v/>
      </c>
      <c r="O816" s="16" t="str">
        <f t="shared" si="153"/>
        <v/>
      </c>
      <c r="P816" s="16" t="str">
        <f t="shared" si="154"/>
        <v/>
      </c>
      <c r="Q816" s="18" t="str">
        <f t="shared" si="155"/>
        <v/>
      </c>
      <c r="R816" s="19" t="str">
        <f>IF(C816="","",IF(ISNA(MATCH(B816,'Registru oferte'!$B$5:$B$504,0)),"Oferta nu există în registru",IF(N(F816)&lt;=0,"Lipsește cantitatea",IF(AND(ISNUMBER(Q816),Q816&lt;MarjaMin),"Marjă sub minim ("&amp;TEXT(Q816*100,"0")&amp;"%)",""))))</f>
        <v/>
      </c>
      <c r="S816" s="1" t="str">
        <f>IF(B816="","",B816&amp;"|"&amp;COUNTIF($B$5:B816,B816))</f>
        <v/>
      </c>
    </row>
    <row r="817" spans="2:19" x14ac:dyDescent="0.2">
      <c r="B817" s="11"/>
      <c r="C817" s="11"/>
      <c r="D817" s="10" t="str">
        <f t="shared" si="144"/>
        <v/>
      </c>
      <c r="E817" s="15" t="str">
        <f t="shared" si="145"/>
        <v/>
      </c>
      <c r="F817" s="11"/>
      <c r="G817" s="16" t="str">
        <f t="shared" si="146"/>
        <v/>
      </c>
      <c r="H817" s="17"/>
      <c r="I817" s="16" t="str">
        <f t="shared" si="147"/>
        <v/>
      </c>
      <c r="J817" s="16" t="str">
        <f t="shared" si="148"/>
        <v/>
      </c>
      <c r="K817" s="18" t="str">
        <f t="shared" si="149"/>
        <v/>
      </c>
      <c r="L817" s="16" t="str">
        <f t="shared" si="150"/>
        <v/>
      </c>
      <c r="M817" s="16" t="str">
        <f t="shared" si="151"/>
        <v/>
      </c>
      <c r="N817" s="16" t="str">
        <f t="shared" si="152"/>
        <v/>
      </c>
      <c r="O817" s="16" t="str">
        <f t="shared" si="153"/>
        <v/>
      </c>
      <c r="P817" s="16" t="str">
        <f t="shared" si="154"/>
        <v/>
      </c>
      <c r="Q817" s="18" t="str">
        <f t="shared" si="155"/>
        <v/>
      </c>
      <c r="R817" s="19" t="str">
        <f>IF(C817="","",IF(ISNA(MATCH(B817,'Registru oferte'!$B$5:$B$504,0)),"Oferta nu există în registru",IF(N(F817)&lt;=0,"Lipsește cantitatea",IF(AND(ISNUMBER(Q817),Q817&lt;MarjaMin),"Marjă sub minim ("&amp;TEXT(Q817*100,"0")&amp;"%)",""))))</f>
        <v/>
      </c>
      <c r="S817" s="1" t="str">
        <f>IF(B817="","",B817&amp;"|"&amp;COUNTIF($B$5:B817,B817))</f>
        <v/>
      </c>
    </row>
    <row r="818" spans="2:19" x14ac:dyDescent="0.2">
      <c r="B818" s="11"/>
      <c r="C818" s="11"/>
      <c r="D818" s="10" t="str">
        <f t="shared" si="144"/>
        <v/>
      </c>
      <c r="E818" s="15" t="str">
        <f t="shared" si="145"/>
        <v/>
      </c>
      <c r="F818" s="11"/>
      <c r="G818" s="16" t="str">
        <f t="shared" si="146"/>
        <v/>
      </c>
      <c r="H818" s="17"/>
      <c r="I818" s="16" t="str">
        <f t="shared" si="147"/>
        <v/>
      </c>
      <c r="J818" s="16" t="str">
        <f t="shared" si="148"/>
        <v/>
      </c>
      <c r="K818" s="18" t="str">
        <f t="shared" si="149"/>
        <v/>
      </c>
      <c r="L818" s="16" t="str">
        <f t="shared" si="150"/>
        <v/>
      </c>
      <c r="M818" s="16" t="str">
        <f t="shared" si="151"/>
        <v/>
      </c>
      <c r="N818" s="16" t="str">
        <f t="shared" si="152"/>
        <v/>
      </c>
      <c r="O818" s="16" t="str">
        <f t="shared" si="153"/>
        <v/>
      </c>
      <c r="P818" s="16" t="str">
        <f t="shared" si="154"/>
        <v/>
      </c>
      <c r="Q818" s="18" t="str">
        <f t="shared" si="155"/>
        <v/>
      </c>
      <c r="R818" s="19" t="str">
        <f>IF(C818="","",IF(ISNA(MATCH(B818,'Registru oferte'!$B$5:$B$504,0)),"Oferta nu există în registru",IF(N(F818)&lt;=0,"Lipsește cantitatea",IF(AND(ISNUMBER(Q818),Q818&lt;MarjaMin),"Marjă sub minim ("&amp;TEXT(Q818*100,"0")&amp;"%)",""))))</f>
        <v/>
      </c>
      <c r="S818" s="1" t="str">
        <f>IF(B818="","",B818&amp;"|"&amp;COUNTIF($B$5:B818,B818))</f>
        <v/>
      </c>
    </row>
    <row r="819" spans="2:19" x14ac:dyDescent="0.2">
      <c r="B819" s="11"/>
      <c r="C819" s="11"/>
      <c r="D819" s="10" t="str">
        <f t="shared" si="144"/>
        <v/>
      </c>
      <c r="E819" s="15" t="str">
        <f t="shared" si="145"/>
        <v/>
      </c>
      <c r="F819" s="11"/>
      <c r="G819" s="16" t="str">
        <f t="shared" si="146"/>
        <v/>
      </c>
      <c r="H819" s="17"/>
      <c r="I819" s="16" t="str">
        <f t="shared" si="147"/>
        <v/>
      </c>
      <c r="J819" s="16" t="str">
        <f t="shared" si="148"/>
        <v/>
      </c>
      <c r="K819" s="18" t="str">
        <f t="shared" si="149"/>
        <v/>
      </c>
      <c r="L819" s="16" t="str">
        <f t="shared" si="150"/>
        <v/>
      </c>
      <c r="M819" s="16" t="str">
        <f t="shared" si="151"/>
        <v/>
      </c>
      <c r="N819" s="16" t="str">
        <f t="shared" si="152"/>
        <v/>
      </c>
      <c r="O819" s="16" t="str">
        <f t="shared" si="153"/>
        <v/>
      </c>
      <c r="P819" s="16" t="str">
        <f t="shared" si="154"/>
        <v/>
      </c>
      <c r="Q819" s="18" t="str">
        <f t="shared" si="155"/>
        <v/>
      </c>
      <c r="R819" s="19" t="str">
        <f>IF(C819="","",IF(ISNA(MATCH(B819,'Registru oferte'!$B$5:$B$504,0)),"Oferta nu există în registru",IF(N(F819)&lt;=0,"Lipsește cantitatea",IF(AND(ISNUMBER(Q819),Q819&lt;MarjaMin),"Marjă sub minim ("&amp;TEXT(Q819*100,"0")&amp;"%)",""))))</f>
        <v/>
      </c>
      <c r="S819" s="1" t="str">
        <f>IF(B819="","",B819&amp;"|"&amp;COUNTIF($B$5:B819,B819))</f>
        <v/>
      </c>
    </row>
    <row r="820" spans="2:19" x14ac:dyDescent="0.2">
      <c r="B820" s="11"/>
      <c r="C820" s="11"/>
      <c r="D820" s="10" t="str">
        <f t="shared" si="144"/>
        <v/>
      </c>
      <c r="E820" s="15" t="str">
        <f t="shared" si="145"/>
        <v/>
      </c>
      <c r="F820" s="11"/>
      <c r="G820" s="16" t="str">
        <f t="shared" si="146"/>
        <v/>
      </c>
      <c r="H820" s="17"/>
      <c r="I820" s="16" t="str">
        <f t="shared" si="147"/>
        <v/>
      </c>
      <c r="J820" s="16" t="str">
        <f t="shared" si="148"/>
        <v/>
      </c>
      <c r="K820" s="18" t="str">
        <f t="shared" si="149"/>
        <v/>
      </c>
      <c r="L820" s="16" t="str">
        <f t="shared" si="150"/>
        <v/>
      </c>
      <c r="M820" s="16" t="str">
        <f t="shared" si="151"/>
        <v/>
      </c>
      <c r="N820" s="16" t="str">
        <f t="shared" si="152"/>
        <v/>
      </c>
      <c r="O820" s="16" t="str">
        <f t="shared" si="153"/>
        <v/>
      </c>
      <c r="P820" s="16" t="str">
        <f t="shared" si="154"/>
        <v/>
      </c>
      <c r="Q820" s="18" t="str">
        <f t="shared" si="155"/>
        <v/>
      </c>
      <c r="R820" s="19" t="str">
        <f>IF(C820="","",IF(ISNA(MATCH(B820,'Registru oferte'!$B$5:$B$504,0)),"Oferta nu există în registru",IF(N(F820)&lt;=0,"Lipsește cantitatea",IF(AND(ISNUMBER(Q820),Q820&lt;MarjaMin),"Marjă sub minim ("&amp;TEXT(Q820*100,"0")&amp;"%)",""))))</f>
        <v/>
      </c>
      <c r="S820" s="1" t="str">
        <f>IF(B820="","",B820&amp;"|"&amp;COUNTIF($B$5:B820,B820))</f>
        <v/>
      </c>
    </row>
    <row r="821" spans="2:19" x14ac:dyDescent="0.2">
      <c r="B821" s="11"/>
      <c r="C821" s="11"/>
      <c r="D821" s="10" t="str">
        <f t="shared" si="144"/>
        <v/>
      </c>
      <c r="E821" s="15" t="str">
        <f t="shared" si="145"/>
        <v/>
      </c>
      <c r="F821" s="11"/>
      <c r="G821" s="16" t="str">
        <f t="shared" si="146"/>
        <v/>
      </c>
      <c r="H821" s="17"/>
      <c r="I821" s="16" t="str">
        <f t="shared" si="147"/>
        <v/>
      </c>
      <c r="J821" s="16" t="str">
        <f t="shared" si="148"/>
        <v/>
      </c>
      <c r="K821" s="18" t="str">
        <f t="shared" si="149"/>
        <v/>
      </c>
      <c r="L821" s="16" t="str">
        <f t="shared" si="150"/>
        <v/>
      </c>
      <c r="M821" s="16" t="str">
        <f t="shared" si="151"/>
        <v/>
      </c>
      <c r="N821" s="16" t="str">
        <f t="shared" si="152"/>
        <v/>
      </c>
      <c r="O821" s="16" t="str">
        <f t="shared" si="153"/>
        <v/>
      </c>
      <c r="P821" s="16" t="str">
        <f t="shared" si="154"/>
        <v/>
      </c>
      <c r="Q821" s="18" t="str">
        <f t="shared" si="155"/>
        <v/>
      </c>
      <c r="R821" s="19" t="str">
        <f>IF(C821="","",IF(ISNA(MATCH(B821,'Registru oferte'!$B$5:$B$504,0)),"Oferta nu există în registru",IF(N(F821)&lt;=0,"Lipsește cantitatea",IF(AND(ISNUMBER(Q821),Q821&lt;MarjaMin),"Marjă sub minim ("&amp;TEXT(Q821*100,"0")&amp;"%)",""))))</f>
        <v/>
      </c>
      <c r="S821" s="1" t="str">
        <f>IF(B821="","",B821&amp;"|"&amp;COUNTIF($B$5:B821,B821))</f>
        <v/>
      </c>
    </row>
    <row r="822" spans="2:19" x14ac:dyDescent="0.2">
      <c r="B822" s="11"/>
      <c r="C822" s="11"/>
      <c r="D822" s="10" t="str">
        <f t="shared" si="144"/>
        <v/>
      </c>
      <c r="E822" s="15" t="str">
        <f t="shared" si="145"/>
        <v/>
      </c>
      <c r="F822" s="11"/>
      <c r="G822" s="16" t="str">
        <f t="shared" si="146"/>
        <v/>
      </c>
      <c r="H822" s="17"/>
      <c r="I822" s="16" t="str">
        <f t="shared" si="147"/>
        <v/>
      </c>
      <c r="J822" s="16" t="str">
        <f t="shared" si="148"/>
        <v/>
      </c>
      <c r="K822" s="18" t="str">
        <f t="shared" si="149"/>
        <v/>
      </c>
      <c r="L822" s="16" t="str">
        <f t="shared" si="150"/>
        <v/>
      </c>
      <c r="M822" s="16" t="str">
        <f t="shared" si="151"/>
        <v/>
      </c>
      <c r="N822" s="16" t="str">
        <f t="shared" si="152"/>
        <v/>
      </c>
      <c r="O822" s="16" t="str">
        <f t="shared" si="153"/>
        <v/>
      </c>
      <c r="P822" s="16" t="str">
        <f t="shared" si="154"/>
        <v/>
      </c>
      <c r="Q822" s="18" t="str">
        <f t="shared" si="155"/>
        <v/>
      </c>
      <c r="R822" s="19" t="str">
        <f>IF(C822="","",IF(ISNA(MATCH(B822,'Registru oferte'!$B$5:$B$504,0)),"Oferta nu există în registru",IF(N(F822)&lt;=0,"Lipsește cantitatea",IF(AND(ISNUMBER(Q822),Q822&lt;MarjaMin),"Marjă sub minim ("&amp;TEXT(Q822*100,"0")&amp;"%)",""))))</f>
        <v/>
      </c>
      <c r="S822" s="1" t="str">
        <f>IF(B822="","",B822&amp;"|"&amp;COUNTIF($B$5:B822,B822))</f>
        <v/>
      </c>
    </row>
    <row r="823" spans="2:19" x14ac:dyDescent="0.2">
      <c r="B823" s="11"/>
      <c r="C823" s="11"/>
      <c r="D823" s="10" t="str">
        <f t="shared" si="144"/>
        <v/>
      </c>
      <c r="E823" s="15" t="str">
        <f t="shared" si="145"/>
        <v/>
      </c>
      <c r="F823" s="11"/>
      <c r="G823" s="16" t="str">
        <f t="shared" si="146"/>
        <v/>
      </c>
      <c r="H823" s="17"/>
      <c r="I823" s="16" t="str">
        <f t="shared" si="147"/>
        <v/>
      </c>
      <c r="J823" s="16" t="str">
        <f t="shared" si="148"/>
        <v/>
      </c>
      <c r="K823" s="18" t="str">
        <f t="shared" si="149"/>
        <v/>
      </c>
      <c r="L823" s="16" t="str">
        <f t="shared" si="150"/>
        <v/>
      </c>
      <c r="M823" s="16" t="str">
        <f t="shared" si="151"/>
        <v/>
      </c>
      <c r="N823" s="16" t="str">
        <f t="shared" si="152"/>
        <v/>
      </c>
      <c r="O823" s="16" t="str">
        <f t="shared" si="153"/>
        <v/>
      </c>
      <c r="P823" s="16" t="str">
        <f t="shared" si="154"/>
        <v/>
      </c>
      <c r="Q823" s="18" t="str">
        <f t="shared" si="155"/>
        <v/>
      </c>
      <c r="R823" s="19" t="str">
        <f>IF(C823="","",IF(ISNA(MATCH(B823,'Registru oferte'!$B$5:$B$504,0)),"Oferta nu există în registru",IF(N(F823)&lt;=0,"Lipsește cantitatea",IF(AND(ISNUMBER(Q823),Q823&lt;MarjaMin),"Marjă sub minim ("&amp;TEXT(Q823*100,"0")&amp;"%)",""))))</f>
        <v/>
      </c>
      <c r="S823" s="1" t="str">
        <f>IF(B823="","",B823&amp;"|"&amp;COUNTIF($B$5:B823,B823))</f>
        <v/>
      </c>
    </row>
    <row r="824" spans="2:19" x14ac:dyDescent="0.2">
      <c r="B824" s="11"/>
      <c r="C824" s="11"/>
      <c r="D824" s="10" t="str">
        <f t="shared" si="144"/>
        <v/>
      </c>
      <c r="E824" s="15" t="str">
        <f t="shared" si="145"/>
        <v/>
      </c>
      <c r="F824" s="11"/>
      <c r="G824" s="16" t="str">
        <f t="shared" si="146"/>
        <v/>
      </c>
      <c r="H824" s="17"/>
      <c r="I824" s="16" t="str">
        <f t="shared" si="147"/>
        <v/>
      </c>
      <c r="J824" s="16" t="str">
        <f t="shared" si="148"/>
        <v/>
      </c>
      <c r="K824" s="18" t="str">
        <f t="shared" si="149"/>
        <v/>
      </c>
      <c r="L824" s="16" t="str">
        <f t="shared" si="150"/>
        <v/>
      </c>
      <c r="M824" s="16" t="str">
        <f t="shared" si="151"/>
        <v/>
      </c>
      <c r="N824" s="16" t="str">
        <f t="shared" si="152"/>
        <v/>
      </c>
      <c r="O824" s="16" t="str">
        <f t="shared" si="153"/>
        <v/>
      </c>
      <c r="P824" s="16" t="str">
        <f t="shared" si="154"/>
        <v/>
      </c>
      <c r="Q824" s="18" t="str">
        <f t="shared" si="155"/>
        <v/>
      </c>
      <c r="R824" s="19" t="str">
        <f>IF(C824="","",IF(ISNA(MATCH(B824,'Registru oferte'!$B$5:$B$504,0)),"Oferta nu există în registru",IF(N(F824)&lt;=0,"Lipsește cantitatea",IF(AND(ISNUMBER(Q824),Q824&lt;MarjaMin),"Marjă sub minim ("&amp;TEXT(Q824*100,"0")&amp;"%)",""))))</f>
        <v/>
      </c>
      <c r="S824" s="1" t="str">
        <f>IF(B824="","",B824&amp;"|"&amp;COUNTIF($B$5:B824,B824))</f>
        <v/>
      </c>
    </row>
    <row r="825" spans="2:19" x14ac:dyDescent="0.2">
      <c r="B825" s="11"/>
      <c r="C825" s="11"/>
      <c r="D825" s="10" t="str">
        <f t="shared" si="144"/>
        <v/>
      </c>
      <c r="E825" s="15" t="str">
        <f t="shared" si="145"/>
        <v/>
      </c>
      <c r="F825" s="11"/>
      <c r="G825" s="16" t="str">
        <f t="shared" si="146"/>
        <v/>
      </c>
      <c r="H825" s="17"/>
      <c r="I825" s="16" t="str">
        <f t="shared" si="147"/>
        <v/>
      </c>
      <c r="J825" s="16" t="str">
        <f t="shared" si="148"/>
        <v/>
      </c>
      <c r="K825" s="18" t="str">
        <f t="shared" si="149"/>
        <v/>
      </c>
      <c r="L825" s="16" t="str">
        <f t="shared" si="150"/>
        <v/>
      </c>
      <c r="M825" s="16" t="str">
        <f t="shared" si="151"/>
        <v/>
      </c>
      <c r="N825" s="16" t="str">
        <f t="shared" si="152"/>
        <v/>
      </c>
      <c r="O825" s="16" t="str">
        <f t="shared" si="153"/>
        <v/>
      </c>
      <c r="P825" s="16" t="str">
        <f t="shared" si="154"/>
        <v/>
      </c>
      <c r="Q825" s="18" t="str">
        <f t="shared" si="155"/>
        <v/>
      </c>
      <c r="R825" s="19" t="str">
        <f>IF(C825="","",IF(ISNA(MATCH(B825,'Registru oferte'!$B$5:$B$504,0)),"Oferta nu există în registru",IF(N(F825)&lt;=0,"Lipsește cantitatea",IF(AND(ISNUMBER(Q825),Q825&lt;MarjaMin),"Marjă sub minim ("&amp;TEXT(Q825*100,"0")&amp;"%)",""))))</f>
        <v/>
      </c>
      <c r="S825" s="1" t="str">
        <f>IF(B825="","",B825&amp;"|"&amp;COUNTIF($B$5:B825,B825))</f>
        <v/>
      </c>
    </row>
    <row r="826" spans="2:19" x14ac:dyDescent="0.2">
      <c r="B826" s="11"/>
      <c r="C826" s="11"/>
      <c r="D826" s="10" t="str">
        <f t="shared" si="144"/>
        <v/>
      </c>
      <c r="E826" s="15" t="str">
        <f t="shared" si="145"/>
        <v/>
      </c>
      <c r="F826" s="11"/>
      <c r="G826" s="16" t="str">
        <f t="shared" si="146"/>
        <v/>
      </c>
      <c r="H826" s="17"/>
      <c r="I826" s="16" t="str">
        <f t="shared" si="147"/>
        <v/>
      </c>
      <c r="J826" s="16" t="str">
        <f t="shared" si="148"/>
        <v/>
      </c>
      <c r="K826" s="18" t="str">
        <f t="shared" si="149"/>
        <v/>
      </c>
      <c r="L826" s="16" t="str">
        <f t="shared" si="150"/>
        <v/>
      </c>
      <c r="M826" s="16" t="str">
        <f t="shared" si="151"/>
        <v/>
      </c>
      <c r="N826" s="16" t="str">
        <f t="shared" si="152"/>
        <v/>
      </c>
      <c r="O826" s="16" t="str">
        <f t="shared" si="153"/>
        <v/>
      </c>
      <c r="P826" s="16" t="str">
        <f t="shared" si="154"/>
        <v/>
      </c>
      <c r="Q826" s="18" t="str">
        <f t="shared" si="155"/>
        <v/>
      </c>
      <c r="R826" s="19" t="str">
        <f>IF(C826="","",IF(ISNA(MATCH(B826,'Registru oferte'!$B$5:$B$504,0)),"Oferta nu există în registru",IF(N(F826)&lt;=0,"Lipsește cantitatea",IF(AND(ISNUMBER(Q826),Q826&lt;MarjaMin),"Marjă sub minim ("&amp;TEXT(Q826*100,"0")&amp;"%)",""))))</f>
        <v/>
      </c>
      <c r="S826" s="1" t="str">
        <f>IF(B826="","",B826&amp;"|"&amp;COUNTIF($B$5:B826,B826))</f>
        <v/>
      </c>
    </row>
    <row r="827" spans="2:19" x14ac:dyDescent="0.2">
      <c r="B827" s="11"/>
      <c r="C827" s="11"/>
      <c r="D827" s="10" t="str">
        <f t="shared" si="144"/>
        <v/>
      </c>
      <c r="E827" s="15" t="str">
        <f t="shared" si="145"/>
        <v/>
      </c>
      <c r="F827" s="11"/>
      <c r="G827" s="16" t="str">
        <f t="shared" si="146"/>
        <v/>
      </c>
      <c r="H827" s="17"/>
      <c r="I827" s="16" t="str">
        <f t="shared" si="147"/>
        <v/>
      </c>
      <c r="J827" s="16" t="str">
        <f t="shared" si="148"/>
        <v/>
      </c>
      <c r="K827" s="18" t="str">
        <f t="shared" si="149"/>
        <v/>
      </c>
      <c r="L827" s="16" t="str">
        <f t="shared" si="150"/>
        <v/>
      </c>
      <c r="M827" s="16" t="str">
        <f t="shared" si="151"/>
        <v/>
      </c>
      <c r="N827" s="16" t="str">
        <f t="shared" si="152"/>
        <v/>
      </c>
      <c r="O827" s="16" t="str">
        <f t="shared" si="153"/>
        <v/>
      </c>
      <c r="P827" s="16" t="str">
        <f t="shared" si="154"/>
        <v/>
      </c>
      <c r="Q827" s="18" t="str">
        <f t="shared" si="155"/>
        <v/>
      </c>
      <c r="R827" s="19" t="str">
        <f>IF(C827="","",IF(ISNA(MATCH(B827,'Registru oferte'!$B$5:$B$504,0)),"Oferta nu există în registru",IF(N(F827)&lt;=0,"Lipsește cantitatea",IF(AND(ISNUMBER(Q827),Q827&lt;MarjaMin),"Marjă sub minim ("&amp;TEXT(Q827*100,"0")&amp;"%)",""))))</f>
        <v/>
      </c>
      <c r="S827" s="1" t="str">
        <f>IF(B827="","",B827&amp;"|"&amp;COUNTIF($B$5:B827,B827))</f>
        <v/>
      </c>
    </row>
    <row r="828" spans="2:19" x14ac:dyDescent="0.2">
      <c r="B828" s="11"/>
      <c r="C828" s="11"/>
      <c r="D828" s="10" t="str">
        <f t="shared" si="144"/>
        <v/>
      </c>
      <c r="E828" s="15" t="str">
        <f t="shared" si="145"/>
        <v/>
      </c>
      <c r="F828" s="11"/>
      <c r="G828" s="16" t="str">
        <f t="shared" si="146"/>
        <v/>
      </c>
      <c r="H828" s="17"/>
      <c r="I828" s="16" t="str">
        <f t="shared" si="147"/>
        <v/>
      </c>
      <c r="J828" s="16" t="str">
        <f t="shared" si="148"/>
        <v/>
      </c>
      <c r="K828" s="18" t="str">
        <f t="shared" si="149"/>
        <v/>
      </c>
      <c r="L828" s="16" t="str">
        <f t="shared" si="150"/>
        <v/>
      </c>
      <c r="M828" s="16" t="str">
        <f t="shared" si="151"/>
        <v/>
      </c>
      <c r="N828" s="16" t="str">
        <f t="shared" si="152"/>
        <v/>
      </c>
      <c r="O828" s="16" t="str">
        <f t="shared" si="153"/>
        <v/>
      </c>
      <c r="P828" s="16" t="str">
        <f t="shared" si="154"/>
        <v/>
      </c>
      <c r="Q828" s="18" t="str">
        <f t="shared" si="155"/>
        <v/>
      </c>
      <c r="R828" s="19" t="str">
        <f>IF(C828="","",IF(ISNA(MATCH(B828,'Registru oferte'!$B$5:$B$504,0)),"Oferta nu există în registru",IF(N(F828)&lt;=0,"Lipsește cantitatea",IF(AND(ISNUMBER(Q828),Q828&lt;MarjaMin),"Marjă sub minim ("&amp;TEXT(Q828*100,"0")&amp;"%)",""))))</f>
        <v/>
      </c>
      <c r="S828" s="1" t="str">
        <f>IF(B828="","",B828&amp;"|"&amp;COUNTIF($B$5:B828,B828))</f>
        <v/>
      </c>
    </row>
    <row r="829" spans="2:19" x14ac:dyDescent="0.2">
      <c r="B829" s="11"/>
      <c r="C829" s="11"/>
      <c r="D829" s="10" t="str">
        <f t="shared" si="144"/>
        <v/>
      </c>
      <c r="E829" s="15" t="str">
        <f t="shared" si="145"/>
        <v/>
      </c>
      <c r="F829" s="11"/>
      <c r="G829" s="16" t="str">
        <f t="shared" si="146"/>
        <v/>
      </c>
      <c r="H829" s="17"/>
      <c r="I829" s="16" t="str">
        <f t="shared" si="147"/>
        <v/>
      </c>
      <c r="J829" s="16" t="str">
        <f t="shared" si="148"/>
        <v/>
      </c>
      <c r="K829" s="18" t="str">
        <f t="shared" si="149"/>
        <v/>
      </c>
      <c r="L829" s="16" t="str">
        <f t="shared" si="150"/>
        <v/>
      </c>
      <c r="M829" s="16" t="str">
        <f t="shared" si="151"/>
        <v/>
      </c>
      <c r="N829" s="16" t="str">
        <f t="shared" si="152"/>
        <v/>
      </c>
      <c r="O829" s="16" t="str">
        <f t="shared" si="153"/>
        <v/>
      </c>
      <c r="P829" s="16" t="str">
        <f t="shared" si="154"/>
        <v/>
      </c>
      <c r="Q829" s="18" t="str">
        <f t="shared" si="155"/>
        <v/>
      </c>
      <c r="R829" s="19" t="str">
        <f>IF(C829="","",IF(ISNA(MATCH(B829,'Registru oferte'!$B$5:$B$504,0)),"Oferta nu există în registru",IF(N(F829)&lt;=0,"Lipsește cantitatea",IF(AND(ISNUMBER(Q829),Q829&lt;MarjaMin),"Marjă sub minim ("&amp;TEXT(Q829*100,"0")&amp;"%)",""))))</f>
        <v/>
      </c>
      <c r="S829" s="1" t="str">
        <f>IF(B829="","",B829&amp;"|"&amp;COUNTIF($B$5:B829,B829))</f>
        <v/>
      </c>
    </row>
    <row r="830" spans="2:19" x14ac:dyDescent="0.2">
      <c r="B830" s="11"/>
      <c r="C830" s="11"/>
      <c r="D830" s="10" t="str">
        <f t="shared" si="144"/>
        <v/>
      </c>
      <c r="E830" s="15" t="str">
        <f t="shared" si="145"/>
        <v/>
      </c>
      <c r="F830" s="11"/>
      <c r="G830" s="16" t="str">
        <f t="shared" si="146"/>
        <v/>
      </c>
      <c r="H830" s="17"/>
      <c r="I830" s="16" t="str">
        <f t="shared" si="147"/>
        <v/>
      </c>
      <c r="J830" s="16" t="str">
        <f t="shared" si="148"/>
        <v/>
      </c>
      <c r="K830" s="18" t="str">
        <f t="shared" si="149"/>
        <v/>
      </c>
      <c r="L830" s="16" t="str">
        <f t="shared" si="150"/>
        <v/>
      </c>
      <c r="M830" s="16" t="str">
        <f t="shared" si="151"/>
        <v/>
      </c>
      <c r="N830" s="16" t="str">
        <f t="shared" si="152"/>
        <v/>
      </c>
      <c r="O830" s="16" t="str">
        <f t="shared" si="153"/>
        <v/>
      </c>
      <c r="P830" s="16" t="str">
        <f t="shared" si="154"/>
        <v/>
      </c>
      <c r="Q830" s="18" t="str">
        <f t="shared" si="155"/>
        <v/>
      </c>
      <c r="R830" s="19" t="str">
        <f>IF(C830="","",IF(ISNA(MATCH(B830,'Registru oferte'!$B$5:$B$504,0)),"Oferta nu există în registru",IF(N(F830)&lt;=0,"Lipsește cantitatea",IF(AND(ISNUMBER(Q830),Q830&lt;MarjaMin),"Marjă sub minim ("&amp;TEXT(Q830*100,"0")&amp;"%)",""))))</f>
        <v/>
      </c>
      <c r="S830" s="1" t="str">
        <f>IF(B830="","",B830&amp;"|"&amp;COUNTIF($B$5:B830,B830))</f>
        <v/>
      </c>
    </row>
    <row r="831" spans="2:19" x14ac:dyDescent="0.2">
      <c r="B831" s="11"/>
      <c r="C831" s="11"/>
      <c r="D831" s="10" t="str">
        <f t="shared" si="144"/>
        <v/>
      </c>
      <c r="E831" s="15" t="str">
        <f t="shared" si="145"/>
        <v/>
      </c>
      <c r="F831" s="11"/>
      <c r="G831" s="16" t="str">
        <f t="shared" si="146"/>
        <v/>
      </c>
      <c r="H831" s="17"/>
      <c r="I831" s="16" t="str">
        <f t="shared" si="147"/>
        <v/>
      </c>
      <c r="J831" s="16" t="str">
        <f t="shared" si="148"/>
        <v/>
      </c>
      <c r="K831" s="18" t="str">
        <f t="shared" si="149"/>
        <v/>
      </c>
      <c r="L831" s="16" t="str">
        <f t="shared" si="150"/>
        <v/>
      </c>
      <c r="M831" s="16" t="str">
        <f t="shared" si="151"/>
        <v/>
      </c>
      <c r="N831" s="16" t="str">
        <f t="shared" si="152"/>
        <v/>
      </c>
      <c r="O831" s="16" t="str">
        <f t="shared" si="153"/>
        <v/>
      </c>
      <c r="P831" s="16" t="str">
        <f t="shared" si="154"/>
        <v/>
      </c>
      <c r="Q831" s="18" t="str">
        <f t="shared" si="155"/>
        <v/>
      </c>
      <c r="R831" s="19" t="str">
        <f>IF(C831="","",IF(ISNA(MATCH(B831,'Registru oferte'!$B$5:$B$504,0)),"Oferta nu există în registru",IF(N(F831)&lt;=0,"Lipsește cantitatea",IF(AND(ISNUMBER(Q831),Q831&lt;MarjaMin),"Marjă sub minim ("&amp;TEXT(Q831*100,"0")&amp;"%)",""))))</f>
        <v/>
      </c>
      <c r="S831" s="1" t="str">
        <f>IF(B831="","",B831&amp;"|"&amp;COUNTIF($B$5:B831,B831))</f>
        <v/>
      </c>
    </row>
    <row r="832" spans="2:19" x14ac:dyDescent="0.2">
      <c r="B832" s="11"/>
      <c r="C832" s="11"/>
      <c r="D832" s="10" t="str">
        <f t="shared" si="144"/>
        <v/>
      </c>
      <c r="E832" s="15" t="str">
        <f t="shared" si="145"/>
        <v/>
      </c>
      <c r="F832" s="11"/>
      <c r="G832" s="16" t="str">
        <f t="shared" si="146"/>
        <v/>
      </c>
      <c r="H832" s="17"/>
      <c r="I832" s="16" t="str">
        <f t="shared" si="147"/>
        <v/>
      </c>
      <c r="J832" s="16" t="str">
        <f t="shared" si="148"/>
        <v/>
      </c>
      <c r="K832" s="18" t="str">
        <f t="shared" si="149"/>
        <v/>
      </c>
      <c r="L832" s="16" t="str">
        <f t="shared" si="150"/>
        <v/>
      </c>
      <c r="M832" s="16" t="str">
        <f t="shared" si="151"/>
        <v/>
      </c>
      <c r="N832" s="16" t="str">
        <f t="shared" si="152"/>
        <v/>
      </c>
      <c r="O832" s="16" t="str">
        <f t="shared" si="153"/>
        <v/>
      </c>
      <c r="P832" s="16" t="str">
        <f t="shared" si="154"/>
        <v/>
      </c>
      <c r="Q832" s="18" t="str">
        <f t="shared" si="155"/>
        <v/>
      </c>
      <c r="R832" s="19" t="str">
        <f>IF(C832="","",IF(ISNA(MATCH(B832,'Registru oferte'!$B$5:$B$504,0)),"Oferta nu există în registru",IF(N(F832)&lt;=0,"Lipsește cantitatea",IF(AND(ISNUMBER(Q832),Q832&lt;MarjaMin),"Marjă sub minim ("&amp;TEXT(Q832*100,"0")&amp;"%)",""))))</f>
        <v/>
      </c>
      <c r="S832" s="1" t="str">
        <f>IF(B832="","",B832&amp;"|"&amp;COUNTIF($B$5:B832,B832))</f>
        <v/>
      </c>
    </row>
    <row r="833" spans="2:19" x14ac:dyDescent="0.2">
      <c r="B833" s="11"/>
      <c r="C833" s="11"/>
      <c r="D833" s="10" t="str">
        <f t="shared" si="144"/>
        <v/>
      </c>
      <c r="E833" s="15" t="str">
        <f t="shared" si="145"/>
        <v/>
      </c>
      <c r="F833" s="11"/>
      <c r="G833" s="16" t="str">
        <f t="shared" si="146"/>
        <v/>
      </c>
      <c r="H833" s="17"/>
      <c r="I833" s="16" t="str">
        <f t="shared" si="147"/>
        <v/>
      </c>
      <c r="J833" s="16" t="str">
        <f t="shared" si="148"/>
        <v/>
      </c>
      <c r="K833" s="18" t="str">
        <f t="shared" si="149"/>
        <v/>
      </c>
      <c r="L833" s="16" t="str">
        <f t="shared" si="150"/>
        <v/>
      </c>
      <c r="M833" s="16" t="str">
        <f t="shared" si="151"/>
        <v/>
      </c>
      <c r="N833" s="16" t="str">
        <f t="shared" si="152"/>
        <v/>
      </c>
      <c r="O833" s="16" t="str">
        <f t="shared" si="153"/>
        <v/>
      </c>
      <c r="P833" s="16" t="str">
        <f t="shared" si="154"/>
        <v/>
      </c>
      <c r="Q833" s="18" t="str">
        <f t="shared" si="155"/>
        <v/>
      </c>
      <c r="R833" s="19" t="str">
        <f>IF(C833="","",IF(ISNA(MATCH(B833,'Registru oferte'!$B$5:$B$504,0)),"Oferta nu există în registru",IF(N(F833)&lt;=0,"Lipsește cantitatea",IF(AND(ISNUMBER(Q833),Q833&lt;MarjaMin),"Marjă sub minim ("&amp;TEXT(Q833*100,"0")&amp;"%)",""))))</f>
        <v/>
      </c>
      <c r="S833" s="1" t="str">
        <f>IF(B833="","",B833&amp;"|"&amp;COUNTIF($B$5:B833,B833))</f>
        <v/>
      </c>
    </row>
    <row r="834" spans="2:19" x14ac:dyDescent="0.2">
      <c r="B834" s="11"/>
      <c r="C834" s="11"/>
      <c r="D834" s="10" t="str">
        <f t="shared" si="144"/>
        <v/>
      </c>
      <c r="E834" s="15" t="str">
        <f t="shared" si="145"/>
        <v/>
      </c>
      <c r="F834" s="11"/>
      <c r="G834" s="16" t="str">
        <f t="shared" si="146"/>
        <v/>
      </c>
      <c r="H834" s="17"/>
      <c r="I834" s="16" t="str">
        <f t="shared" si="147"/>
        <v/>
      </c>
      <c r="J834" s="16" t="str">
        <f t="shared" si="148"/>
        <v/>
      </c>
      <c r="K834" s="18" t="str">
        <f t="shared" si="149"/>
        <v/>
      </c>
      <c r="L834" s="16" t="str">
        <f t="shared" si="150"/>
        <v/>
      </c>
      <c r="M834" s="16" t="str">
        <f t="shared" si="151"/>
        <v/>
      </c>
      <c r="N834" s="16" t="str">
        <f t="shared" si="152"/>
        <v/>
      </c>
      <c r="O834" s="16" t="str">
        <f t="shared" si="153"/>
        <v/>
      </c>
      <c r="P834" s="16" t="str">
        <f t="shared" si="154"/>
        <v/>
      </c>
      <c r="Q834" s="18" t="str">
        <f t="shared" si="155"/>
        <v/>
      </c>
      <c r="R834" s="19" t="str">
        <f>IF(C834="","",IF(ISNA(MATCH(B834,'Registru oferte'!$B$5:$B$504,0)),"Oferta nu există în registru",IF(N(F834)&lt;=0,"Lipsește cantitatea",IF(AND(ISNUMBER(Q834),Q834&lt;MarjaMin),"Marjă sub minim ("&amp;TEXT(Q834*100,"0")&amp;"%)",""))))</f>
        <v/>
      </c>
      <c r="S834" s="1" t="str">
        <f>IF(B834="","",B834&amp;"|"&amp;COUNTIF($B$5:B834,B834))</f>
        <v/>
      </c>
    </row>
    <row r="835" spans="2:19" x14ac:dyDescent="0.2">
      <c r="B835" s="11"/>
      <c r="C835" s="11"/>
      <c r="D835" s="10" t="str">
        <f t="shared" si="144"/>
        <v/>
      </c>
      <c r="E835" s="15" t="str">
        <f t="shared" si="145"/>
        <v/>
      </c>
      <c r="F835" s="11"/>
      <c r="G835" s="16" t="str">
        <f t="shared" si="146"/>
        <v/>
      </c>
      <c r="H835" s="17"/>
      <c r="I835" s="16" t="str">
        <f t="shared" si="147"/>
        <v/>
      </c>
      <c r="J835" s="16" t="str">
        <f t="shared" si="148"/>
        <v/>
      </c>
      <c r="K835" s="18" t="str">
        <f t="shared" si="149"/>
        <v/>
      </c>
      <c r="L835" s="16" t="str">
        <f t="shared" si="150"/>
        <v/>
      </c>
      <c r="M835" s="16" t="str">
        <f t="shared" si="151"/>
        <v/>
      </c>
      <c r="N835" s="16" t="str">
        <f t="shared" si="152"/>
        <v/>
      </c>
      <c r="O835" s="16" t="str">
        <f t="shared" si="153"/>
        <v/>
      </c>
      <c r="P835" s="16" t="str">
        <f t="shared" si="154"/>
        <v/>
      </c>
      <c r="Q835" s="18" t="str">
        <f t="shared" si="155"/>
        <v/>
      </c>
      <c r="R835" s="19" t="str">
        <f>IF(C835="","",IF(ISNA(MATCH(B835,'Registru oferte'!$B$5:$B$504,0)),"Oferta nu există în registru",IF(N(F835)&lt;=0,"Lipsește cantitatea",IF(AND(ISNUMBER(Q835),Q835&lt;MarjaMin),"Marjă sub minim ("&amp;TEXT(Q835*100,"0")&amp;"%)",""))))</f>
        <v/>
      </c>
      <c r="S835" s="1" t="str">
        <f>IF(B835="","",B835&amp;"|"&amp;COUNTIF($B$5:B835,B835))</f>
        <v/>
      </c>
    </row>
    <row r="836" spans="2:19" x14ac:dyDescent="0.2">
      <c r="B836" s="11"/>
      <c r="C836" s="11"/>
      <c r="D836" s="10" t="str">
        <f t="shared" si="144"/>
        <v/>
      </c>
      <c r="E836" s="15" t="str">
        <f t="shared" si="145"/>
        <v/>
      </c>
      <c r="F836" s="11"/>
      <c r="G836" s="16" t="str">
        <f t="shared" si="146"/>
        <v/>
      </c>
      <c r="H836" s="17"/>
      <c r="I836" s="16" t="str">
        <f t="shared" si="147"/>
        <v/>
      </c>
      <c r="J836" s="16" t="str">
        <f t="shared" si="148"/>
        <v/>
      </c>
      <c r="K836" s="18" t="str">
        <f t="shared" si="149"/>
        <v/>
      </c>
      <c r="L836" s="16" t="str">
        <f t="shared" si="150"/>
        <v/>
      </c>
      <c r="M836" s="16" t="str">
        <f t="shared" si="151"/>
        <v/>
      </c>
      <c r="N836" s="16" t="str">
        <f t="shared" si="152"/>
        <v/>
      </c>
      <c r="O836" s="16" t="str">
        <f t="shared" si="153"/>
        <v/>
      </c>
      <c r="P836" s="16" t="str">
        <f t="shared" si="154"/>
        <v/>
      </c>
      <c r="Q836" s="18" t="str">
        <f t="shared" si="155"/>
        <v/>
      </c>
      <c r="R836" s="19" t="str">
        <f>IF(C836="","",IF(ISNA(MATCH(B836,'Registru oferte'!$B$5:$B$504,0)),"Oferta nu există în registru",IF(N(F836)&lt;=0,"Lipsește cantitatea",IF(AND(ISNUMBER(Q836),Q836&lt;MarjaMin),"Marjă sub minim ("&amp;TEXT(Q836*100,"0")&amp;"%)",""))))</f>
        <v/>
      </c>
      <c r="S836" s="1" t="str">
        <f>IF(B836="","",B836&amp;"|"&amp;COUNTIF($B$5:B836,B836))</f>
        <v/>
      </c>
    </row>
    <row r="837" spans="2:19" x14ac:dyDescent="0.2">
      <c r="B837" s="11"/>
      <c r="C837" s="11"/>
      <c r="D837" s="10" t="str">
        <f t="shared" ref="D837:D900" si="156">IF(C837="","",IFERROR(VLOOKUP(C837,TabCat,2,FALSE),"Cod inexistent"))</f>
        <v/>
      </c>
      <c r="E837" s="15" t="str">
        <f t="shared" ref="E837:E900" si="157">IF(C837="","",IFERROR(VLOOKUP(C837,TabCat,3,FALSE),""))</f>
        <v/>
      </c>
      <c r="F837" s="11"/>
      <c r="G837" s="16" t="str">
        <f t="shared" ref="G837:G900" si="158">IF(C837="","",IFERROR(VLOOKUP(C837,TabCat,4,FALSE),0))</f>
        <v/>
      </c>
      <c r="H837" s="17"/>
      <c r="I837" s="16" t="str">
        <f t="shared" ref="I837:I900" si="159">IF(C837="","",ROUND(G837*(1-N(H837)),2))</f>
        <v/>
      </c>
      <c r="J837" s="16" t="str">
        <f t="shared" ref="J837:J900" si="160">IF(C837="","",ROUND(I837*N(F837),2))</f>
        <v/>
      </c>
      <c r="K837" s="18" t="str">
        <f t="shared" ref="K837:K900" si="161">IF(C837="","",IFERROR(VLOOKUP(C837,TabCat,6,FALSE),0))</f>
        <v/>
      </c>
      <c r="L837" s="16" t="str">
        <f t="shared" ref="L837:L900" si="162">IF(C837="","",ROUND(J837*K837,2))</f>
        <v/>
      </c>
      <c r="M837" s="16" t="str">
        <f t="shared" ref="M837:M900" si="163">IF(C837="","",J837+L837)</f>
        <v/>
      </c>
      <c r="N837" s="16" t="str">
        <f t="shared" ref="N837:N900" si="164">IF(C837="","",IFERROR(VLOOKUP(C837,TabCat,5,FALSE),0))</f>
        <v/>
      </c>
      <c r="O837" s="16" t="str">
        <f t="shared" ref="O837:O900" si="165">IF(C837="","",ROUND(N837*N(F837),2))</f>
        <v/>
      </c>
      <c r="P837" s="16" t="str">
        <f t="shared" ref="P837:P900" si="166">IF(C837="","",J837-O837)</f>
        <v/>
      </c>
      <c r="Q837" s="18" t="str">
        <f t="shared" ref="Q837:Q900" si="167">IF(OR(C837="",N(J837)=0),"",P837/J837)</f>
        <v/>
      </c>
      <c r="R837" s="19" t="str">
        <f>IF(C837="","",IF(ISNA(MATCH(B837,'Registru oferte'!$B$5:$B$504,0)),"Oferta nu există în registru",IF(N(F837)&lt;=0,"Lipsește cantitatea",IF(AND(ISNUMBER(Q837),Q837&lt;MarjaMin),"Marjă sub minim ("&amp;TEXT(Q837*100,"0")&amp;"%)",""))))</f>
        <v/>
      </c>
      <c r="S837" s="1" t="str">
        <f>IF(B837="","",B837&amp;"|"&amp;COUNTIF($B$5:B837,B837))</f>
        <v/>
      </c>
    </row>
    <row r="838" spans="2:19" x14ac:dyDescent="0.2">
      <c r="B838" s="11"/>
      <c r="C838" s="11"/>
      <c r="D838" s="10" t="str">
        <f t="shared" si="156"/>
        <v/>
      </c>
      <c r="E838" s="15" t="str">
        <f t="shared" si="157"/>
        <v/>
      </c>
      <c r="F838" s="11"/>
      <c r="G838" s="16" t="str">
        <f t="shared" si="158"/>
        <v/>
      </c>
      <c r="H838" s="17"/>
      <c r="I838" s="16" t="str">
        <f t="shared" si="159"/>
        <v/>
      </c>
      <c r="J838" s="16" t="str">
        <f t="shared" si="160"/>
        <v/>
      </c>
      <c r="K838" s="18" t="str">
        <f t="shared" si="161"/>
        <v/>
      </c>
      <c r="L838" s="16" t="str">
        <f t="shared" si="162"/>
        <v/>
      </c>
      <c r="M838" s="16" t="str">
        <f t="shared" si="163"/>
        <v/>
      </c>
      <c r="N838" s="16" t="str">
        <f t="shared" si="164"/>
        <v/>
      </c>
      <c r="O838" s="16" t="str">
        <f t="shared" si="165"/>
        <v/>
      </c>
      <c r="P838" s="16" t="str">
        <f t="shared" si="166"/>
        <v/>
      </c>
      <c r="Q838" s="18" t="str">
        <f t="shared" si="167"/>
        <v/>
      </c>
      <c r="R838" s="19" t="str">
        <f>IF(C838="","",IF(ISNA(MATCH(B838,'Registru oferte'!$B$5:$B$504,0)),"Oferta nu există în registru",IF(N(F838)&lt;=0,"Lipsește cantitatea",IF(AND(ISNUMBER(Q838),Q838&lt;MarjaMin),"Marjă sub minim ("&amp;TEXT(Q838*100,"0")&amp;"%)",""))))</f>
        <v/>
      </c>
      <c r="S838" s="1" t="str">
        <f>IF(B838="","",B838&amp;"|"&amp;COUNTIF($B$5:B838,B838))</f>
        <v/>
      </c>
    </row>
    <row r="839" spans="2:19" x14ac:dyDescent="0.2">
      <c r="B839" s="11"/>
      <c r="C839" s="11"/>
      <c r="D839" s="10" t="str">
        <f t="shared" si="156"/>
        <v/>
      </c>
      <c r="E839" s="15" t="str">
        <f t="shared" si="157"/>
        <v/>
      </c>
      <c r="F839" s="11"/>
      <c r="G839" s="16" t="str">
        <f t="shared" si="158"/>
        <v/>
      </c>
      <c r="H839" s="17"/>
      <c r="I839" s="16" t="str">
        <f t="shared" si="159"/>
        <v/>
      </c>
      <c r="J839" s="16" t="str">
        <f t="shared" si="160"/>
        <v/>
      </c>
      <c r="K839" s="18" t="str">
        <f t="shared" si="161"/>
        <v/>
      </c>
      <c r="L839" s="16" t="str">
        <f t="shared" si="162"/>
        <v/>
      </c>
      <c r="M839" s="16" t="str">
        <f t="shared" si="163"/>
        <v/>
      </c>
      <c r="N839" s="16" t="str">
        <f t="shared" si="164"/>
        <v/>
      </c>
      <c r="O839" s="16" t="str">
        <f t="shared" si="165"/>
        <v/>
      </c>
      <c r="P839" s="16" t="str">
        <f t="shared" si="166"/>
        <v/>
      </c>
      <c r="Q839" s="18" t="str">
        <f t="shared" si="167"/>
        <v/>
      </c>
      <c r="R839" s="19" t="str">
        <f>IF(C839="","",IF(ISNA(MATCH(B839,'Registru oferte'!$B$5:$B$504,0)),"Oferta nu există în registru",IF(N(F839)&lt;=0,"Lipsește cantitatea",IF(AND(ISNUMBER(Q839),Q839&lt;MarjaMin),"Marjă sub minim ("&amp;TEXT(Q839*100,"0")&amp;"%)",""))))</f>
        <v/>
      </c>
      <c r="S839" s="1" t="str">
        <f>IF(B839="","",B839&amp;"|"&amp;COUNTIF($B$5:B839,B839))</f>
        <v/>
      </c>
    </row>
    <row r="840" spans="2:19" x14ac:dyDescent="0.2">
      <c r="B840" s="11"/>
      <c r="C840" s="11"/>
      <c r="D840" s="10" t="str">
        <f t="shared" si="156"/>
        <v/>
      </c>
      <c r="E840" s="15" t="str">
        <f t="shared" si="157"/>
        <v/>
      </c>
      <c r="F840" s="11"/>
      <c r="G840" s="16" t="str">
        <f t="shared" si="158"/>
        <v/>
      </c>
      <c r="H840" s="17"/>
      <c r="I840" s="16" t="str">
        <f t="shared" si="159"/>
        <v/>
      </c>
      <c r="J840" s="16" t="str">
        <f t="shared" si="160"/>
        <v/>
      </c>
      <c r="K840" s="18" t="str">
        <f t="shared" si="161"/>
        <v/>
      </c>
      <c r="L840" s="16" t="str">
        <f t="shared" si="162"/>
        <v/>
      </c>
      <c r="M840" s="16" t="str">
        <f t="shared" si="163"/>
        <v/>
      </c>
      <c r="N840" s="16" t="str">
        <f t="shared" si="164"/>
        <v/>
      </c>
      <c r="O840" s="16" t="str">
        <f t="shared" si="165"/>
        <v/>
      </c>
      <c r="P840" s="16" t="str">
        <f t="shared" si="166"/>
        <v/>
      </c>
      <c r="Q840" s="18" t="str">
        <f t="shared" si="167"/>
        <v/>
      </c>
      <c r="R840" s="19" t="str">
        <f>IF(C840="","",IF(ISNA(MATCH(B840,'Registru oferte'!$B$5:$B$504,0)),"Oferta nu există în registru",IF(N(F840)&lt;=0,"Lipsește cantitatea",IF(AND(ISNUMBER(Q840),Q840&lt;MarjaMin),"Marjă sub minim ("&amp;TEXT(Q840*100,"0")&amp;"%)",""))))</f>
        <v/>
      </c>
      <c r="S840" s="1" t="str">
        <f>IF(B840="","",B840&amp;"|"&amp;COUNTIF($B$5:B840,B840))</f>
        <v/>
      </c>
    </row>
    <row r="841" spans="2:19" x14ac:dyDescent="0.2">
      <c r="B841" s="11"/>
      <c r="C841" s="11"/>
      <c r="D841" s="10" t="str">
        <f t="shared" si="156"/>
        <v/>
      </c>
      <c r="E841" s="15" t="str">
        <f t="shared" si="157"/>
        <v/>
      </c>
      <c r="F841" s="11"/>
      <c r="G841" s="16" t="str">
        <f t="shared" si="158"/>
        <v/>
      </c>
      <c r="H841" s="17"/>
      <c r="I841" s="16" t="str">
        <f t="shared" si="159"/>
        <v/>
      </c>
      <c r="J841" s="16" t="str">
        <f t="shared" si="160"/>
        <v/>
      </c>
      <c r="K841" s="18" t="str">
        <f t="shared" si="161"/>
        <v/>
      </c>
      <c r="L841" s="16" t="str">
        <f t="shared" si="162"/>
        <v/>
      </c>
      <c r="M841" s="16" t="str">
        <f t="shared" si="163"/>
        <v/>
      </c>
      <c r="N841" s="16" t="str">
        <f t="shared" si="164"/>
        <v/>
      </c>
      <c r="O841" s="16" t="str">
        <f t="shared" si="165"/>
        <v/>
      </c>
      <c r="P841" s="16" t="str">
        <f t="shared" si="166"/>
        <v/>
      </c>
      <c r="Q841" s="18" t="str">
        <f t="shared" si="167"/>
        <v/>
      </c>
      <c r="R841" s="19" t="str">
        <f>IF(C841="","",IF(ISNA(MATCH(B841,'Registru oferte'!$B$5:$B$504,0)),"Oferta nu există în registru",IF(N(F841)&lt;=0,"Lipsește cantitatea",IF(AND(ISNUMBER(Q841),Q841&lt;MarjaMin),"Marjă sub minim ("&amp;TEXT(Q841*100,"0")&amp;"%)",""))))</f>
        <v/>
      </c>
      <c r="S841" s="1" t="str">
        <f>IF(B841="","",B841&amp;"|"&amp;COUNTIF($B$5:B841,B841))</f>
        <v/>
      </c>
    </row>
    <row r="842" spans="2:19" x14ac:dyDescent="0.2">
      <c r="B842" s="11"/>
      <c r="C842" s="11"/>
      <c r="D842" s="10" t="str">
        <f t="shared" si="156"/>
        <v/>
      </c>
      <c r="E842" s="15" t="str">
        <f t="shared" si="157"/>
        <v/>
      </c>
      <c r="F842" s="11"/>
      <c r="G842" s="16" t="str">
        <f t="shared" si="158"/>
        <v/>
      </c>
      <c r="H842" s="17"/>
      <c r="I842" s="16" t="str">
        <f t="shared" si="159"/>
        <v/>
      </c>
      <c r="J842" s="16" t="str">
        <f t="shared" si="160"/>
        <v/>
      </c>
      <c r="K842" s="18" t="str">
        <f t="shared" si="161"/>
        <v/>
      </c>
      <c r="L842" s="16" t="str">
        <f t="shared" si="162"/>
        <v/>
      </c>
      <c r="M842" s="16" t="str">
        <f t="shared" si="163"/>
        <v/>
      </c>
      <c r="N842" s="16" t="str">
        <f t="shared" si="164"/>
        <v/>
      </c>
      <c r="O842" s="16" t="str">
        <f t="shared" si="165"/>
        <v/>
      </c>
      <c r="P842" s="16" t="str">
        <f t="shared" si="166"/>
        <v/>
      </c>
      <c r="Q842" s="18" t="str">
        <f t="shared" si="167"/>
        <v/>
      </c>
      <c r="R842" s="19" t="str">
        <f>IF(C842="","",IF(ISNA(MATCH(B842,'Registru oferte'!$B$5:$B$504,0)),"Oferta nu există în registru",IF(N(F842)&lt;=0,"Lipsește cantitatea",IF(AND(ISNUMBER(Q842),Q842&lt;MarjaMin),"Marjă sub minim ("&amp;TEXT(Q842*100,"0")&amp;"%)",""))))</f>
        <v/>
      </c>
      <c r="S842" s="1" t="str">
        <f>IF(B842="","",B842&amp;"|"&amp;COUNTIF($B$5:B842,B842))</f>
        <v/>
      </c>
    </row>
    <row r="843" spans="2:19" x14ac:dyDescent="0.2">
      <c r="B843" s="11"/>
      <c r="C843" s="11"/>
      <c r="D843" s="10" t="str">
        <f t="shared" si="156"/>
        <v/>
      </c>
      <c r="E843" s="15" t="str">
        <f t="shared" si="157"/>
        <v/>
      </c>
      <c r="F843" s="11"/>
      <c r="G843" s="16" t="str">
        <f t="shared" si="158"/>
        <v/>
      </c>
      <c r="H843" s="17"/>
      <c r="I843" s="16" t="str">
        <f t="shared" si="159"/>
        <v/>
      </c>
      <c r="J843" s="16" t="str">
        <f t="shared" si="160"/>
        <v/>
      </c>
      <c r="K843" s="18" t="str">
        <f t="shared" si="161"/>
        <v/>
      </c>
      <c r="L843" s="16" t="str">
        <f t="shared" si="162"/>
        <v/>
      </c>
      <c r="M843" s="16" t="str">
        <f t="shared" si="163"/>
        <v/>
      </c>
      <c r="N843" s="16" t="str">
        <f t="shared" si="164"/>
        <v/>
      </c>
      <c r="O843" s="16" t="str">
        <f t="shared" si="165"/>
        <v/>
      </c>
      <c r="P843" s="16" t="str">
        <f t="shared" si="166"/>
        <v/>
      </c>
      <c r="Q843" s="18" t="str">
        <f t="shared" si="167"/>
        <v/>
      </c>
      <c r="R843" s="19" t="str">
        <f>IF(C843="","",IF(ISNA(MATCH(B843,'Registru oferte'!$B$5:$B$504,0)),"Oferta nu există în registru",IF(N(F843)&lt;=0,"Lipsește cantitatea",IF(AND(ISNUMBER(Q843),Q843&lt;MarjaMin),"Marjă sub minim ("&amp;TEXT(Q843*100,"0")&amp;"%)",""))))</f>
        <v/>
      </c>
      <c r="S843" s="1" t="str">
        <f>IF(B843="","",B843&amp;"|"&amp;COUNTIF($B$5:B843,B843))</f>
        <v/>
      </c>
    </row>
    <row r="844" spans="2:19" x14ac:dyDescent="0.2">
      <c r="B844" s="11"/>
      <c r="C844" s="11"/>
      <c r="D844" s="10" t="str">
        <f t="shared" si="156"/>
        <v/>
      </c>
      <c r="E844" s="15" t="str">
        <f t="shared" si="157"/>
        <v/>
      </c>
      <c r="F844" s="11"/>
      <c r="G844" s="16" t="str">
        <f t="shared" si="158"/>
        <v/>
      </c>
      <c r="H844" s="17"/>
      <c r="I844" s="16" t="str">
        <f t="shared" si="159"/>
        <v/>
      </c>
      <c r="J844" s="16" t="str">
        <f t="shared" si="160"/>
        <v/>
      </c>
      <c r="K844" s="18" t="str">
        <f t="shared" si="161"/>
        <v/>
      </c>
      <c r="L844" s="16" t="str">
        <f t="shared" si="162"/>
        <v/>
      </c>
      <c r="M844" s="16" t="str">
        <f t="shared" si="163"/>
        <v/>
      </c>
      <c r="N844" s="16" t="str">
        <f t="shared" si="164"/>
        <v/>
      </c>
      <c r="O844" s="16" t="str">
        <f t="shared" si="165"/>
        <v/>
      </c>
      <c r="P844" s="16" t="str">
        <f t="shared" si="166"/>
        <v/>
      </c>
      <c r="Q844" s="18" t="str">
        <f t="shared" si="167"/>
        <v/>
      </c>
      <c r="R844" s="19" t="str">
        <f>IF(C844="","",IF(ISNA(MATCH(B844,'Registru oferte'!$B$5:$B$504,0)),"Oferta nu există în registru",IF(N(F844)&lt;=0,"Lipsește cantitatea",IF(AND(ISNUMBER(Q844),Q844&lt;MarjaMin),"Marjă sub minim ("&amp;TEXT(Q844*100,"0")&amp;"%)",""))))</f>
        <v/>
      </c>
      <c r="S844" s="1" t="str">
        <f>IF(B844="","",B844&amp;"|"&amp;COUNTIF($B$5:B844,B844))</f>
        <v/>
      </c>
    </row>
    <row r="845" spans="2:19" x14ac:dyDescent="0.2">
      <c r="B845" s="11"/>
      <c r="C845" s="11"/>
      <c r="D845" s="10" t="str">
        <f t="shared" si="156"/>
        <v/>
      </c>
      <c r="E845" s="15" t="str">
        <f t="shared" si="157"/>
        <v/>
      </c>
      <c r="F845" s="11"/>
      <c r="G845" s="16" t="str">
        <f t="shared" si="158"/>
        <v/>
      </c>
      <c r="H845" s="17"/>
      <c r="I845" s="16" t="str">
        <f t="shared" si="159"/>
        <v/>
      </c>
      <c r="J845" s="16" t="str">
        <f t="shared" si="160"/>
        <v/>
      </c>
      <c r="K845" s="18" t="str">
        <f t="shared" si="161"/>
        <v/>
      </c>
      <c r="L845" s="16" t="str">
        <f t="shared" si="162"/>
        <v/>
      </c>
      <c r="M845" s="16" t="str">
        <f t="shared" si="163"/>
        <v/>
      </c>
      <c r="N845" s="16" t="str">
        <f t="shared" si="164"/>
        <v/>
      </c>
      <c r="O845" s="16" t="str">
        <f t="shared" si="165"/>
        <v/>
      </c>
      <c r="P845" s="16" t="str">
        <f t="shared" si="166"/>
        <v/>
      </c>
      <c r="Q845" s="18" t="str">
        <f t="shared" si="167"/>
        <v/>
      </c>
      <c r="R845" s="19" t="str">
        <f>IF(C845="","",IF(ISNA(MATCH(B845,'Registru oferte'!$B$5:$B$504,0)),"Oferta nu există în registru",IF(N(F845)&lt;=0,"Lipsește cantitatea",IF(AND(ISNUMBER(Q845),Q845&lt;MarjaMin),"Marjă sub minim ("&amp;TEXT(Q845*100,"0")&amp;"%)",""))))</f>
        <v/>
      </c>
      <c r="S845" s="1" t="str">
        <f>IF(B845="","",B845&amp;"|"&amp;COUNTIF($B$5:B845,B845))</f>
        <v/>
      </c>
    </row>
    <row r="846" spans="2:19" x14ac:dyDescent="0.2">
      <c r="B846" s="11"/>
      <c r="C846" s="11"/>
      <c r="D846" s="10" t="str">
        <f t="shared" si="156"/>
        <v/>
      </c>
      <c r="E846" s="15" t="str">
        <f t="shared" si="157"/>
        <v/>
      </c>
      <c r="F846" s="11"/>
      <c r="G846" s="16" t="str">
        <f t="shared" si="158"/>
        <v/>
      </c>
      <c r="H846" s="17"/>
      <c r="I846" s="16" t="str">
        <f t="shared" si="159"/>
        <v/>
      </c>
      <c r="J846" s="16" t="str">
        <f t="shared" si="160"/>
        <v/>
      </c>
      <c r="K846" s="18" t="str">
        <f t="shared" si="161"/>
        <v/>
      </c>
      <c r="L846" s="16" t="str">
        <f t="shared" si="162"/>
        <v/>
      </c>
      <c r="M846" s="16" t="str">
        <f t="shared" si="163"/>
        <v/>
      </c>
      <c r="N846" s="16" t="str">
        <f t="shared" si="164"/>
        <v/>
      </c>
      <c r="O846" s="16" t="str">
        <f t="shared" si="165"/>
        <v/>
      </c>
      <c r="P846" s="16" t="str">
        <f t="shared" si="166"/>
        <v/>
      </c>
      <c r="Q846" s="18" t="str">
        <f t="shared" si="167"/>
        <v/>
      </c>
      <c r="R846" s="19" t="str">
        <f>IF(C846="","",IF(ISNA(MATCH(B846,'Registru oferte'!$B$5:$B$504,0)),"Oferta nu există în registru",IF(N(F846)&lt;=0,"Lipsește cantitatea",IF(AND(ISNUMBER(Q846),Q846&lt;MarjaMin),"Marjă sub minim ("&amp;TEXT(Q846*100,"0")&amp;"%)",""))))</f>
        <v/>
      </c>
      <c r="S846" s="1" t="str">
        <f>IF(B846="","",B846&amp;"|"&amp;COUNTIF($B$5:B846,B846))</f>
        <v/>
      </c>
    </row>
    <row r="847" spans="2:19" x14ac:dyDescent="0.2">
      <c r="B847" s="11"/>
      <c r="C847" s="11"/>
      <c r="D847" s="10" t="str">
        <f t="shared" si="156"/>
        <v/>
      </c>
      <c r="E847" s="15" t="str">
        <f t="shared" si="157"/>
        <v/>
      </c>
      <c r="F847" s="11"/>
      <c r="G847" s="16" t="str">
        <f t="shared" si="158"/>
        <v/>
      </c>
      <c r="H847" s="17"/>
      <c r="I847" s="16" t="str">
        <f t="shared" si="159"/>
        <v/>
      </c>
      <c r="J847" s="16" t="str">
        <f t="shared" si="160"/>
        <v/>
      </c>
      <c r="K847" s="18" t="str">
        <f t="shared" si="161"/>
        <v/>
      </c>
      <c r="L847" s="16" t="str">
        <f t="shared" si="162"/>
        <v/>
      </c>
      <c r="M847" s="16" t="str">
        <f t="shared" si="163"/>
        <v/>
      </c>
      <c r="N847" s="16" t="str">
        <f t="shared" si="164"/>
        <v/>
      </c>
      <c r="O847" s="16" t="str">
        <f t="shared" si="165"/>
        <v/>
      </c>
      <c r="P847" s="16" t="str">
        <f t="shared" si="166"/>
        <v/>
      </c>
      <c r="Q847" s="18" t="str">
        <f t="shared" si="167"/>
        <v/>
      </c>
      <c r="R847" s="19" t="str">
        <f>IF(C847="","",IF(ISNA(MATCH(B847,'Registru oferte'!$B$5:$B$504,0)),"Oferta nu există în registru",IF(N(F847)&lt;=0,"Lipsește cantitatea",IF(AND(ISNUMBER(Q847),Q847&lt;MarjaMin),"Marjă sub minim ("&amp;TEXT(Q847*100,"0")&amp;"%)",""))))</f>
        <v/>
      </c>
      <c r="S847" s="1" t="str">
        <f>IF(B847="","",B847&amp;"|"&amp;COUNTIF($B$5:B847,B847))</f>
        <v/>
      </c>
    </row>
    <row r="848" spans="2:19" x14ac:dyDescent="0.2">
      <c r="B848" s="11"/>
      <c r="C848" s="11"/>
      <c r="D848" s="10" t="str">
        <f t="shared" si="156"/>
        <v/>
      </c>
      <c r="E848" s="15" t="str">
        <f t="shared" si="157"/>
        <v/>
      </c>
      <c r="F848" s="11"/>
      <c r="G848" s="16" t="str">
        <f t="shared" si="158"/>
        <v/>
      </c>
      <c r="H848" s="17"/>
      <c r="I848" s="16" t="str">
        <f t="shared" si="159"/>
        <v/>
      </c>
      <c r="J848" s="16" t="str">
        <f t="shared" si="160"/>
        <v/>
      </c>
      <c r="K848" s="18" t="str">
        <f t="shared" si="161"/>
        <v/>
      </c>
      <c r="L848" s="16" t="str">
        <f t="shared" si="162"/>
        <v/>
      </c>
      <c r="M848" s="16" t="str">
        <f t="shared" si="163"/>
        <v/>
      </c>
      <c r="N848" s="16" t="str">
        <f t="shared" si="164"/>
        <v/>
      </c>
      <c r="O848" s="16" t="str">
        <f t="shared" si="165"/>
        <v/>
      </c>
      <c r="P848" s="16" t="str">
        <f t="shared" si="166"/>
        <v/>
      </c>
      <c r="Q848" s="18" t="str">
        <f t="shared" si="167"/>
        <v/>
      </c>
      <c r="R848" s="19" t="str">
        <f>IF(C848="","",IF(ISNA(MATCH(B848,'Registru oferte'!$B$5:$B$504,0)),"Oferta nu există în registru",IF(N(F848)&lt;=0,"Lipsește cantitatea",IF(AND(ISNUMBER(Q848),Q848&lt;MarjaMin),"Marjă sub minim ("&amp;TEXT(Q848*100,"0")&amp;"%)",""))))</f>
        <v/>
      </c>
      <c r="S848" s="1" t="str">
        <f>IF(B848="","",B848&amp;"|"&amp;COUNTIF($B$5:B848,B848))</f>
        <v/>
      </c>
    </row>
    <row r="849" spans="2:19" x14ac:dyDescent="0.2">
      <c r="B849" s="11"/>
      <c r="C849" s="11"/>
      <c r="D849" s="10" t="str">
        <f t="shared" si="156"/>
        <v/>
      </c>
      <c r="E849" s="15" t="str">
        <f t="shared" si="157"/>
        <v/>
      </c>
      <c r="F849" s="11"/>
      <c r="G849" s="16" t="str">
        <f t="shared" si="158"/>
        <v/>
      </c>
      <c r="H849" s="17"/>
      <c r="I849" s="16" t="str">
        <f t="shared" si="159"/>
        <v/>
      </c>
      <c r="J849" s="16" t="str">
        <f t="shared" si="160"/>
        <v/>
      </c>
      <c r="K849" s="18" t="str">
        <f t="shared" si="161"/>
        <v/>
      </c>
      <c r="L849" s="16" t="str">
        <f t="shared" si="162"/>
        <v/>
      </c>
      <c r="M849" s="16" t="str">
        <f t="shared" si="163"/>
        <v/>
      </c>
      <c r="N849" s="16" t="str">
        <f t="shared" si="164"/>
        <v/>
      </c>
      <c r="O849" s="16" t="str">
        <f t="shared" si="165"/>
        <v/>
      </c>
      <c r="P849" s="16" t="str">
        <f t="shared" si="166"/>
        <v/>
      </c>
      <c r="Q849" s="18" t="str">
        <f t="shared" si="167"/>
        <v/>
      </c>
      <c r="R849" s="19" t="str">
        <f>IF(C849="","",IF(ISNA(MATCH(B849,'Registru oferte'!$B$5:$B$504,0)),"Oferta nu există în registru",IF(N(F849)&lt;=0,"Lipsește cantitatea",IF(AND(ISNUMBER(Q849),Q849&lt;MarjaMin),"Marjă sub minim ("&amp;TEXT(Q849*100,"0")&amp;"%)",""))))</f>
        <v/>
      </c>
      <c r="S849" s="1" t="str">
        <f>IF(B849="","",B849&amp;"|"&amp;COUNTIF($B$5:B849,B849))</f>
        <v/>
      </c>
    </row>
    <row r="850" spans="2:19" x14ac:dyDescent="0.2">
      <c r="B850" s="11"/>
      <c r="C850" s="11"/>
      <c r="D850" s="10" t="str">
        <f t="shared" si="156"/>
        <v/>
      </c>
      <c r="E850" s="15" t="str">
        <f t="shared" si="157"/>
        <v/>
      </c>
      <c r="F850" s="11"/>
      <c r="G850" s="16" t="str">
        <f t="shared" si="158"/>
        <v/>
      </c>
      <c r="H850" s="17"/>
      <c r="I850" s="16" t="str">
        <f t="shared" si="159"/>
        <v/>
      </c>
      <c r="J850" s="16" t="str">
        <f t="shared" si="160"/>
        <v/>
      </c>
      <c r="K850" s="18" t="str">
        <f t="shared" si="161"/>
        <v/>
      </c>
      <c r="L850" s="16" t="str">
        <f t="shared" si="162"/>
        <v/>
      </c>
      <c r="M850" s="16" t="str">
        <f t="shared" si="163"/>
        <v/>
      </c>
      <c r="N850" s="16" t="str">
        <f t="shared" si="164"/>
        <v/>
      </c>
      <c r="O850" s="16" t="str">
        <f t="shared" si="165"/>
        <v/>
      </c>
      <c r="P850" s="16" t="str">
        <f t="shared" si="166"/>
        <v/>
      </c>
      <c r="Q850" s="18" t="str">
        <f t="shared" si="167"/>
        <v/>
      </c>
      <c r="R850" s="19" t="str">
        <f>IF(C850="","",IF(ISNA(MATCH(B850,'Registru oferte'!$B$5:$B$504,0)),"Oferta nu există în registru",IF(N(F850)&lt;=0,"Lipsește cantitatea",IF(AND(ISNUMBER(Q850),Q850&lt;MarjaMin),"Marjă sub minim ("&amp;TEXT(Q850*100,"0")&amp;"%)",""))))</f>
        <v/>
      </c>
      <c r="S850" s="1" t="str">
        <f>IF(B850="","",B850&amp;"|"&amp;COUNTIF($B$5:B850,B850))</f>
        <v/>
      </c>
    </row>
    <row r="851" spans="2:19" x14ac:dyDescent="0.2">
      <c r="B851" s="11"/>
      <c r="C851" s="11"/>
      <c r="D851" s="10" t="str">
        <f t="shared" si="156"/>
        <v/>
      </c>
      <c r="E851" s="15" t="str">
        <f t="shared" si="157"/>
        <v/>
      </c>
      <c r="F851" s="11"/>
      <c r="G851" s="16" t="str">
        <f t="shared" si="158"/>
        <v/>
      </c>
      <c r="H851" s="17"/>
      <c r="I851" s="16" t="str">
        <f t="shared" si="159"/>
        <v/>
      </c>
      <c r="J851" s="16" t="str">
        <f t="shared" si="160"/>
        <v/>
      </c>
      <c r="K851" s="18" t="str">
        <f t="shared" si="161"/>
        <v/>
      </c>
      <c r="L851" s="16" t="str">
        <f t="shared" si="162"/>
        <v/>
      </c>
      <c r="M851" s="16" t="str">
        <f t="shared" si="163"/>
        <v/>
      </c>
      <c r="N851" s="16" t="str">
        <f t="shared" si="164"/>
        <v/>
      </c>
      <c r="O851" s="16" t="str">
        <f t="shared" si="165"/>
        <v/>
      </c>
      <c r="P851" s="16" t="str">
        <f t="shared" si="166"/>
        <v/>
      </c>
      <c r="Q851" s="18" t="str">
        <f t="shared" si="167"/>
        <v/>
      </c>
      <c r="R851" s="19" t="str">
        <f>IF(C851="","",IF(ISNA(MATCH(B851,'Registru oferte'!$B$5:$B$504,0)),"Oferta nu există în registru",IF(N(F851)&lt;=0,"Lipsește cantitatea",IF(AND(ISNUMBER(Q851),Q851&lt;MarjaMin),"Marjă sub minim ("&amp;TEXT(Q851*100,"0")&amp;"%)",""))))</f>
        <v/>
      </c>
      <c r="S851" s="1" t="str">
        <f>IF(B851="","",B851&amp;"|"&amp;COUNTIF($B$5:B851,B851))</f>
        <v/>
      </c>
    </row>
    <row r="852" spans="2:19" x14ac:dyDescent="0.2">
      <c r="B852" s="11"/>
      <c r="C852" s="11"/>
      <c r="D852" s="10" t="str">
        <f t="shared" si="156"/>
        <v/>
      </c>
      <c r="E852" s="15" t="str">
        <f t="shared" si="157"/>
        <v/>
      </c>
      <c r="F852" s="11"/>
      <c r="G852" s="16" t="str">
        <f t="shared" si="158"/>
        <v/>
      </c>
      <c r="H852" s="17"/>
      <c r="I852" s="16" t="str">
        <f t="shared" si="159"/>
        <v/>
      </c>
      <c r="J852" s="16" t="str">
        <f t="shared" si="160"/>
        <v/>
      </c>
      <c r="K852" s="18" t="str">
        <f t="shared" si="161"/>
        <v/>
      </c>
      <c r="L852" s="16" t="str">
        <f t="shared" si="162"/>
        <v/>
      </c>
      <c r="M852" s="16" t="str">
        <f t="shared" si="163"/>
        <v/>
      </c>
      <c r="N852" s="16" t="str">
        <f t="shared" si="164"/>
        <v/>
      </c>
      <c r="O852" s="16" t="str">
        <f t="shared" si="165"/>
        <v/>
      </c>
      <c r="P852" s="16" t="str">
        <f t="shared" si="166"/>
        <v/>
      </c>
      <c r="Q852" s="18" t="str">
        <f t="shared" si="167"/>
        <v/>
      </c>
      <c r="R852" s="19" t="str">
        <f>IF(C852="","",IF(ISNA(MATCH(B852,'Registru oferte'!$B$5:$B$504,0)),"Oferta nu există în registru",IF(N(F852)&lt;=0,"Lipsește cantitatea",IF(AND(ISNUMBER(Q852),Q852&lt;MarjaMin),"Marjă sub minim ("&amp;TEXT(Q852*100,"0")&amp;"%)",""))))</f>
        <v/>
      </c>
      <c r="S852" s="1" t="str">
        <f>IF(B852="","",B852&amp;"|"&amp;COUNTIF($B$5:B852,B852))</f>
        <v/>
      </c>
    </row>
    <row r="853" spans="2:19" x14ac:dyDescent="0.2">
      <c r="B853" s="11"/>
      <c r="C853" s="11"/>
      <c r="D853" s="10" t="str">
        <f t="shared" si="156"/>
        <v/>
      </c>
      <c r="E853" s="15" t="str">
        <f t="shared" si="157"/>
        <v/>
      </c>
      <c r="F853" s="11"/>
      <c r="G853" s="16" t="str">
        <f t="shared" si="158"/>
        <v/>
      </c>
      <c r="H853" s="17"/>
      <c r="I853" s="16" t="str">
        <f t="shared" si="159"/>
        <v/>
      </c>
      <c r="J853" s="16" t="str">
        <f t="shared" si="160"/>
        <v/>
      </c>
      <c r="K853" s="18" t="str">
        <f t="shared" si="161"/>
        <v/>
      </c>
      <c r="L853" s="16" t="str">
        <f t="shared" si="162"/>
        <v/>
      </c>
      <c r="M853" s="16" t="str">
        <f t="shared" si="163"/>
        <v/>
      </c>
      <c r="N853" s="16" t="str">
        <f t="shared" si="164"/>
        <v/>
      </c>
      <c r="O853" s="16" t="str">
        <f t="shared" si="165"/>
        <v/>
      </c>
      <c r="P853" s="16" t="str">
        <f t="shared" si="166"/>
        <v/>
      </c>
      <c r="Q853" s="18" t="str">
        <f t="shared" si="167"/>
        <v/>
      </c>
      <c r="R853" s="19" t="str">
        <f>IF(C853="","",IF(ISNA(MATCH(B853,'Registru oferte'!$B$5:$B$504,0)),"Oferta nu există în registru",IF(N(F853)&lt;=0,"Lipsește cantitatea",IF(AND(ISNUMBER(Q853),Q853&lt;MarjaMin),"Marjă sub minim ("&amp;TEXT(Q853*100,"0")&amp;"%)",""))))</f>
        <v/>
      </c>
      <c r="S853" s="1" t="str">
        <f>IF(B853="","",B853&amp;"|"&amp;COUNTIF($B$5:B853,B853))</f>
        <v/>
      </c>
    </row>
    <row r="854" spans="2:19" x14ac:dyDescent="0.2">
      <c r="B854" s="11"/>
      <c r="C854" s="11"/>
      <c r="D854" s="10" t="str">
        <f t="shared" si="156"/>
        <v/>
      </c>
      <c r="E854" s="15" t="str">
        <f t="shared" si="157"/>
        <v/>
      </c>
      <c r="F854" s="11"/>
      <c r="G854" s="16" t="str">
        <f t="shared" si="158"/>
        <v/>
      </c>
      <c r="H854" s="17"/>
      <c r="I854" s="16" t="str">
        <f t="shared" si="159"/>
        <v/>
      </c>
      <c r="J854" s="16" t="str">
        <f t="shared" si="160"/>
        <v/>
      </c>
      <c r="K854" s="18" t="str">
        <f t="shared" si="161"/>
        <v/>
      </c>
      <c r="L854" s="16" t="str">
        <f t="shared" si="162"/>
        <v/>
      </c>
      <c r="M854" s="16" t="str">
        <f t="shared" si="163"/>
        <v/>
      </c>
      <c r="N854" s="16" t="str">
        <f t="shared" si="164"/>
        <v/>
      </c>
      <c r="O854" s="16" t="str">
        <f t="shared" si="165"/>
        <v/>
      </c>
      <c r="P854" s="16" t="str">
        <f t="shared" si="166"/>
        <v/>
      </c>
      <c r="Q854" s="18" t="str">
        <f t="shared" si="167"/>
        <v/>
      </c>
      <c r="R854" s="19" t="str">
        <f>IF(C854="","",IF(ISNA(MATCH(B854,'Registru oferte'!$B$5:$B$504,0)),"Oferta nu există în registru",IF(N(F854)&lt;=0,"Lipsește cantitatea",IF(AND(ISNUMBER(Q854),Q854&lt;MarjaMin),"Marjă sub minim ("&amp;TEXT(Q854*100,"0")&amp;"%)",""))))</f>
        <v/>
      </c>
      <c r="S854" s="1" t="str">
        <f>IF(B854="","",B854&amp;"|"&amp;COUNTIF($B$5:B854,B854))</f>
        <v/>
      </c>
    </row>
    <row r="855" spans="2:19" x14ac:dyDescent="0.2">
      <c r="B855" s="11"/>
      <c r="C855" s="11"/>
      <c r="D855" s="10" t="str">
        <f t="shared" si="156"/>
        <v/>
      </c>
      <c r="E855" s="15" t="str">
        <f t="shared" si="157"/>
        <v/>
      </c>
      <c r="F855" s="11"/>
      <c r="G855" s="16" t="str">
        <f t="shared" si="158"/>
        <v/>
      </c>
      <c r="H855" s="17"/>
      <c r="I855" s="16" t="str">
        <f t="shared" si="159"/>
        <v/>
      </c>
      <c r="J855" s="16" t="str">
        <f t="shared" si="160"/>
        <v/>
      </c>
      <c r="K855" s="18" t="str">
        <f t="shared" si="161"/>
        <v/>
      </c>
      <c r="L855" s="16" t="str">
        <f t="shared" si="162"/>
        <v/>
      </c>
      <c r="M855" s="16" t="str">
        <f t="shared" si="163"/>
        <v/>
      </c>
      <c r="N855" s="16" t="str">
        <f t="shared" si="164"/>
        <v/>
      </c>
      <c r="O855" s="16" t="str">
        <f t="shared" si="165"/>
        <v/>
      </c>
      <c r="P855" s="16" t="str">
        <f t="shared" si="166"/>
        <v/>
      </c>
      <c r="Q855" s="18" t="str">
        <f t="shared" si="167"/>
        <v/>
      </c>
      <c r="R855" s="19" t="str">
        <f>IF(C855="","",IF(ISNA(MATCH(B855,'Registru oferte'!$B$5:$B$504,0)),"Oferta nu există în registru",IF(N(F855)&lt;=0,"Lipsește cantitatea",IF(AND(ISNUMBER(Q855),Q855&lt;MarjaMin),"Marjă sub minim ("&amp;TEXT(Q855*100,"0")&amp;"%)",""))))</f>
        <v/>
      </c>
      <c r="S855" s="1" t="str">
        <f>IF(B855="","",B855&amp;"|"&amp;COUNTIF($B$5:B855,B855))</f>
        <v/>
      </c>
    </row>
    <row r="856" spans="2:19" x14ac:dyDescent="0.2">
      <c r="B856" s="11"/>
      <c r="C856" s="11"/>
      <c r="D856" s="10" t="str">
        <f t="shared" si="156"/>
        <v/>
      </c>
      <c r="E856" s="15" t="str">
        <f t="shared" si="157"/>
        <v/>
      </c>
      <c r="F856" s="11"/>
      <c r="G856" s="16" t="str">
        <f t="shared" si="158"/>
        <v/>
      </c>
      <c r="H856" s="17"/>
      <c r="I856" s="16" t="str">
        <f t="shared" si="159"/>
        <v/>
      </c>
      <c r="J856" s="16" t="str">
        <f t="shared" si="160"/>
        <v/>
      </c>
      <c r="K856" s="18" t="str">
        <f t="shared" si="161"/>
        <v/>
      </c>
      <c r="L856" s="16" t="str">
        <f t="shared" si="162"/>
        <v/>
      </c>
      <c r="M856" s="16" t="str">
        <f t="shared" si="163"/>
        <v/>
      </c>
      <c r="N856" s="16" t="str">
        <f t="shared" si="164"/>
        <v/>
      </c>
      <c r="O856" s="16" t="str">
        <f t="shared" si="165"/>
        <v/>
      </c>
      <c r="P856" s="16" t="str">
        <f t="shared" si="166"/>
        <v/>
      </c>
      <c r="Q856" s="18" t="str">
        <f t="shared" si="167"/>
        <v/>
      </c>
      <c r="R856" s="19" t="str">
        <f>IF(C856="","",IF(ISNA(MATCH(B856,'Registru oferte'!$B$5:$B$504,0)),"Oferta nu există în registru",IF(N(F856)&lt;=0,"Lipsește cantitatea",IF(AND(ISNUMBER(Q856),Q856&lt;MarjaMin),"Marjă sub minim ("&amp;TEXT(Q856*100,"0")&amp;"%)",""))))</f>
        <v/>
      </c>
      <c r="S856" s="1" t="str">
        <f>IF(B856="","",B856&amp;"|"&amp;COUNTIF($B$5:B856,B856))</f>
        <v/>
      </c>
    </row>
    <row r="857" spans="2:19" x14ac:dyDescent="0.2">
      <c r="B857" s="11"/>
      <c r="C857" s="11"/>
      <c r="D857" s="10" t="str">
        <f t="shared" si="156"/>
        <v/>
      </c>
      <c r="E857" s="15" t="str">
        <f t="shared" si="157"/>
        <v/>
      </c>
      <c r="F857" s="11"/>
      <c r="G857" s="16" t="str">
        <f t="shared" si="158"/>
        <v/>
      </c>
      <c r="H857" s="17"/>
      <c r="I857" s="16" t="str">
        <f t="shared" si="159"/>
        <v/>
      </c>
      <c r="J857" s="16" t="str">
        <f t="shared" si="160"/>
        <v/>
      </c>
      <c r="K857" s="18" t="str">
        <f t="shared" si="161"/>
        <v/>
      </c>
      <c r="L857" s="16" t="str">
        <f t="shared" si="162"/>
        <v/>
      </c>
      <c r="M857" s="16" t="str">
        <f t="shared" si="163"/>
        <v/>
      </c>
      <c r="N857" s="16" t="str">
        <f t="shared" si="164"/>
        <v/>
      </c>
      <c r="O857" s="16" t="str">
        <f t="shared" si="165"/>
        <v/>
      </c>
      <c r="P857" s="16" t="str">
        <f t="shared" si="166"/>
        <v/>
      </c>
      <c r="Q857" s="18" t="str">
        <f t="shared" si="167"/>
        <v/>
      </c>
      <c r="R857" s="19" t="str">
        <f>IF(C857="","",IF(ISNA(MATCH(B857,'Registru oferte'!$B$5:$B$504,0)),"Oferta nu există în registru",IF(N(F857)&lt;=0,"Lipsește cantitatea",IF(AND(ISNUMBER(Q857),Q857&lt;MarjaMin),"Marjă sub minim ("&amp;TEXT(Q857*100,"0")&amp;"%)",""))))</f>
        <v/>
      </c>
      <c r="S857" s="1" t="str">
        <f>IF(B857="","",B857&amp;"|"&amp;COUNTIF($B$5:B857,B857))</f>
        <v/>
      </c>
    </row>
    <row r="858" spans="2:19" x14ac:dyDescent="0.2">
      <c r="B858" s="11"/>
      <c r="C858" s="11"/>
      <c r="D858" s="10" t="str">
        <f t="shared" si="156"/>
        <v/>
      </c>
      <c r="E858" s="15" t="str">
        <f t="shared" si="157"/>
        <v/>
      </c>
      <c r="F858" s="11"/>
      <c r="G858" s="16" t="str">
        <f t="shared" si="158"/>
        <v/>
      </c>
      <c r="H858" s="17"/>
      <c r="I858" s="16" t="str">
        <f t="shared" si="159"/>
        <v/>
      </c>
      <c r="J858" s="16" t="str">
        <f t="shared" si="160"/>
        <v/>
      </c>
      <c r="K858" s="18" t="str">
        <f t="shared" si="161"/>
        <v/>
      </c>
      <c r="L858" s="16" t="str">
        <f t="shared" si="162"/>
        <v/>
      </c>
      <c r="M858" s="16" t="str">
        <f t="shared" si="163"/>
        <v/>
      </c>
      <c r="N858" s="16" t="str">
        <f t="shared" si="164"/>
        <v/>
      </c>
      <c r="O858" s="16" t="str">
        <f t="shared" si="165"/>
        <v/>
      </c>
      <c r="P858" s="16" t="str">
        <f t="shared" si="166"/>
        <v/>
      </c>
      <c r="Q858" s="18" t="str">
        <f t="shared" si="167"/>
        <v/>
      </c>
      <c r="R858" s="19" t="str">
        <f>IF(C858="","",IF(ISNA(MATCH(B858,'Registru oferte'!$B$5:$B$504,0)),"Oferta nu există în registru",IF(N(F858)&lt;=0,"Lipsește cantitatea",IF(AND(ISNUMBER(Q858),Q858&lt;MarjaMin),"Marjă sub minim ("&amp;TEXT(Q858*100,"0")&amp;"%)",""))))</f>
        <v/>
      </c>
      <c r="S858" s="1" t="str">
        <f>IF(B858="","",B858&amp;"|"&amp;COUNTIF($B$5:B858,B858))</f>
        <v/>
      </c>
    </row>
    <row r="859" spans="2:19" x14ac:dyDescent="0.2">
      <c r="B859" s="11"/>
      <c r="C859" s="11"/>
      <c r="D859" s="10" t="str">
        <f t="shared" si="156"/>
        <v/>
      </c>
      <c r="E859" s="15" t="str">
        <f t="shared" si="157"/>
        <v/>
      </c>
      <c r="F859" s="11"/>
      <c r="G859" s="16" t="str">
        <f t="shared" si="158"/>
        <v/>
      </c>
      <c r="H859" s="17"/>
      <c r="I859" s="16" t="str">
        <f t="shared" si="159"/>
        <v/>
      </c>
      <c r="J859" s="16" t="str">
        <f t="shared" si="160"/>
        <v/>
      </c>
      <c r="K859" s="18" t="str">
        <f t="shared" si="161"/>
        <v/>
      </c>
      <c r="L859" s="16" t="str">
        <f t="shared" si="162"/>
        <v/>
      </c>
      <c r="M859" s="16" t="str">
        <f t="shared" si="163"/>
        <v/>
      </c>
      <c r="N859" s="16" t="str">
        <f t="shared" si="164"/>
        <v/>
      </c>
      <c r="O859" s="16" t="str">
        <f t="shared" si="165"/>
        <v/>
      </c>
      <c r="P859" s="16" t="str">
        <f t="shared" si="166"/>
        <v/>
      </c>
      <c r="Q859" s="18" t="str">
        <f t="shared" si="167"/>
        <v/>
      </c>
      <c r="R859" s="19" t="str">
        <f>IF(C859="","",IF(ISNA(MATCH(B859,'Registru oferte'!$B$5:$B$504,0)),"Oferta nu există în registru",IF(N(F859)&lt;=0,"Lipsește cantitatea",IF(AND(ISNUMBER(Q859),Q859&lt;MarjaMin),"Marjă sub minim ("&amp;TEXT(Q859*100,"0")&amp;"%)",""))))</f>
        <v/>
      </c>
      <c r="S859" s="1" t="str">
        <f>IF(B859="","",B859&amp;"|"&amp;COUNTIF($B$5:B859,B859))</f>
        <v/>
      </c>
    </row>
    <row r="860" spans="2:19" x14ac:dyDescent="0.2">
      <c r="B860" s="11"/>
      <c r="C860" s="11"/>
      <c r="D860" s="10" t="str">
        <f t="shared" si="156"/>
        <v/>
      </c>
      <c r="E860" s="15" t="str">
        <f t="shared" si="157"/>
        <v/>
      </c>
      <c r="F860" s="11"/>
      <c r="G860" s="16" t="str">
        <f t="shared" si="158"/>
        <v/>
      </c>
      <c r="H860" s="17"/>
      <c r="I860" s="16" t="str">
        <f t="shared" si="159"/>
        <v/>
      </c>
      <c r="J860" s="16" t="str">
        <f t="shared" si="160"/>
        <v/>
      </c>
      <c r="K860" s="18" t="str">
        <f t="shared" si="161"/>
        <v/>
      </c>
      <c r="L860" s="16" t="str">
        <f t="shared" si="162"/>
        <v/>
      </c>
      <c r="M860" s="16" t="str">
        <f t="shared" si="163"/>
        <v/>
      </c>
      <c r="N860" s="16" t="str">
        <f t="shared" si="164"/>
        <v/>
      </c>
      <c r="O860" s="16" t="str">
        <f t="shared" si="165"/>
        <v/>
      </c>
      <c r="P860" s="16" t="str">
        <f t="shared" si="166"/>
        <v/>
      </c>
      <c r="Q860" s="18" t="str">
        <f t="shared" si="167"/>
        <v/>
      </c>
      <c r="R860" s="19" t="str">
        <f>IF(C860="","",IF(ISNA(MATCH(B860,'Registru oferte'!$B$5:$B$504,0)),"Oferta nu există în registru",IF(N(F860)&lt;=0,"Lipsește cantitatea",IF(AND(ISNUMBER(Q860),Q860&lt;MarjaMin),"Marjă sub minim ("&amp;TEXT(Q860*100,"0")&amp;"%)",""))))</f>
        <v/>
      </c>
      <c r="S860" s="1" t="str">
        <f>IF(B860="","",B860&amp;"|"&amp;COUNTIF($B$5:B860,B860))</f>
        <v/>
      </c>
    </row>
    <row r="861" spans="2:19" x14ac:dyDescent="0.2">
      <c r="B861" s="11"/>
      <c r="C861" s="11"/>
      <c r="D861" s="10" t="str">
        <f t="shared" si="156"/>
        <v/>
      </c>
      <c r="E861" s="15" t="str">
        <f t="shared" si="157"/>
        <v/>
      </c>
      <c r="F861" s="11"/>
      <c r="G861" s="16" t="str">
        <f t="shared" si="158"/>
        <v/>
      </c>
      <c r="H861" s="17"/>
      <c r="I861" s="16" t="str">
        <f t="shared" si="159"/>
        <v/>
      </c>
      <c r="J861" s="16" t="str">
        <f t="shared" si="160"/>
        <v/>
      </c>
      <c r="K861" s="18" t="str">
        <f t="shared" si="161"/>
        <v/>
      </c>
      <c r="L861" s="16" t="str">
        <f t="shared" si="162"/>
        <v/>
      </c>
      <c r="M861" s="16" t="str">
        <f t="shared" si="163"/>
        <v/>
      </c>
      <c r="N861" s="16" t="str">
        <f t="shared" si="164"/>
        <v/>
      </c>
      <c r="O861" s="16" t="str">
        <f t="shared" si="165"/>
        <v/>
      </c>
      <c r="P861" s="16" t="str">
        <f t="shared" si="166"/>
        <v/>
      </c>
      <c r="Q861" s="18" t="str">
        <f t="shared" si="167"/>
        <v/>
      </c>
      <c r="R861" s="19" t="str">
        <f>IF(C861="","",IF(ISNA(MATCH(B861,'Registru oferte'!$B$5:$B$504,0)),"Oferta nu există în registru",IF(N(F861)&lt;=0,"Lipsește cantitatea",IF(AND(ISNUMBER(Q861),Q861&lt;MarjaMin),"Marjă sub minim ("&amp;TEXT(Q861*100,"0")&amp;"%)",""))))</f>
        <v/>
      </c>
      <c r="S861" s="1" t="str">
        <f>IF(B861="","",B861&amp;"|"&amp;COUNTIF($B$5:B861,B861))</f>
        <v/>
      </c>
    </row>
    <row r="862" spans="2:19" x14ac:dyDescent="0.2">
      <c r="B862" s="11"/>
      <c r="C862" s="11"/>
      <c r="D862" s="10" t="str">
        <f t="shared" si="156"/>
        <v/>
      </c>
      <c r="E862" s="15" t="str">
        <f t="shared" si="157"/>
        <v/>
      </c>
      <c r="F862" s="11"/>
      <c r="G862" s="16" t="str">
        <f t="shared" si="158"/>
        <v/>
      </c>
      <c r="H862" s="17"/>
      <c r="I862" s="16" t="str">
        <f t="shared" si="159"/>
        <v/>
      </c>
      <c r="J862" s="16" t="str">
        <f t="shared" si="160"/>
        <v/>
      </c>
      <c r="K862" s="18" t="str">
        <f t="shared" si="161"/>
        <v/>
      </c>
      <c r="L862" s="16" t="str">
        <f t="shared" si="162"/>
        <v/>
      </c>
      <c r="M862" s="16" t="str">
        <f t="shared" si="163"/>
        <v/>
      </c>
      <c r="N862" s="16" t="str">
        <f t="shared" si="164"/>
        <v/>
      </c>
      <c r="O862" s="16" t="str">
        <f t="shared" si="165"/>
        <v/>
      </c>
      <c r="P862" s="16" t="str">
        <f t="shared" si="166"/>
        <v/>
      </c>
      <c r="Q862" s="18" t="str">
        <f t="shared" si="167"/>
        <v/>
      </c>
      <c r="R862" s="19" t="str">
        <f>IF(C862="","",IF(ISNA(MATCH(B862,'Registru oferte'!$B$5:$B$504,0)),"Oferta nu există în registru",IF(N(F862)&lt;=0,"Lipsește cantitatea",IF(AND(ISNUMBER(Q862),Q862&lt;MarjaMin),"Marjă sub minim ("&amp;TEXT(Q862*100,"0")&amp;"%)",""))))</f>
        <v/>
      </c>
      <c r="S862" s="1" t="str">
        <f>IF(B862="","",B862&amp;"|"&amp;COUNTIF($B$5:B862,B862))</f>
        <v/>
      </c>
    </row>
    <row r="863" spans="2:19" x14ac:dyDescent="0.2">
      <c r="B863" s="11"/>
      <c r="C863" s="11"/>
      <c r="D863" s="10" t="str">
        <f t="shared" si="156"/>
        <v/>
      </c>
      <c r="E863" s="15" t="str">
        <f t="shared" si="157"/>
        <v/>
      </c>
      <c r="F863" s="11"/>
      <c r="G863" s="16" t="str">
        <f t="shared" si="158"/>
        <v/>
      </c>
      <c r="H863" s="17"/>
      <c r="I863" s="16" t="str">
        <f t="shared" si="159"/>
        <v/>
      </c>
      <c r="J863" s="16" t="str">
        <f t="shared" si="160"/>
        <v/>
      </c>
      <c r="K863" s="18" t="str">
        <f t="shared" si="161"/>
        <v/>
      </c>
      <c r="L863" s="16" t="str">
        <f t="shared" si="162"/>
        <v/>
      </c>
      <c r="M863" s="16" t="str">
        <f t="shared" si="163"/>
        <v/>
      </c>
      <c r="N863" s="16" t="str">
        <f t="shared" si="164"/>
        <v/>
      </c>
      <c r="O863" s="16" t="str">
        <f t="shared" si="165"/>
        <v/>
      </c>
      <c r="P863" s="16" t="str">
        <f t="shared" si="166"/>
        <v/>
      </c>
      <c r="Q863" s="18" t="str">
        <f t="shared" si="167"/>
        <v/>
      </c>
      <c r="R863" s="19" t="str">
        <f>IF(C863="","",IF(ISNA(MATCH(B863,'Registru oferte'!$B$5:$B$504,0)),"Oferta nu există în registru",IF(N(F863)&lt;=0,"Lipsește cantitatea",IF(AND(ISNUMBER(Q863),Q863&lt;MarjaMin),"Marjă sub minim ("&amp;TEXT(Q863*100,"0")&amp;"%)",""))))</f>
        <v/>
      </c>
      <c r="S863" s="1" t="str">
        <f>IF(B863="","",B863&amp;"|"&amp;COUNTIF($B$5:B863,B863))</f>
        <v/>
      </c>
    </row>
    <row r="864" spans="2:19" x14ac:dyDescent="0.2">
      <c r="B864" s="11"/>
      <c r="C864" s="11"/>
      <c r="D864" s="10" t="str">
        <f t="shared" si="156"/>
        <v/>
      </c>
      <c r="E864" s="15" t="str">
        <f t="shared" si="157"/>
        <v/>
      </c>
      <c r="F864" s="11"/>
      <c r="G864" s="16" t="str">
        <f t="shared" si="158"/>
        <v/>
      </c>
      <c r="H864" s="17"/>
      <c r="I864" s="16" t="str">
        <f t="shared" si="159"/>
        <v/>
      </c>
      <c r="J864" s="16" t="str">
        <f t="shared" si="160"/>
        <v/>
      </c>
      <c r="K864" s="18" t="str">
        <f t="shared" si="161"/>
        <v/>
      </c>
      <c r="L864" s="16" t="str">
        <f t="shared" si="162"/>
        <v/>
      </c>
      <c r="M864" s="16" t="str">
        <f t="shared" si="163"/>
        <v/>
      </c>
      <c r="N864" s="16" t="str">
        <f t="shared" si="164"/>
        <v/>
      </c>
      <c r="O864" s="16" t="str">
        <f t="shared" si="165"/>
        <v/>
      </c>
      <c r="P864" s="16" t="str">
        <f t="shared" si="166"/>
        <v/>
      </c>
      <c r="Q864" s="18" t="str">
        <f t="shared" si="167"/>
        <v/>
      </c>
      <c r="R864" s="19" t="str">
        <f>IF(C864="","",IF(ISNA(MATCH(B864,'Registru oferte'!$B$5:$B$504,0)),"Oferta nu există în registru",IF(N(F864)&lt;=0,"Lipsește cantitatea",IF(AND(ISNUMBER(Q864),Q864&lt;MarjaMin),"Marjă sub minim ("&amp;TEXT(Q864*100,"0")&amp;"%)",""))))</f>
        <v/>
      </c>
      <c r="S864" s="1" t="str">
        <f>IF(B864="","",B864&amp;"|"&amp;COUNTIF($B$5:B864,B864))</f>
        <v/>
      </c>
    </row>
    <row r="865" spans="2:19" x14ac:dyDescent="0.2">
      <c r="B865" s="11"/>
      <c r="C865" s="11"/>
      <c r="D865" s="10" t="str">
        <f t="shared" si="156"/>
        <v/>
      </c>
      <c r="E865" s="15" t="str">
        <f t="shared" si="157"/>
        <v/>
      </c>
      <c r="F865" s="11"/>
      <c r="G865" s="16" t="str">
        <f t="shared" si="158"/>
        <v/>
      </c>
      <c r="H865" s="17"/>
      <c r="I865" s="16" t="str">
        <f t="shared" si="159"/>
        <v/>
      </c>
      <c r="J865" s="16" t="str">
        <f t="shared" si="160"/>
        <v/>
      </c>
      <c r="K865" s="18" t="str">
        <f t="shared" si="161"/>
        <v/>
      </c>
      <c r="L865" s="16" t="str">
        <f t="shared" si="162"/>
        <v/>
      </c>
      <c r="M865" s="16" t="str">
        <f t="shared" si="163"/>
        <v/>
      </c>
      <c r="N865" s="16" t="str">
        <f t="shared" si="164"/>
        <v/>
      </c>
      <c r="O865" s="16" t="str">
        <f t="shared" si="165"/>
        <v/>
      </c>
      <c r="P865" s="16" t="str">
        <f t="shared" si="166"/>
        <v/>
      </c>
      <c r="Q865" s="18" t="str">
        <f t="shared" si="167"/>
        <v/>
      </c>
      <c r="R865" s="19" t="str">
        <f>IF(C865="","",IF(ISNA(MATCH(B865,'Registru oferte'!$B$5:$B$504,0)),"Oferta nu există în registru",IF(N(F865)&lt;=0,"Lipsește cantitatea",IF(AND(ISNUMBER(Q865),Q865&lt;MarjaMin),"Marjă sub minim ("&amp;TEXT(Q865*100,"0")&amp;"%)",""))))</f>
        <v/>
      </c>
      <c r="S865" s="1" t="str">
        <f>IF(B865="","",B865&amp;"|"&amp;COUNTIF($B$5:B865,B865))</f>
        <v/>
      </c>
    </row>
    <row r="866" spans="2:19" x14ac:dyDescent="0.2">
      <c r="B866" s="11"/>
      <c r="C866" s="11"/>
      <c r="D866" s="10" t="str">
        <f t="shared" si="156"/>
        <v/>
      </c>
      <c r="E866" s="15" t="str">
        <f t="shared" si="157"/>
        <v/>
      </c>
      <c r="F866" s="11"/>
      <c r="G866" s="16" t="str">
        <f t="shared" si="158"/>
        <v/>
      </c>
      <c r="H866" s="17"/>
      <c r="I866" s="16" t="str">
        <f t="shared" si="159"/>
        <v/>
      </c>
      <c r="J866" s="16" t="str">
        <f t="shared" si="160"/>
        <v/>
      </c>
      <c r="K866" s="18" t="str">
        <f t="shared" si="161"/>
        <v/>
      </c>
      <c r="L866" s="16" t="str">
        <f t="shared" si="162"/>
        <v/>
      </c>
      <c r="M866" s="16" t="str">
        <f t="shared" si="163"/>
        <v/>
      </c>
      <c r="N866" s="16" t="str">
        <f t="shared" si="164"/>
        <v/>
      </c>
      <c r="O866" s="16" t="str">
        <f t="shared" si="165"/>
        <v/>
      </c>
      <c r="P866" s="16" t="str">
        <f t="shared" si="166"/>
        <v/>
      </c>
      <c r="Q866" s="18" t="str">
        <f t="shared" si="167"/>
        <v/>
      </c>
      <c r="R866" s="19" t="str">
        <f>IF(C866="","",IF(ISNA(MATCH(B866,'Registru oferte'!$B$5:$B$504,0)),"Oferta nu există în registru",IF(N(F866)&lt;=0,"Lipsește cantitatea",IF(AND(ISNUMBER(Q866),Q866&lt;MarjaMin),"Marjă sub minim ("&amp;TEXT(Q866*100,"0")&amp;"%)",""))))</f>
        <v/>
      </c>
      <c r="S866" s="1" t="str">
        <f>IF(B866="","",B866&amp;"|"&amp;COUNTIF($B$5:B866,B866))</f>
        <v/>
      </c>
    </row>
    <row r="867" spans="2:19" x14ac:dyDescent="0.2">
      <c r="B867" s="11"/>
      <c r="C867" s="11"/>
      <c r="D867" s="10" t="str">
        <f t="shared" si="156"/>
        <v/>
      </c>
      <c r="E867" s="15" t="str">
        <f t="shared" si="157"/>
        <v/>
      </c>
      <c r="F867" s="11"/>
      <c r="G867" s="16" t="str">
        <f t="shared" si="158"/>
        <v/>
      </c>
      <c r="H867" s="17"/>
      <c r="I867" s="16" t="str">
        <f t="shared" si="159"/>
        <v/>
      </c>
      <c r="J867" s="16" t="str">
        <f t="shared" si="160"/>
        <v/>
      </c>
      <c r="K867" s="18" t="str">
        <f t="shared" si="161"/>
        <v/>
      </c>
      <c r="L867" s="16" t="str">
        <f t="shared" si="162"/>
        <v/>
      </c>
      <c r="M867" s="16" t="str">
        <f t="shared" si="163"/>
        <v/>
      </c>
      <c r="N867" s="16" t="str">
        <f t="shared" si="164"/>
        <v/>
      </c>
      <c r="O867" s="16" t="str">
        <f t="shared" si="165"/>
        <v/>
      </c>
      <c r="P867" s="16" t="str">
        <f t="shared" si="166"/>
        <v/>
      </c>
      <c r="Q867" s="18" t="str">
        <f t="shared" si="167"/>
        <v/>
      </c>
      <c r="R867" s="19" t="str">
        <f>IF(C867="","",IF(ISNA(MATCH(B867,'Registru oferte'!$B$5:$B$504,0)),"Oferta nu există în registru",IF(N(F867)&lt;=0,"Lipsește cantitatea",IF(AND(ISNUMBER(Q867),Q867&lt;MarjaMin),"Marjă sub minim ("&amp;TEXT(Q867*100,"0")&amp;"%)",""))))</f>
        <v/>
      </c>
      <c r="S867" s="1" t="str">
        <f>IF(B867="","",B867&amp;"|"&amp;COUNTIF($B$5:B867,B867))</f>
        <v/>
      </c>
    </row>
    <row r="868" spans="2:19" x14ac:dyDescent="0.2">
      <c r="B868" s="11"/>
      <c r="C868" s="11"/>
      <c r="D868" s="10" t="str">
        <f t="shared" si="156"/>
        <v/>
      </c>
      <c r="E868" s="15" t="str">
        <f t="shared" si="157"/>
        <v/>
      </c>
      <c r="F868" s="11"/>
      <c r="G868" s="16" t="str">
        <f t="shared" si="158"/>
        <v/>
      </c>
      <c r="H868" s="17"/>
      <c r="I868" s="16" t="str">
        <f t="shared" si="159"/>
        <v/>
      </c>
      <c r="J868" s="16" t="str">
        <f t="shared" si="160"/>
        <v/>
      </c>
      <c r="K868" s="18" t="str">
        <f t="shared" si="161"/>
        <v/>
      </c>
      <c r="L868" s="16" t="str">
        <f t="shared" si="162"/>
        <v/>
      </c>
      <c r="M868" s="16" t="str">
        <f t="shared" si="163"/>
        <v/>
      </c>
      <c r="N868" s="16" t="str">
        <f t="shared" si="164"/>
        <v/>
      </c>
      <c r="O868" s="16" t="str">
        <f t="shared" si="165"/>
        <v/>
      </c>
      <c r="P868" s="16" t="str">
        <f t="shared" si="166"/>
        <v/>
      </c>
      <c r="Q868" s="18" t="str">
        <f t="shared" si="167"/>
        <v/>
      </c>
      <c r="R868" s="19" t="str">
        <f>IF(C868="","",IF(ISNA(MATCH(B868,'Registru oferte'!$B$5:$B$504,0)),"Oferta nu există în registru",IF(N(F868)&lt;=0,"Lipsește cantitatea",IF(AND(ISNUMBER(Q868),Q868&lt;MarjaMin),"Marjă sub minim ("&amp;TEXT(Q868*100,"0")&amp;"%)",""))))</f>
        <v/>
      </c>
      <c r="S868" s="1" t="str">
        <f>IF(B868="","",B868&amp;"|"&amp;COUNTIF($B$5:B868,B868))</f>
        <v/>
      </c>
    </row>
    <row r="869" spans="2:19" x14ac:dyDescent="0.2">
      <c r="B869" s="11"/>
      <c r="C869" s="11"/>
      <c r="D869" s="10" t="str">
        <f t="shared" si="156"/>
        <v/>
      </c>
      <c r="E869" s="15" t="str">
        <f t="shared" si="157"/>
        <v/>
      </c>
      <c r="F869" s="11"/>
      <c r="G869" s="16" t="str">
        <f t="shared" si="158"/>
        <v/>
      </c>
      <c r="H869" s="17"/>
      <c r="I869" s="16" t="str">
        <f t="shared" si="159"/>
        <v/>
      </c>
      <c r="J869" s="16" t="str">
        <f t="shared" si="160"/>
        <v/>
      </c>
      <c r="K869" s="18" t="str">
        <f t="shared" si="161"/>
        <v/>
      </c>
      <c r="L869" s="16" t="str">
        <f t="shared" si="162"/>
        <v/>
      </c>
      <c r="M869" s="16" t="str">
        <f t="shared" si="163"/>
        <v/>
      </c>
      <c r="N869" s="16" t="str">
        <f t="shared" si="164"/>
        <v/>
      </c>
      <c r="O869" s="16" t="str">
        <f t="shared" si="165"/>
        <v/>
      </c>
      <c r="P869" s="16" t="str">
        <f t="shared" si="166"/>
        <v/>
      </c>
      <c r="Q869" s="18" t="str">
        <f t="shared" si="167"/>
        <v/>
      </c>
      <c r="R869" s="19" t="str">
        <f>IF(C869="","",IF(ISNA(MATCH(B869,'Registru oferte'!$B$5:$B$504,0)),"Oferta nu există în registru",IF(N(F869)&lt;=0,"Lipsește cantitatea",IF(AND(ISNUMBER(Q869),Q869&lt;MarjaMin),"Marjă sub minim ("&amp;TEXT(Q869*100,"0")&amp;"%)",""))))</f>
        <v/>
      </c>
      <c r="S869" s="1" t="str">
        <f>IF(B869="","",B869&amp;"|"&amp;COUNTIF($B$5:B869,B869))</f>
        <v/>
      </c>
    </row>
    <row r="870" spans="2:19" x14ac:dyDescent="0.2">
      <c r="B870" s="11"/>
      <c r="C870" s="11"/>
      <c r="D870" s="10" t="str">
        <f t="shared" si="156"/>
        <v/>
      </c>
      <c r="E870" s="15" t="str">
        <f t="shared" si="157"/>
        <v/>
      </c>
      <c r="F870" s="11"/>
      <c r="G870" s="16" t="str">
        <f t="shared" si="158"/>
        <v/>
      </c>
      <c r="H870" s="17"/>
      <c r="I870" s="16" t="str">
        <f t="shared" si="159"/>
        <v/>
      </c>
      <c r="J870" s="16" t="str">
        <f t="shared" si="160"/>
        <v/>
      </c>
      <c r="K870" s="18" t="str">
        <f t="shared" si="161"/>
        <v/>
      </c>
      <c r="L870" s="16" t="str">
        <f t="shared" si="162"/>
        <v/>
      </c>
      <c r="M870" s="16" t="str">
        <f t="shared" si="163"/>
        <v/>
      </c>
      <c r="N870" s="16" t="str">
        <f t="shared" si="164"/>
        <v/>
      </c>
      <c r="O870" s="16" t="str">
        <f t="shared" si="165"/>
        <v/>
      </c>
      <c r="P870" s="16" t="str">
        <f t="shared" si="166"/>
        <v/>
      </c>
      <c r="Q870" s="18" t="str">
        <f t="shared" si="167"/>
        <v/>
      </c>
      <c r="R870" s="19" t="str">
        <f>IF(C870="","",IF(ISNA(MATCH(B870,'Registru oferte'!$B$5:$B$504,0)),"Oferta nu există în registru",IF(N(F870)&lt;=0,"Lipsește cantitatea",IF(AND(ISNUMBER(Q870),Q870&lt;MarjaMin),"Marjă sub minim ("&amp;TEXT(Q870*100,"0")&amp;"%)",""))))</f>
        <v/>
      </c>
      <c r="S870" s="1" t="str">
        <f>IF(B870="","",B870&amp;"|"&amp;COUNTIF($B$5:B870,B870))</f>
        <v/>
      </c>
    </row>
    <row r="871" spans="2:19" x14ac:dyDescent="0.2">
      <c r="B871" s="11"/>
      <c r="C871" s="11"/>
      <c r="D871" s="10" t="str">
        <f t="shared" si="156"/>
        <v/>
      </c>
      <c r="E871" s="15" t="str">
        <f t="shared" si="157"/>
        <v/>
      </c>
      <c r="F871" s="11"/>
      <c r="G871" s="16" t="str">
        <f t="shared" si="158"/>
        <v/>
      </c>
      <c r="H871" s="17"/>
      <c r="I871" s="16" t="str">
        <f t="shared" si="159"/>
        <v/>
      </c>
      <c r="J871" s="16" t="str">
        <f t="shared" si="160"/>
        <v/>
      </c>
      <c r="K871" s="18" t="str">
        <f t="shared" si="161"/>
        <v/>
      </c>
      <c r="L871" s="16" t="str">
        <f t="shared" si="162"/>
        <v/>
      </c>
      <c r="M871" s="16" t="str">
        <f t="shared" si="163"/>
        <v/>
      </c>
      <c r="N871" s="16" t="str">
        <f t="shared" si="164"/>
        <v/>
      </c>
      <c r="O871" s="16" t="str">
        <f t="shared" si="165"/>
        <v/>
      </c>
      <c r="P871" s="16" t="str">
        <f t="shared" si="166"/>
        <v/>
      </c>
      <c r="Q871" s="18" t="str">
        <f t="shared" si="167"/>
        <v/>
      </c>
      <c r="R871" s="19" t="str">
        <f>IF(C871="","",IF(ISNA(MATCH(B871,'Registru oferte'!$B$5:$B$504,0)),"Oferta nu există în registru",IF(N(F871)&lt;=0,"Lipsește cantitatea",IF(AND(ISNUMBER(Q871),Q871&lt;MarjaMin),"Marjă sub minim ("&amp;TEXT(Q871*100,"0")&amp;"%)",""))))</f>
        <v/>
      </c>
      <c r="S871" s="1" t="str">
        <f>IF(B871="","",B871&amp;"|"&amp;COUNTIF($B$5:B871,B871))</f>
        <v/>
      </c>
    </row>
    <row r="872" spans="2:19" x14ac:dyDescent="0.2">
      <c r="B872" s="11"/>
      <c r="C872" s="11"/>
      <c r="D872" s="10" t="str">
        <f t="shared" si="156"/>
        <v/>
      </c>
      <c r="E872" s="15" t="str">
        <f t="shared" si="157"/>
        <v/>
      </c>
      <c r="F872" s="11"/>
      <c r="G872" s="16" t="str">
        <f t="shared" si="158"/>
        <v/>
      </c>
      <c r="H872" s="17"/>
      <c r="I872" s="16" t="str">
        <f t="shared" si="159"/>
        <v/>
      </c>
      <c r="J872" s="16" t="str">
        <f t="shared" si="160"/>
        <v/>
      </c>
      <c r="K872" s="18" t="str">
        <f t="shared" si="161"/>
        <v/>
      </c>
      <c r="L872" s="16" t="str">
        <f t="shared" si="162"/>
        <v/>
      </c>
      <c r="M872" s="16" t="str">
        <f t="shared" si="163"/>
        <v/>
      </c>
      <c r="N872" s="16" t="str">
        <f t="shared" si="164"/>
        <v/>
      </c>
      <c r="O872" s="16" t="str">
        <f t="shared" si="165"/>
        <v/>
      </c>
      <c r="P872" s="16" t="str">
        <f t="shared" si="166"/>
        <v/>
      </c>
      <c r="Q872" s="18" t="str">
        <f t="shared" si="167"/>
        <v/>
      </c>
      <c r="R872" s="19" t="str">
        <f>IF(C872="","",IF(ISNA(MATCH(B872,'Registru oferte'!$B$5:$B$504,0)),"Oferta nu există în registru",IF(N(F872)&lt;=0,"Lipsește cantitatea",IF(AND(ISNUMBER(Q872),Q872&lt;MarjaMin),"Marjă sub minim ("&amp;TEXT(Q872*100,"0")&amp;"%)",""))))</f>
        <v/>
      </c>
      <c r="S872" s="1" t="str">
        <f>IF(B872="","",B872&amp;"|"&amp;COUNTIF($B$5:B872,B872))</f>
        <v/>
      </c>
    </row>
    <row r="873" spans="2:19" x14ac:dyDescent="0.2">
      <c r="B873" s="11"/>
      <c r="C873" s="11"/>
      <c r="D873" s="10" t="str">
        <f t="shared" si="156"/>
        <v/>
      </c>
      <c r="E873" s="15" t="str">
        <f t="shared" si="157"/>
        <v/>
      </c>
      <c r="F873" s="11"/>
      <c r="G873" s="16" t="str">
        <f t="shared" si="158"/>
        <v/>
      </c>
      <c r="H873" s="17"/>
      <c r="I873" s="16" t="str">
        <f t="shared" si="159"/>
        <v/>
      </c>
      <c r="J873" s="16" t="str">
        <f t="shared" si="160"/>
        <v/>
      </c>
      <c r="K873" s="18" t="str">
        <f t="shared" si="161"/>
        <v/>
      </c>
      <c r="L873" s="16" t="str">
        <f t="shared" si="162"/>
        <v/>
      </c>
      <c r="M873" s="16" t="str">
        <f t="shared" si="163"/>
        <v/>
      </c>
      <c r="N873" s="16" t="str">
        <f t="shared" si="164"/>
        <v/>
      </c>
      <c r="O873" s="16" t="str">
        <f t="shared" si="165"/>
        <v/>
      </c>
      <c r="P873" s="16" t="str">
        <f t="shared" si="166"/>
        <v/>
      </c>
      <c r="Q873" s="18" t="str">
        <f t="shared" si="167"/>
        <v/>
      </c>
      <c r="R873" s="19" t="str">
        <f>IF(C873="","",IF(ISNA(MATCH(B873,'Registru oferte'!$B$5:$B$504,0)),"Oferta nu există în registru",IF(N(F873)&lt;=0,"Lipsește cantitatea",IF(AND(ISNUMBER(Q873),Q873&lt;MarjaMin),"Marjă sub minim ("&amp;TEXT(Q873*100,"0")&amp;"%)",""))))</f>
        <v/>
      </c>
      <c r="S873" s="1" t="str">
        <f>IF(B873="","",B873&amp;"|"&amp;COUNTIF($B$5:B873,B873))</f>
        <v/>
      </c>
    </row>
    <row r="874" spans="2:19" x14ac:dyDescent="0.2">
      <c r="B874" s="11"/>
      <c r="C874" s="11"/>
      <c r="D874" s="10" t="str">
        <f t="shared" si="156"/>
        <v/>
      </c>
      <c r="E874" s="15" t="str">
        <f t="shared" si="157"/>
        <v/>
      </c>
      <c r="F874" s="11"/>
      <c r="G874" s="16" t="str">
        <f t="shared" si="158"/>
        <v/>
      </c>
      <c r="H874" s="17"/>
      <c r="I874" s="16" t="str">
        <f t="shared" si="159"/>
        <v/>
      </c>
      <c r="J874" s="16" t="str">
        <f t="shared" si="160"/>
        <v/>
      </c>
      <c r="K874" s="18" t="str">
        <f t="shared" si="161"/>
        <v/>
      </c>
      <c r="L874" s="16" t="str">
        <f t="shared" si="162"/>
        <v/>
      </c>
      <c r="M874" s="16" t="str">
        <f t="shared" si="163"/>
        <v/>
      </c>
      <c r="N874" s="16" t="str">
        <f t="shared" si="164"/>
        <v/>
      </c>
      <c r="O874" s="16" t="str">
        <f t="shared" si="165"/>
        <v/>
      </c>
      <c r="P874" s="16" t="str">
        <f t="shared" si="166"/>
        <v/>
      </c>
      <c r="Q874" s="18" t="str">
        <f t="shared" si="167"/>
        <v/>
      </c>
      <c r="R874" s="19" t="str">
        <f>IF(C874="","",IF(ISNA(MATCH(B874,'Registru oferte'!$B$5:$B$504,0)),"Oferta nu există în registru",IF(N(F874)&lt;=0,"Lipsește cantitatea",IF(AND(ISNUMBER(Q874),Q874&lt;MarjaMin),"Marjă sub minim ("&amp;TEXT(Q874*100,"0")&amp;"%)",""))))</f>
        <v/>
      </c>
      <c r="S874" s="1" t="str">
        <f>IF(B874="","",B874&amp;"|"&amp;COUNTIF($B$5:B874,B874))</f>
        <v/>
      </c>
    </row>
    <row r="875" spans="2:19" x14ac:dyDescent="0.2">
      <c r="B875" s="11"/>
      <c r="C875" s="11"/>
      <c r="D875" s="10" t="str">
        <f t="shared" si="156"/>
        <v/>
      </c>
      <c r="E875" s="15" t="str">
        <f t="shared" si="157"/>
        <v/>
      </c>
      <c r="F875" s="11"/>
      <c r="G875" s="16" t="str">
        <f t="shared" si="158"/>
        <v/>
      </c>
      <c r="H875" s="17"/>
      <c r="I875" s="16" t="str">
        <f t="shared" si="159"/>
        <v/>
      </c>
      <c r="J875" s="16" t="str">
        <f t="shared" si="160"/>
        <v/>
      </c>
      <c r="K875" s="18" t="str">
        <f t="shared" si="161"/>
        <v/>
      </c>
      <c r="L875" s="16" t="str">
        <f t="shared" si="162"/>
        <v/>
      </c>
      <c r="M875" s="16" t="str">
        <f t="shared" si="163"/>
        <v/>
      </c>
      <c r="N875" s="16" t="str">
        <f t="shared" si="164"/>
        <v/>
      </c>
      <c r="O875" s="16" t="str">
        <f t="shared" si="165"/>
        <v/>
      </c>
      <c r="P875" s="16" t="str">
        <f t="shared" si="166"/>
        <v/>
      </c>
      <c r="Q875" s="18" t="str">
        <f t="shared" si="167"/>
        <v/>
      </c>
      <c r="R875" s="19" t="str">
        <f>IF(C875="","",IF(ISNA(MATCH(B875,'Registru oferte'!$B$5:$B$504,0)),"Oferta nu există în registru",IF(N(F875)&lt;=0,"Lipsește cantitatea",IF(AND(ISNUMBER(Q875),Q875&lt;MarjaMin),"Marjă sub minim ("&amp;TEXT(Q875*100,"0")&amp;"%)",""))))</f>
        <v/>
      </c>
      <c r="S875" s="1" t="str">
        <f>IF(B875="","",B875&amp;"|"&amp;COUNTIF($B$5:B875,B875))</f>
        <v/>
      </c>
    </row>
    <row r="876" spans="2:19" x14ac:dyDescent="0.2">
      <c r="B876" s="11"/>
      <c r="C876" s="11"/>
      <c r="D876" s="10" t="str">
        <f t="shared" si="156"/>
        <v/>
      </c>
      <c r="E876" s="15" t="str">
        <f t="shared" si="157"/>
        <v/>
      </c>
      <c r="F876" s="11"/>
      <c r="G876" s="16" t="str">
        <f t="shared" si="158"/>
        <v/>
      </c>
      <c r="H876" s="17"/>
      <c r="I876" s="16" t="str">
        <f t="shared" si="159"/>
        <v/>
      </c>
      <c r="J876" s="16" t="str">
        <f t="shared" si="160"/>
        <v/>
      </c>
      <c r="K876" s="18" t="str">
        <f t="shared" si="161"/>
        <v/>
      </c>
      <c r="L876" s="16" t="str">
        <f t="shared" si="162"/>
        <v/>
      </c>
      <c r="M876" s="16" t="str">
        <f t="shared" si="163"/>
        <v/>
      </c>
      <c r="N876" s="16" t="str">
        <f t="shared" si="164"/>
        <v/>
      </c>
      <c r="O876" s="16" t="str">
        <f t="shared" si="165"/>
        <v/>
      </c>
      <c r="P876" s="16" t="str">
        <f t="shared" si="166"/>
        <v/>
      </c>
      <c r="Q876" s="18" t="str">
        <f t="shared" si="167"/>
        <v/>
      </c>
      <c r="R876" s="19" t="str">
        <f>IF(C876="","",IF(ISNA(MATCH(B876,'Registru oferte'!$B$5:$B$504,0)),"Oferta nu există în registru",IF(N(F876)&lt;=0,"Lipsește cantitatea",IF(AND(ISNUMBER(Q876),Q876&lt;MarjaMin),"Marjă sub minim ("&amp;TEXT(Q876*100,"0")&amp;"%)",""))))</f>
        <v/>
      </c>
      <c r="S876" s="1" t="str">
        <f>IF(B876="","",B876&amp;"|"&amp;COUNTIF($B$5:B876,B876))</f>
        <v/>
      </c>
    </row>
    <row r="877" spans="2:19" x14ac:dyDescent="0.2">
      <c r="B877" s="11"/>
      <c r="C877" s="11"/>
      <c r="D877" s="10" t="str">
        <f t="shared" si="156"/>
        <v/>
      </c>
      <c r="E877" s="15" t="str">
        <f t="shared" si="157"/>
        <v/>
      </c>
      <c r="F877" s="11"/>
      <c r="G877" s="16" t="str">
        <f t="shared" si="158"/>
        <v/>
      </c>
      <c r="H877" s="17"/>
      <c r="I877" s="16" t="str">
        <f t="shared" si="159"/>
        <v/>
      </c>
      <c r="J877" s="16" t="str">
        <f t="shared" si="160"/>
        <v/>
      </c>
      <c r="K877" s="18" t="str">
        <f t="shared" si="161"/>
        <v/>
      </c>
      <c r="L877" s="16" t="str">
        <f t="shared" si="162"/>
        <v/>
      </c>
      <c r="M877" s="16" t="str">
        <f t="shared" si="163"/>
        <v/>
      </c>
      <c r="N877" s="16" t="str">
        <f t="shared" si="164"/>
        <v/>
      </c>
      <c r="O877" s="16" t="str">
        <f t="shared" si="165"/>
        <v/>
      </c>
      <c r="P877" s="16" t="str">
        <f t="shared" si="166"/>
        <v/>
      </c>
      <c r="Q877" s="18" t="str">
        <f t="shared" si="167"/>
        <v/>
      </c>
      <c r="R877" s="19" t="str">
        <f>IF(C877="","",IF(ISNA(MATCH(B877,'Registru oferte'!$B$5:$B$504,0)),"Oferta nu există în registru",IF(N(F877)&lt;=0,"Lipsește cantitatea",IF(AND(ISNUMBER(Q877),Q877&lt;MarjaMin),"Marjă sub minim ("&amp;TEXT(Q877*100,"0")&amp;"%)",""))))</f>
        <v/>
      </c>
      <c r="S877" s="1" t="str">
        <f>IF(B877="","",B877&amp;"|"&amp;COUNTIF($B$5:B877,B877))</f>
        <v/>
      </c>
    </row>
    <row r="878" spans="2:19" x14ac:dyDescent="0.2">
      <c r="B878" s="11"/>
      <c r="C878" s="11"/>
      <c r="D878" s="10" t="str">
        <f t="shared" si="156"/>
        <v/>
      </c>
      <c r="E878" s="15" t="str">
        <f t="shared" si="157"/>
        <v/>
      </c>
      <c r="F878" s="11"/>
      <c r="G878" s="16" t="str">
        <f t="shared" si="158"/>
        <v/>
      </c>
      <c r="H878" s="17"/>
      <c r="I878" s="16" t="str">
        <f t="shared" si="159"/>
        <v/>
      </c>
      <c r="J878" s="16" t="str">
        <f t="shared" si="160"/>
        <v/>
      </c>
      <c r="K878" s="18" t="str">
        <f t="shared" si="161"/>
        <v/>
      </c>
      <c r="L878" s="16" t="str">
        <f t="shared" si="162"/>
        <v/>
      </c>
      <c r="M878" s="16" t="str">
        <f t="shared" si="163"/>
        <v/>
      </c>
      <c r="N878" s="16" t="str">
        <f t="shared" si="164"/>
        <v/>
      </c>
      <c r="O878" s="16" t="str">
        <f t="shared" si="165"/>
        <v/>
      </c>
      <c r="P878" s="16" t="str">
        <f t="shared" si="166"/>
        <v/>
      </c>
      <c r="Q878" s="18" t="str">
        <f t="shared" si="167"/>
        <v/>
      </c>
      <c r="R878" s="19" t="str">
        <f>IF(C878="","",IF(ISNA(MATCH(B878,'Registru oferte'!$B$5:$B$504,0)),"Oferta nu există în registru",IF(N(F878)&lt;=0,"Lipsește cantitatea",IF(AND(ISNUMBER(Q878),Q878&lt;MarjaMin),"Marjă sub minim ("&amp;TEXT(Q878*100,"0")&amp;"%)",""))))</f>
        <v/>
      </c>
      <c r="S878" s="1" t="str">
        <f>IF(B878="","",B878&amp;"|"&amp;COUNTIF($B$5:B878,B878))</f>
        <v/>
      </c>
    </row>
    <row r="879" spans="2:19" x14ac:dyDescent="0.2">
      <c r="B879" s="11"/>
      <c r="C879" s="11"/>
      <c r="D879" s="10" t="str">
        <f t="shared" si="156"/>
        <v/>
      </c>
      <c r="E879" s="15" t="str">
        <f t="shared" si="157"/>
        <v/>
      </c>
      <c r="F879" s="11"/>
      <c r="G879" s="16" t="str">
        <f t="shared" si="158"/>
        <v/>
      </c>
      <c r="H879" s="17"/>
      <c r="I879" s="16" t="str">
        <f t="shared" si="159"/>
        <v/>
      </c>
      <c r="J879" s="16" t="str">
        <f t="shared" si="160"/>
        <v/>
      </c>
      <c r="K879" s="18" t="str">
        <f t="shared" si="161"/>
        <v/>
      </c>
      <c r="L879" s="16" t="str">
        <f t="shared" si="162"/>
        <v/>
      </c>
      <c r="M879" s="16" t="str">
        <f t="shared" si="163"/>
        <v/>
      </c>
      <c r="N879" s="16" t="str">
        <f t="shared" si="164"/>
        <v/>
      </c>
      <c r="O879" s="16" t="str">
        <f t="shared" si="165"/>
        <v/>
      </c>
      <c r="P879" s="16" t="str">
        <f t="shared" si="166"/>
        <v/>
      </c>
      <c r="Q879" s="18" t="str">
        <f t="shared" si="167"/>
        <v/>
      </c>
      <c r="R879" s="19" t="str">
        <f>IF(C879="","",IF(ISNA(MATCH(B879,'Registru oferte'!$B$5:$B$504,0)),"Oferta nu există în registru",IF(N(F879)&lt;=0,"Lipsește cantitatea",IF(AND(ISNUMBER(Q879),Q879&lt;MarjaMin),"Marjă sub minim ("&amp;TEXT(Q879*100,"0")&amp;"%)",""))))</f>
        <v/>
      </c>
      <c r="S879" s="1" t="str">
        <f>IF(B879="","",B879&amp;"|"&amp;COUNTIF($B$5:B879,B879))</f>
        <v/>
      </c>
    </row>
    <row r="880" spans="2:19" x14ac:dyDescent="0.2">
      <c r="B880" s="11"/>
      <c r="C880" s="11"/>
      <c r="D880" s="10" t="str">
        <f t="shared" si="156"/>
        <v/>
      </c>
      <c r="E880" s="15" t="str">
        <f t="shared" si="157"/>
        <v/>
      </c>
      <c r="F880" s="11"/>
      <c r="G880" s="16" t="str">
        <f t="shared" si="158"/>
        <v/>
      </c>
      <c r="H880" s="17"/>
      <c r="I880" s="16" t="str">
        <f t="shared" si="159"/>
        <v/>
      </c>
      <c r="J880" s="16" t="str">
        <f t="shared" si="160"/>
        <v/>
      </c>
      <c r="K880" s="18" t="str">
        <f t="shared" si="161"/>
        <v/>
      </c>
      <c r="L880" s="16" t="str">
        <f t="shared" si="162"/>
        <v/>
      </c>
      <c r="M880" s="16" t="str">
        <f t="shared" si="163"/>
        <v/>
      </c>
      <c r="N880" s="16" t="str">
        <f t="shared" si="164"/>
        <v/>
      </c>
      <c r="O880" s="16" t="str">
        <f t="shared" si="165"/>
        <v/>
      </c>
      <c r="P880" s="16" t="str">
        <f t="shared" si="166"/>
        <v/>
      </c>
      <c r="Q880" s="18" t="str">
        <f t="shared" si="167"/>
        <v/>
      </c>
      <c r="R880" s="19" t="str">
        <f>IF(C880="","",IF(ISNA(MATCH(B880,'Registru oferte'!$B$5:$B$504,0)),"Oferta nu există în registru",IF(N(F880)&lt;=0,"Lipsește cantitatea",IF(AND(ISNUMBER(Q880),Q880&lt;MarjaMin),"Marjă sub minim ("&amp;TEXT(Q880*100,"0")&amp;"%)",""))))</f>
        <v/>
      </c>
      <c r="S880" s="1" t="str">
        <f>IF(B880="","",B880&amp;"|"&amp;COUNTIF($B$5:B880,B880))</f>
        <v/>
      </c>
    </row>
    <row r="881" spans="2:19" x14ac:dyDescent="0.2">
      <c r="B881" s="11"/>
      <c r="C881" s="11"/>
      <c r="D881" s="10" t="str">
        <f t="shared" si="156"/>
        <v/>
      </c>
      <c r="E881" s="15" t="str">
        <f t="shared" si="157"/>
        <v/>
      </c>
      <c r="F881" s="11"/>
      <c r="G881" s="16" t="str">
        <f t="shared" si="158"/>
        <v/>
      </c>
      <c r="H881" s="17"/>
      <c r="I881" s="16" t="str">
        <f t="shared" si="159"/>
        <v/>
      </c>
      <c r="J881" s="16" t="str">
        <f t="shared" si="160"/>
        <v/>
      </c>
      <c r="K881" s="18" t="str">
        <f t="shared" si="161"/>
        <v/>
      </c>
      <c r="L881" s="16" t="str">
        <f t="shared" si="162"/>
        <v/>
      </c>
      <c r="M881" s="16" t="str">
        <f t="shared" si="163"/>
        <v/>
      </c>
      <c r="N881" s="16" t="str">
        <f t="shared" si="164"/>
        <v/>
      </c>
      <c r="O881" s="16" t="str">
        <f t="shared" si="165"/>
        <v/>
      </c>
      <c r="P881" s="16" t="str">
        <f t="shared" si="166"/>
        <v/>
      </c>
      <c r="Q881" s="18" t="str">
        <f t="shared" si="167"/>
        <v/>
      </c>
      <c r="R881" s="19" t="str">
        <f>IF(C881="","",IF(ISNA(MATCH(B881,'Registru oferte'!$B$5:$B$504,0)),"Oferta nu există în registru",IF(N(F881)&lt;=0,"Lipsește cantitatea",IF(AND(ISNUMBER(Q881),Q881&lt;MarjaMin),"Marjă sub minim ("&amp;TEXT(Q881*100,"0")&amp;"%)",""))))</f>
        <v/>
      </c>
      <c r="S881" s="1" t="str">
        <f>IF(B881="","",B881&amp;"|"&amp;COUNTIF($B$5:B881,B881))</f>
        <v/>
      </c>
    </row>
    <row r="882" spans="2:19" x14ac:dyDescent="0.2">
      <c r="B882" s="11"/>
      <c r="C882" s="11"/>
      <c r="D882" s="10" t="str">
        <f t="shared" si="156"/>
        <v/>
      </c>
      <c r="E882" s="15" t="str">
        <f t="shared" si="157"/>
        <v/>
      </c>
      <c r="F882" s="11"/>
      <c r="G882" s="16" t="str">
        <f t="shared" si="158"/>
        <v/>
      </c>
      <c r="H882" s="17"/>
      <c r="I882" s="16" t="str">
        <f t="shared" si="159"/>
        <v/>
      </c>
      <c r="J882" s="16" t="str">
        <f t="shared" si="160"/>
        <v/>
      </c>
      <c r="K882" s="18" t="str">
        <f t="shared" si="161"/>
        <v/>
      </c>
      <c r="L882" s="16" t="str">
        <f t="shared" si="162"/>
        <v/>
      </c>
      <c r="M882" s="16" t="str">
        <f t="shared" si="163"/>
        <v/>
      </c>
      <c r="N882" s="16" t="str">
        <f t="shared" si="164"/>
        <v/>
      </c>
      <c r="O882" s="16" t="str">
        <f t="shared" si="165"/>
        <v/>
      </c>
      <c r="P882" s="16" t="str">
        <f t="shared" si="166"/>
        <v/>
      </c>
      <c r="Q882" s="18" t="str">
        <f t="shared" si="167"/>
        <v/>
      </c>
      <c r="R882" s="19" t="str">
        <f>IF(C882="","",IF(ISNA(MATCH(B882,'Registru oferte'!$B$5:$B$504,0)),"Oferta nu există în registru",IF(N(F882)&lt;=0,"Lipsește cantitatea",IF(AND(ISNUMBER(Q882),Q882&lt;MarjaMin),"Marjă sub minim ("&amp;TEXT(Q882*100,"0")&amp;"%)",""))))</f>
        <v/>
      </c>
      <c r="S882" s="1" t="str">
        <f>IF(B882="","",B882&amp;"|"&amp;COUNTIF($B$5:B882,B882))</f>
        <v/>
      </c>
    </row>
    <row r="883" spans="2:19" x14ac:dyDescent="0.2">
      <c r="B883" s="11"/>
      <c r="C883" s="11"/>
      <c r="D883" s="10" t="str">
        <f t="shared" si="156"/>
        <v/>
      </c>
      <c r="E883" s="15" t="str">
        <f t="shared" si="157"/>
        <v/>
      </c>
      <c r="F883" s="11"/>
      <c r="G883" s="16" t="str">
        <f t="shared" si="158"/>
        <v/>
      </c>
      <c r="H883" s="17"/>
      <c r="I883" s="16" t="str">
        <f t="shared" si="159"/>
        <v/>
      </c>
      <c r="J883" s="16" t="str">
        <f t="shared" si="160"/>
        <v/>
      </c>
      <c r="K883" s="18" t="str">
        <f t="shared" si="161"/>
        <v/>
      </c>
      <c r="L883" s="16" t="str">
        <f t="shared" si="162"/>
        <v/>
      </c>
      <c r="M883" s="16" t="str">
        <f t="shared" si="163"/>
        <v/>
      </c>
      <c r="N883" s="16" t="str">
        <f t="shared" si="164"/>
        <v/>
      </c>
      <c r="O883" s="16" t="str">
        <f t="shared" si="165"/>
        <v/>
      </c>
      <c r="P883" s="16" t="str">
        <f t="shared" si="166"/>
        <v/>
      </c>
      <c r="Q883" s="18" t="str">
        <f t="shared" si="167"/>
        <v/>
      </c>
      <c r="R883" s="19" t="str">
        <f>IF(C883="","",IF(ISNA(MATCH(B883,'Registru oferte'!$B$5:$B$504,0)),"Oferta nu există în registru",IF(N(F883)&lt;=0,"Lipsește cantitatea",IF(AND(ISNUMBER(Q883),Q883&lt;MarjaMin),"Marjă sub minim ("&amp;TEXT(Q883*100,"0")&amp;"%)",""))))</f>
        <v/>
      </c>
      <c r="S883" s="1" t="str">
        <f>IF(B883="","",B883&amp;"|"&amp;COUNTIF($B$5:B883,B883))</f>
        <v/>
      </c>
    </row>
    <row r="884" spans="2:19" x14ac:dyDescent="0.2">
      <c r="B884" s="11"/>
      <c r="C884" s="11"/>
      <c r="D884" s="10" t="str">
        <f t="shared" si="156"/>
        <v/>
      </c>
      <c r="E884" s="15" t="str">
        <f t="shared" si="157"/>
        <v/>
      </c>
      <c r="F884" s="11"/>
      <c r="G884" s="16" t="str">
        <f t="shared" si="158"/>
        <v/>
      </c>
      <c r="H884" s="17"/>
      <c r="I884" s="16" t="str">
        <f t="shared" si="159"/>
        <v/>
      </c>
      <c r="J884" s="16" t="str">
        <f t="shared" si="160"/>
        <v/>
      </c>
      <c r="K884" s="18" t="str">
        <f t="shared" si="161"/>
        <v/>
      </c>
      <c r="L884" s="16" t="str">
        <f t="shared" si="162"/>
        <v/>
      </c>
      <c r="M884" s="16" t="str">
        <f t="shared" si="163"/>
        <v/>
      </c>
      <c r="N884" s="16" t="str">
        <f t="shared" si="164"/>
        <v/>
      </c>
      <c r="O884" s="16" t="str">
        <f t="shared" si="165"/>
        <v/>
      </c>
      <c r="P884" s="16" t="str">
        <f t="shared" si="166"/>
        <v/>
      </c>
      <c r="Q884" s="18" t="str">
        <f t="shared" si="167"/>
        <v/>
      </c>
      <c r="R884" s="19" t="str">
        <f>IF(C884="","",IF(ISNA(MATCH(B884,'Registru oferte'!$B$5:$B$504,0)),"Oferta nu există în registru",IF(N(F884)&lt;=0,"Lipsește cantitatea",IF(AND(ISNUMBER(Q884),Q884&lt;MarjaMin),"Marjă sub minim ("&amp;TEXT(Q884*100,"0")&amp;"%)",""))))</f>
        <v/>
      </c>
      <c r="S884" s="1" t="str">
        <f>IF(B884="","",B884&amp;"|"&amp;COUNTIF($B$5:B884,B884))</f>
        <v/>
      </c>
    </row>
    <row r="885" spans="2:19" x14ac:dyDescent="0.2">
      <c r="B885" s="11"/>
      <c r="C885" s="11"/>
      <c r="D885" s="10" t="str">
        <f t="shared" si="156"/>
        <v/>
      </c>
      <c r="E885" s="15" t="str">
        <f t="shared" si="157"/>
        <v/>
      </c>
      <c r="F885" s="11"/>
      <c r="G885" s="16" t="str">
        <f t="shared" si="158"/>
        <v/>
      </c>
      <c r="H885" s="17"/>
      <c r="I885" s="16" t="str">
        <f t="shared" si="159"/>
        <v/>
      </c>
      <c r="J885" s="16" t="str">
        <f t="shared" si="160"/>
        <v/>
      </c>
      <c r="K885" s="18" t="str">
        <f t="shared" si="161"/>
        <v/>
      </c>
      <c r="L885" s="16" t="str">
        <f t="shared" si="162"/>
        <v/>
      </c>
      <c r="M885" s="16" t="str">
        <f t="shared" si="163"/>
        <v/>
      </c>
      <c r="N885" s="16" t="str">
        <f t="shared" si="164"/>
        <v/>
      </c>
      <c r="O885" s="16" t="str">
        <f t="shared" si="165"/>
        <v/>
      </c>
      <c r="P885" s="16" t="str">
        <f t="shared" si="166"/>
        <v/>
      </c>
      <c r="Q885" s="18" t="str">
        <f t="shared" si="167"/>
        <v/>
      </c>
      <c r="R885" s="19" t="str">
        <f>IF(C885="","",IF(ISNA(MATCH(B885,'Registru oferte'!$B$5:$B$504,0)),"Oferta nu există în registru",IF(N(F885)&lt;=0,"Lipsește cantitatea",IF(AND(ISNUMBER(Q885),Q885&lt;MarjaMin),"Marjă sub minim ("&amp;TEXT(Q885*100,"0")&amp;"%)",""))))</f>
        <v/>
      </c>
      <c r="S885" s="1" t="str">
        <f>IF(B885="","",B885&amp;"|"&amp;COUNTIF($B$5:B885,B885))</f>
        <v/>
      </c>
    </row>
    <row r="886" spans="2:19" x14ac:dyDescent="0.2">
      <c r="B886" s="11"/>
      <c r="C886" s="11"/>
      <c r="D886" s="10" t="str">
        <f t="shared" si="156"/>
        <v/>
      </c>
      <c r="E886" s="15" t="str">
        <f t="shared" si="157"/>
        <v/>
      </c>
      <c r="F886" s="11"/>
      <c r="G886" s="16" t="str">
        <f t="shared" si="158"/>
        <v/>
      </c>
      <c r="H886" s="17"/>
      <c r="I886" s="16" t="str">
        <f t="shared" si="159"/>
        <v/>
      </c>
      <c r="J886" s="16" t="str">
        <f t="shared" si="160"/>
        <v/>
      </c>
      <c r="K886" s="18" t="str">
        <f t="shared" si="161"/>
        <v/>
      </c>
      <c r="L886" s="16" t="str">
        <f t="shared" si="162"/>
        <v/>
      </c>
      <c r="M886" s="16" t="str">
        <f t="shared" si="163"/>
        <v/>
      </c>
      <c r="N886" s="16" t="str">
        <f t="shared" si="164"/>
        <v/>
      </c>
      <c r="O886" s="16" t="str">
        <f t="shared" si="165"/>
        <v/>
      </c>
      <c r="P886" s="16" t="str">
        <f t="shared" si="166"/>
        <v/>
      </c>
      <c r="Q886" s="18" t="str">
        <f t="shared" si="167"/>
        <v/>
      </c>
      <c r="R886" s="19" t="str">
        <f>IF(C886="","",IF(ISNA(MATCH(B886,'Registru oferte'!$B$5:$B$504,0)),"Oferta nu există în registru",IF(N(F886)&lt;=0,"Lipsește cantitatea",IF(AND(ISNUMBER(Q886),Q886&lt;MarjaMin),"Marjă sub minim ("&amp;TEXT(Q886*100,"0")&amp;"%)",""))))</f>
        <v/>
      </c>
      <c r="S886" s="1" t="str">
        <f>IF(B886="","",B886&amp;"|"&amp;COUNTIF($B$5:B886,B886))</f>
        <v/>
      </c>
    </row>
    <row r="887" spans="2:19" x14ac:dyDescent="0.2">
      <c r="B887" s="11"/>
      <c r="C887" s="11"/>
      <c r="D887" s="10" t="str">
        <f t="shared" si="156"/>
        <v/>
      </c>
      <c r="E887" s="15" t="str">
        <f t="shared" si="157"/>
        <v/>
      </c>
      <c r="F887" s="11"/>
      <c r="G887" s="16" t="str">
        <f t="shared" si="158"/>
        <v/>
      </c>
      <c r="H887" s="17"/>
      <c r="I887" s="16" t="str">
        <f t="shared" si="159"/>
        <v/>
      </c>
      <c r="J887" s="16" t="str">
        <f t="shared" si="160"/>
        <v/>
      </c>
      <c r="K887" s="18" t="str">
        <f t="shared" si="161"/>
        <v/>
      </c>
      <c r="L887" s="16" t="str">
        <f t="shared" si="162"/>
        <v/>
      </c>
      <c r="M887" s="16" t="str">
        <f t="shared" si="163"/>
        <v/>
      </c>
      <c r="N887" s="16" t="str">
        <f t="shared" si="164"/>
        <v/>
      </c>
      <c r="O887" s="16" t="str">
        <f t="shared" si="165"/>
        <v/>
      </c>
      <c r="P887" s="16" t="str">
        <f t="shared" si="166"/>
        <v/>
      </c>
      <c r="Q887" s="18" t="str">
        <f t="shared" si="167"/>
        <v/>
      </c>
      <c r="R887" s="19" t="str">
        <f>IF(C887="","",IF(ISNA(MATCH(B887,'Registru oferte'!$B$5:$B$504,0)),"Oferta nu există în registru",IF(N(F887)&lt;=0,"Lipsește cantitatea",IF(AND(ISNUMBER(Q887),Q887&lt;MarjaMin),"Marjă sub minim ("&amp;TEXT(Q887*100,"0")&amp;"%)",""))))</f>
        <v/>
      </c>
      <c r="S887" s="1" t="str">
        <f>IF(B887="","",B887&amp;"|"&amp;COUNTIF($B$5:B887,B887))</f>
        <v/>
      </c>
    </row>
    <row r="888" spans="2:19" x14ac:dyDescent="0.2">
      <c r="B888" s="11"/>
      <c r="C888" s="11"/>
      <c r="D888" s="10" t="str">
        <f t="shared" si="156"/>
        <v/>
      </c>
      <c r="E888" s="15" t="str">
        <f t="shared" si="157"/>
        <v/>
      </c>
      <c r="F888" s="11"/>
      <c r="G888" s="16" t="str">
        <f t="shared" si="158"/>
        <v/>
      </c>
      <c r="H888" s="17"/>
      <c r="I888" s="16" t="str">
        <f t="shared" si="159"/>
        <v/>
      </c>
      <c r="J888" s="16" t="str">
        <f t="shared" si="160"/>
        <v/>
      </c>
      <c r="K888" s="18" t="str">
        <f t="shared" si="161"/>
        <v/>
      </c>
      <c r="L888" s="16" t="str">
        <f t="shared" si="162"/>
        <v/>
      </c>
      <c r="M888" s="16" t="str">
        <f t="shared" si="163"/>
        <v/>
      </c>
      <c r="N888" s="16" t="str">
        <f t="shared" si="164"/>
        <v/>
      </c>
      <c r="O888" s="16" t="str">
        <f t="shared" si="165"/>
        <v/>
      </c>
      <c r="P888" s="16" t="str">
        <f t="shared" si="166"/>
        <v/>
      </c>
      <c r="Q888" s="18" t="str">
        <f t="shared" si="167"/>
        <v/>
      </c>
      <c r="R888" s="19" t="str">
        <f>IF(C888="","",IF(ISNA(MATCH(B888,'Registru oferte'!$B$5:$B$504,0)),"Oferta nu există în registru",IF(N(F888)&lt;=0,"Lipsește cantitatea",IF(AND(ISNUMBER(Q888),Q888&lt;MarjaMin),"Marjă sub minim ("&amp;TEXT(Q888*100,"0")&amp;"%)",""))))</f>
        <v/>
      </c>
      <c r="S888" s="1" t="str">
        <f>IF(B888="","",B888&amp;"|"&amp;COUNTIF($B$5:B888,B888))</f>
        <v/>
      </c>
    </row>
    <row r="889" spans="2:19" x14ac:dyDescent="0.2">
      <c r="B889" s="11"/>
      <c r="C889" s="11"/>
      <c r="D889" s="10" t="str">
        <f t="shared" si="156"/>
        <v/>
      </c>
      <c r="E889" s="15" t="str">
        <f t="shared" si="157"/>
        <v/>
      </c>
      <c r="F889" s="11"/>
      <c r="G889" s="16" t="str">
        <f t="shared" si="158"/>
        <v/>
      </c>
      <c r="H889" s="17"/>
      <c r="I889" s="16" t="str">
        <f t="shared" si="159"/>
        <v/>
      </c>
      <c r="J889" s="16" t="str">
        <f t="shared" si="160"/>
        <v/>
      </c>
      <c r="K889" s="18" t="str">
        <f t="shared" si="161"/>
        <v/>
      </c>
      <c r="L889" s="16" t="str">
        <f t="shared" si="162"/>
        <v/>
      </c>
      <c r="M889" s="16" t="str">
        <f t="shared" si="163"/>
        <v/>
      </c>
      <c r="N889" s="16" t="str">
        <f t="shared" si="164"/>
        <v/>
      </c>
      <c r="O889" s="16" t="str">
        <f t="shared" si="165"/>
        <v/>
      </c>
      <c r="P889" s="16" t="str">
        <f t="shared" si="166"/>
        <v/>
      </c>
      <c r="Q889" s="18" t="str">
        <f t="shared" si="167"/>
        <v/>
      </c>
      <c r="R889" s="19" t="str">
        <f>IF(C889="","",IF(ISNA(MATCH(B889,'Registru oferte'!$B$5:$B$504,0)),"Oferta nu există în registru",IF(N(F889)&lt;=0,"Lipsește cantitatea",IF(AND(ISNUMBER(Q889),Q889&lt;MarjaMin),"Marjă sub minim ("&amp;TEXT(Q889*100,"0")&amp;"%)",""))))</f>
        <v/>
      </c>
      <c r="S889" s="1" t="str">
        <f>IF(B889="","",B889&amp;"|"&amp;COUNTIF($B$5:B889,B889))</f>
        <v/>
      </c>
    </row>
    <row r="890" spans="2:19" x14ac:dyDescent="0.2">
      <c r="B890" s="11"/>
      <c r="C890" s="11"/>
      <c r="D890" s="10" t="str">
        <f t="shared" si="156"/>
        <v/>
      </c>
      <c r="E890" s="15" t="str">
        <f t="shared" si="157"/>
        <v/>
      </c>
      <c r="F890" s="11"/>
      <c r="G890" s="16" t="str">
        <f t="shared" si="158"/>
        <v/>
      </c>
      <c r="H890" s="17"/>
      <c r="I890" s="16" t="str">
        <f t="shared" si="159"/>
        <v/>
      </c>
      <c r="J890" s="16" t="str">
        <f t="shared" si="160"/>
        <v/>
      </c>
      <c r="K890" s="18" t="str">
        <f t="shared" si="161"/>
        <v/>
      </c>
      <c r="L890" s="16" t="str">
        <f t="shared" si="162"/>
        <v/>
      </c>
      <c r="M890" s="16" t="str">
        <f t="shared" si="163"/>
        <v/>
      </c>
      <c r="N890" s="16" t="str">
        <f t="shared" si="164"/>
        <v/>
      </c>
      <c r="O890" s="16" t="str">
        <f t="shared" si="165"/>
        <v/>
      </c>
      <c r="P890" s="16" t="str">
        <f t="shared" si="166"/>
        <v/>
      </c>
      <c r="Q890" s="18" t="str">
        <f t="shared" si="167"/>
        <v/>
      </c>
      <c r="R890" s="19" t="str">
        <f>IF(C890="","",IF(ISNA(MATCH(B890,'Registru oferte'!$B$5:$B$504,0)),"Oferta nu există în registru",IF(N(F890)&lt;=0,"Lipsește cantitatea",IF(AND(ISNUMBER(Q890),Q890&lt;MarjaMin),"Marjă sub minim ("&amp;TEXT(Q890*100,"0")&amp;"%)",""))))</f>
        <v/>
      </c>
      <c r="S890" s="1" t="str">
        <f>IF(B890="","",B890&amp;"|"&amp;COUNTIF($B$5:B890,B890))</f>
        <v/>
      </c>
    </row>
    <row r="891" spans="2:19" x14ac:dyDescent="0.2">
      <c r="B891" s="11"/>
      <c r="C891" s="11"/>
      <c r="D891" s="10" t="str">
        <f t="shared" si="156"/>
        <v/>
      </c>
      <c r="E891" s="15" t="str">
        <f t="shared" si="157"/>
        <v/>
      </c>
      <c r="F891" s="11"/>
      <c r="G891" s="16" t="str">
        <f t="shared" si="158"/>
        <v/>
      </c>
      <c r="H891" s="17"/>
      <c r="I891" s="16" t="str">
        <f t="shared" si="159"/>
        <v/>
      </c>
      <c r="J891" s="16" t="str">
        <f t="shared" si="160"/>
        <v/>
      </c>
      <c r="K891" s="18" t="str">
        <f t="shared" si="161"/>
        <v/>
      </c>
      <c r="L891" s="16" t="str">
        <f t="shared" si="162"/>
        <v/>
      </c>
      <c r="M891" s="16" t="str">
        <f t="shared" si="163"/>
        <v/>
      </c>
      <c r="N891" s="16" t="str">
        <f t="shared" si="164"/>
        <v/>
      </c>
      <c r="O891" s="16" t="str">
        <f t="shared" si="165"/>
        <v/>
      </c>
      <c r="P891" s="16" t="str">
        <f t="shared" si="166"/>
        <v/>
      </c>
      <c r="Q891" s="18" t="str">
        <f t="shared" si="167"/>
        <v/>
      </c>
      <c r="R891" s="19" t="str">
        <f>IF(C891="","",IF(ISNA(MATCH(B891,'Registru oferte'!$B$5:$B$504,0)),"Oferta nu există în registru",IF(N(F891)&lt;=0,"Lipsește cantitatea",IF(AND(ISNUMBER(Q891),Q891&lt;MarjaMin),"Marjă sub minim ("&amp;TEXT(Q891*100,"0")&amp;"%)",""))))</f>
        <v/>
      </c>
      <c r="S891" s="1" t="str">
        <f>IF(B891="","",B891&amp;"|"&amp;COUNTIF($B$5:B891,B891))</f>
        <v/>
      </c>
    </row>
    <row r="892" spans="2:19" x14ac:dyDescent="0.2">
      <c r="B892" s="11"/>
      <c r="C892" s="11"/>
      <c r="D892" s="10" t="str">
        <f t="shared" si="156"/>
        <v/>
      </c>
      <c r="E892" s="15" t="str">
        <f t="shared" si="157"/>
        <v/>
      </c>
      <c r="F892" s="11"/>
      <c r="G892" s="16" t="str">
        <f t="shared" si="158"/>
        <v/>
      </c>
      <c r="H892" s="17"/>
      <c r="I892" s="16" t="str">
        <f t="shared" si="159"/>
        <v/>
      </c>
      <c r="J892" s="16" t="str">
        <f t="shared" si="160"/>
        <v/>
      </c>
      <c r="K892" s="18" t="str">
        <f t="shared" si="161"/>
        <v/>
      </c>
      <c r="L892" s="16" t="str">
        <f t="shared" si="162"/>
        <v/>
      </c>
      <c r="M892" s="16" t="str">
        <f t="shared" si="163"/>
        <v/>
      </c>
      <c r="N892" s="16" t="str">
        <f t="shared" si="164"/>
        <v/>
      </c>
      <c r="O892" s="16" t="str">
        <f t="shared" si="165"/>
        <v/>
      </c>
      <c r="P892" s="16" t="str">
        <f t="shared" si="166"/>
        <v/>
      </c>
      <c r="Q892" s="18" t="str">
        <f t="shared" si="167"/>
        <v/>
      </c>
      <c r="R892" s="19" t="str">
        <f>IF(C892="","",IF(ISNA(MATCH(B892,'Registru oferte'!$B$5:$B$504,0)),"Oferta nu există în registru",IF(N(F892)&lt;=0,"Lipsește cantitatea",IF(AND(ISNUMBER(Q892),Q892&lt;MarjaMin),"Marjă sub minim ("&amp;TEXT(Q892*100,"0")&amp;"%)",""))))</f>
        <v/>
      </c>
      <c r="S892" s="1" t="str">
        <f>IF(B892="","",B892&amp;"|"&amp;COUNTIF($B$5:B892,B892))</f>
        <v/>
      </c>
    </row>
    <row r="893" spans="2:19" x14ac:dyDescent="0.2">
      <c r="B893" s="11"/>
      <c r="C893" s="11"/>
      <c r="D893" s="10" t="str">
        <f t="shared" si="156"/>
        <v/>
      </c>
      <c r="E893" s="15" t="str">
        <f t="shared" si="157"/>
        <v/>
      </c>
      <c r="F893" s="11"/>
      <c r="G893" s="16" t="str">
        <f t="shared" si="158"/>
        <v/>
      </c>
      <c r="H893" s="17"/>
      <c r="I893" s="16" t="str">
        <f t="shared" si="159"/>
        <v/>
      </c>
      <c r="J893" s="16" t="str">
        <f t="shared" si="160"/>
        <v/>
      </c>
      <c r="K893" s="18" t="str">
        <f t="shared" si="161"/>
        <v/>
      </c>
      <c r="L893" s="16" t="str">
        <f t="shared" si="162"/>
        <v/>
      </c>
      <c r="M893" s="16" t="str">
        <f t="shared" si="163"/>
        <v/>
      </c>
      <c r="N893" s="16" t="str">
        <f t="shared" si="164"/>
        <v/>
      </c>
      <c r="O893" s="16" t="str">
        <f t="shared" si="165"/>
        <v/>
      </c>
      <c r="P893" s="16" t="str">
        <f t="shared" si="166"/>
        <v/>
      </c>
      <c r="Q893" s="18" t="str">
        <f t="shared" si="167"/>
        <v/>
      </c>
      <c r="R893" s="19" t="str">
        <f>IF(C893="","",IF(ISNA(MATCH(B893,'Registru oferte'!$B$5:$B$504,0)),"Oferta nu există în registru",IF(N(F893)&lt;=0,"Lipsește cantitatea",IF(AND(ISNUMBER(Q893),Q893&lt;MarjaMin),"Marjă sub minim ("&amp;TEXT(Q893*100,"0")&amp;"%)",""))))</f>
        <v/>
      </c>
      <c r="S893" s="1" t="str">
        <f>IF(B893="","",B893&amp;"|"&amp;COUNTIF($B$5:B893,B893))</f>
        <v/>
      </c>
    </row>
    <row r="894" spans="2:19" x14ac:dyDescent="0.2">
      <c r="B894" s="11"/>
      <c r="C894" s="11"/>
      <c r="D894" s="10" t="str">
        <f t="shared" si="156"/>
        <v/>
      </c>
      <c r="E894" s="15" t="str">
        <f t="shared" si="157"/>
        <v/>
      </c>
      <c r="F894" s="11"/>
      <c r="G894" s="16" t="str">
        <f t="shared" si="158"/>
        <v/>
      </c>
      <c r="H894" s="17"/>
      <c r="I894" s="16" t="str">
        <f t="shared" si="159"/>
        <v/>
      </c>
      <c r="J894" s="16" t="str">
        <f t="shared" si="160"/>
        <v/>
      </c>
      <c r="K894" s="18" t="str">
        <f t="shared" si="161"/>
        <v/>
      </c>
      <c r="L894" s="16" t="str">
        <f t="shared" si="162"/>
        <v/>
      </c>
      <c r="M894" s="16" t="str">
        <f t="shared" si="163"/>
        <v/>
      </c>
      <c r="N894" s="16" t="str">
        <f t="shared" si="164"/>
        <v/>
      </c>
      <c r="O894" s="16" t="str">
        <f t="shared" si="165"/>
        <v/>
      </c>
      <c r="P894" s="16" t="str">
        <f t="shared" si="166"/>
        <v/>
      </c>
      <c r="Q894" s="18" t="str">
        <f t="shared" si="167"/>
        <v/>
      </c>
      <c r="R894" s="19" t="str">
        <f>IF(C894="","",IF(ISNA(MATCH(B894,'Registru oferte'!$B$5:$B$504,0)),"Oferta nu există în registru",IF(N(F894)&lt;=0,"Lipsește cantitatea",IF(AND(ISNUMBER(Q894),Q894&lt;MarjaMin),"Marjă sub minim ("&amp;TEXT(Q894*100,"0")&amp;"%)",""))))</f>
        <v/>
      </c>
      <c r="S894" s="1" t="str">
        <f>IF(B894="","",B894&amp;"|"&amp;COUNTIF($B$5:B894,B894))</f>
        <v/>
      </c>
    </row>
    <row r="895" spans="2:19" x14ac:dyDescent="0.2">
      <c r="B895" s="11"/>
      <c r="C895" s="11"/>
      <c r="D895" s="10" t="str">
        <f t="shared" si="156"/>
        <v/>
      </c>
      <c r="E895" s="15" t="str">
        <f t="shared" si="157"/>
        <v/>
      </c>
      <c r="F895" s="11"/>
      <c r="G895" s="16" t="str">
        <f t="shared" si="158"/>
        <v/>
      </c>
      <c r="H895" s="17"/>
      <c r="I895" s="16" t="str">
        <f t="shared" si="159"/>
        <v/>
      </c>
      <c r="J895" s="16" t="str">
        <f t="shared" si="160"/>
        <v/>
      </c>
      <c r="K895" s="18" t="str">
        <f t="shared" si="161"/>
        <v/>
      </c>
      <c r="L895" s="16" t="str">
        <f t="shared" si="162"/>
        <v/>
      </c>
      <c r="M895" s="16" t="str">
        <f t="shared" si="163"/>
        <v/>
      </c>
      <c r="N895" s="16" t="str">
        <f t="shared" si="164"/>
        <v/>
      </c>
      <c r="O895" s="16" t="str">
        <f t="shared" si="165"/>
        <v/>
      </c>
      <c r="P895" s="16" t="str">
        <f t="shared" si="166"/>
        <v/>
      </c>
      <c r="Q895" s="18" t="str">
        <f t="shared" si="167"/>
        <v/>
      </c>
      <c r="R895" s="19" t="str">
        <f>IF(C895="","",IF(ISNA(MATCH(B895,'Registru oferte'!$B$5:$B$504,0)),"Oferta nu există în registru",IF(N(F895)&lt;=0,"Lipsește cantitatea",IF(AND(ISNUMBER(Q895),Q895&lt;MarjaMin),"Marjă sub minim ("&amp;TEXT(Q895*100,"0")&amp;"%)",""))))</f>
        <v/>
      </c>
      <c r="S895" s="1" t="str">
        <f>IF(B895="","",B895&amp;"|"&amp;COUNTIF($B$5:B895,B895))</f>
        <v/>
      </c>
    </row>
    <row r="896" spans="2:19" x14ac:dyDescent="0.2">
      <c r="B896" s="11"/>
      <c r="C896" s="11"/>
      <c r="D896" s="10" t="str">
        <f t="shared" si="156"/>
        <v/>
      </c>
      <c r="E896" s="15" t="str">
        <f t="shared" si="157"/>
        <v/>
      </c>
      <c r="F896" s="11"/>
      <c r="G896" s="16" t="str">
        <f t="shared" si="158"/>
        <v/>
      </c>
      <c r="H896" s="17"/>
      <c r="I896" s="16" t="str">
        <f t="shared" si="159"/>
        <v/>
      </c>
      <c r="J896" s="16" t="str">
        <f t="shared" si="160"/>
        <v/>
      </c>
      <c r="K896" s="18" t="str">
        <f t="shared" si="161"/>
        <v/>
      </c>
      <c r="L896" s="16" t="str">
        <f t="shared" si="162"/>
        <v/>
      </c>
      <c r="M896" s="16" t="str">
        <f t="shared" si="163"/>
        <v/>
      </c>
      <c r="N896" s="16" t="str">
        <f t="shared" si="164"/>
        <v/>
      </c>
      <c r="O896" s="16" t="str">
        <f t="shared" si="165"/>
        <v/>
      </c>
      <c r="P896" s="16" t="str">
        <f t="shared" si="166"/>
        <v/>
      </c>
      <c r="Q896" s="18" t="str">
        <f t="shared" si="167"/>
        <v/>
      </c>
      <c r="R896" s="19" t="str">
        <f>IF(C896="","",IF(ISNA(MATCH(B896,'Registru oferte'!$B$5:$B$504,0)),"Oferta nu există în registru",IF(N(F896)&lt;=0,"Lipsește cantitatea",IF(AND(ISNUMBER(Q896),Q896&lt;MarjaMin),"Marjă sub minim ("&amp;TEXT(Q896*100,"0")&amp;"%)",""))))</f>
        <v/>
      </c>
      <c r="S896" s="1" t="str">
        <f>IF(B896="","",B896&amp;"|"&amp;COUNTIF($B$5:B896,B896))</f>
        <v/>
      </c>
    </row>
    <row r="897" spans="2:19" x14ac:dyDescent="0.2">
      <c r="B897" s="11"/>
      <c r="C897" s="11"/>
      <c r="D897" s="10" t="str">
        <f t="shared" si="156"/>
        <v/>
      </c>
      <c r="E897" s="15" t="str">
        <f t="shared" si="157"/>
        <v/>
      </c>
      <c r="F897" s="11"/>
      <c r="G897" s="16" t="str">
        <f t="shared" si="158"/>
        <v/>
      </c>
      <c r="H897" s="17"/>
      <c r="I897" s="16" t="str">
        <f t="shared" si="159"/>
        <v/>
      </c>
      <c r="J897" s="16" t="str">
        <f t="shared" si="160"/>
        <v/>
      </c>
      <c r="K897" s="18" t="str">
        <f t="shared" si="161"/>
        <v/>
      </c>
      <c r="L897" s="16" t="str">
        <f t="shared" si="162"/>
        <v/>
      </c>
      <c r="M897" s="16" t="str">
        <f t="shared" si="163"/>
        <v/>
      </c>
      <c r="N897" s="16" t="str">
        <f t="shared" si="164"/>
        <v/>
      </c>
      <c r="O897" s="16" t="str">
        <f t="shared" si="165"/>
        <v/>
      </c>
      <c r="P897" s="16" t="str">
        <f t="shared" si="166"/>
        <v/>
      </c>
      <c r="Q897" s="18" t="str">
        <f t="shared" si="167"/>
        <v/>
      </c>
      <c r="R897" s="19" t="str">
        <f>IF(C897="","",IF(ISNA(MATCH(B897,'Registru oferte'!$B$5:$B$504,0)),"Oferta nu există în registru",IF(N(F897)&lt;=0,"Lipsește cantitatea",IF(AND(ISNUMBER(Q897),Q897&lt;MarjaMin),"Marjă sub minim ("&amp;TEXT(Q897*100,"0")&amp;"%)",""))))</f>
        <v/>
      </c>
      <c r="S897" s="1" t="str">
        <f>IF(B897="","",B897&amp;"|"&amp;COUNTIF($B$5:B897,B897))</f>
        <v/>
      </c>
    </row>
    <row r="898" spans="2:19" x14ac:dyDescent="0.2">
      <c r="B898" s="11"/>
      <c r="C898" s="11"/>
      <c r="D898" s="10" t="str">
        <f t="shared" si="156"/>
        <v/>
      </c>
      <c r="E898" s="15" t="str">
        <f t="shared" si="157"/>
        <v/>
      </c>
      <c r="F898" s="11"/>
      <c r="G898" s="16" t="str">
        <f t="shared" si="158"/>
        <v/>
      </c>
      <c r="H898" s="17"/>
      <c r="I898" s="16" t="str">
        <f t="shared" si="159"/>
        <v/>
      </c>
      <c r="J898" s="16" t="str">
        <f t="shared" si="160"/>
        <v/>
      </c>
      <c r="K898" s="18" t="str">
        <f t="shared" si="161"/>
        <v/>
      </c>
      <c r="L898" s="16" t="str">
        <f t="shared" si="162"/>
        <v/>
      </c>
      <c r="M898" s="16" t="str">
        <f t="shared" si="163"/>
        <v/>
      </c>
      <c r="N898" s="16" t="str">
        <f t="shared" si="164"/>
        <v/>
      </c>
      <c r="O898" s="16" t="str">
        <f t="shared" si="165"/>
        <v/>
      </c>
      <c r="P898" s="16" t="str">
        <f t="shared" si="166"/>
        <v/>
      </c>
      <c r="Q898" s="18" t="str">
        <f t="shared" si="167"/>
        <v/>
      </c>
      <c r="R898" s="19" t="str">
        <f>IF(C898="","",IF(ISNA(MATCH(B898,'Registru oferte'!$B$5:$B$504,0)),"Oferta nu există în registru",IF(N(F898)&lt;=0,"Lipsește cantitatea",IF(AND(ISNUMBER(Q898),Q898&lt;MarjaMin),"Marjă sub minim ("&amp;TEXT(Q898*100,"0")&amp;"%)",""))))</f>
        <v/>
      </c>
      <c r="S898" s="1" t="str">
        <f>IF(B898="","",B898&amp;"|"&amp;COUNTIF($B$5:B898,B898))</f>
        <v/>
      </c>
    </row>
    <row r="899" spans="2:19" x14ac:dyDescent="0.2">
      <c r="B899" s="11"/>
      <c r="C899" s="11"/>
      <c r="D899" s="10" t="str">
        <f t="shared" si="156"/>
        <v/>
      </c>
      <c r="E899" s="15" t="str">
        <f t="shared" si="157"/>
        <v/>
      </c>
      <c r="F899" s="11"/>
      <c r="G899" s="16" t="str">
        <f t="shared" si="158"/>
        <v/>
      </c>
      <c r="H899" s="17"/>
      <c r="I899" s="16" t="str">
        <f t="shared" si="159"/>
        <v/>
      </c>
      <c r="J899" s="16" t="str">
        <f t="shared" si="160"/>
        <v/>
      </c>
      <c r="K899" s="18" t="str">
        <f t="shared" si="161"/>
        <v/>
      </c>
      <c r="L899" s="16" t="str">
        <f t="shared" si="162"/>
        <v/>
      </c>
      <c r="M899" s="16" t="str">
        <f t="shared" si="163"/>
        <v/>
      </c>
      <c r="N899" s="16" t="str">
        <f t="shared" si="164"/>
        <v/>
      </c>
      <c r="O899" s="16" t="str">
        <f t="shared" si="165"/>
        <v/>
      </c>
      <c r="P899" s="16" t="str">
        <f t="shared" si="166"/>
        <v/>
      </c>
      <c r="Q899" s="18" t="str">
        <f t="shared" si="167"/>
        <v/>
      </c>
      <c r="R899" s="19" t="str">
        <f>IF(C899="","",IF(ISNA(MATCH(B899,'Registru oferte'!$B$5:$B$504,0)),"Oferta nu există în registru",IF(N(F899)&lt;=0,"Lipsește cantitatea",IF(AND(ISNUMBER(Q899),Q899&lt;MarjaMin),"Marjă sub minim ("&amp;TEXT(Q899*100,"0")&amp;"%)",""))))</f>
        <v/>
      </c>
      <c r="S899" s="1" t="str">
        <f>IF(B899="","",B899&amp;"|"&amp;COUNTIF($B$5:B899,B899))</f>
        <v/>
      </c>
    </row>
    <row r="900" spans="2:19" x14ac:dyDescent="0.2">
      <c r="B900" s="11"/>
      <c r="C900" s="11"/>
      <c r="D900" s="10" t="str">
        <f t="shared" si="156"/>
        <v/>
      </c>
      <c r="E900" s="15" t="str">
        <f t="shared" si="157"/>
        <v/>
      </c>
      <c r="F900" s="11"/>
      <c r="G900" s="16" t="str">
        <f t="shared" si="158"/>
        <v/>
      </c>
      <c r="H900" s="17"/>
      <c r="I900" s="16" t="str">
        <f t="shared" si="159"/>
        <v/>
      </c>
      <c r="J900" s="16" t="str">
        <f t="shared" si="160"/>
        <v/>
      </c>
      <c r="K900" s="18" t="str">
        <f t="shared" si="161"/>
        <v/>
      </c>
      <c r="L900" s="16" t="str">
        <f t="shared" si="162"/>
        <v/>
      </c>
      <c r="M900" s="16" t="str">
        <f t="shared" si="163"/>
        <v/>
      </c>
      <c r="N900" s="16" t="str">
        <f t="shared" si="164"/>
        <v/>
      </c>
      <c r="O900" s="16" t="str">
        <f t="shared" si="165"/>
        <v/>
      </c>
      <c r="P900" s="16" t="str">
        <f t="shared" si="166"/>
        <v/>
      </c>
      <c r="Q900" s="18" t="str">
        <f t="shared" si="167"/>
        <v/>
      </c>
      <c r="R900" s="19" t="str">
        <f>IF(C900="","",IF(ISNA(MATCH(B900,'Registru oferte'!$B$5:$B$504,0)),"Oferta nu există în registru",IF(N(F900)&lt;=0,"Lipsește cantitatea",IF(AND(ISNUMBER(Q900),Q900&lt;MarjaMin),"Marjă sub minim ("&amp;TEXT(Q900*100,"0")&amp;"%)",""))))</f>
        <v/>
      </c>
      <c r="S900" s="1" t="str">
        <f>IF(B900="","",B900&amp;"|"&amp;COUNTIF($B$5:B900,B900))</f>
        <v/>
      </c>
    </row>
    <row r="901" spans="2:19" x14ac:dyDescent="0.2">
      <c r="B901" s="11"/>
      <c r="C901" s="11"/>
      <c r="D901" s="10" t="str">
        <f t="shared" ref="D901:D964" si="168">IF(C901="","",IFERROR(VLOOKUP(C901,TabCat,2,FALSE),"Cod inexistent"))</f>
        <v/>
      </c>
      <c r="E901" s="15" t="str">
        <f t="shared" ref="E901:E964" si="169">IF(C901="","",IFERROR(VLOOKUP(C901,TabCat,3,FALSE),""))</f>
        <v/>
      </c>
      <c r="F901" s="11"/>
      <c r="G901" s="16" t="str">
        <f t="shared" ref="G901:G964" si="170">IF(C901="","",IFERROR(VLOOKUP(C901,TabCat,4,FALSE),0))</f>
        <v/>
      </c>
      <c r="H901" s="17"/>
      <c r="I901" s="16" t="str">
        <f t="shared" ref="I901:I964" si="171">IF(C901="","",ROUND(G901*(1-N(H901)),2))</f>
        <v/>
      </c>
      <c r="J901" s="16" t="str">
        <f t="shared" ref="J901:J964" si="172">IF(C901="","",ROUND(I901*N(F901),2))</f>
        <v/>
      </c>
      <c r="K901" s="18" t="str">
        <f t="shared" ref="K901:K964" si="173">IF(C901="","",IFERROR(VLOOKUP(C901,TabCat,6,FALSE),0))</f>
        <v/>
      </c>
      <c r="L901" s="16" t="str">
        <f t="shared" ref="L901:L964" si="174">IF(C901="","",ROUND(J901*K901,2))</f>
        <v/>
      </c>
      <c r="M901" s="16" t="str">
        <f t="shared" ref="M901:M964" si="175">IF(C901="","",J901+L901)</f>
        <v/>
      </c>
      <c r="N901" s="16" t="str">
        <f t="shared" ref="N901:N964" si="176">IF(C901="","",IFERROR(VLOOKUP(C901,TabCat,5,FALSE),0))</f>
        <v/>
      </c>
      <c r="O901" s="16" t="str">
        <f t="shared" ref="O901:O964" si="177">IF(C901="","",ROUND(N901*N(F901),2))</f>
        <v/>
      </c>
      <c r="P901" s="16" t="str">
        <f t="shared" ref="P901:P964" si="178">IF(C901="","",J901-O901)</f>
        <v/>
      </c>
      <c r="Q901" s="18" t="str">
        <f t="shared" ref="Q901:Q964" si="179">IF(OR(C901="",N(J901)=0),"",P901/J901)</f>
        <v/>
      </c>
      <c r="R901" s="19" t="str">
        <f>IF(C901="","",IF(ISNA(MATCH(B901,'Registru oferte'!$B$5:$B$504,0)),"Oferta nu există în registru",IF(N(F901)&lt;=0,"Lipsește cantitatea",IF(AND(ISNUMBER(Q901),Q901&lt;MarjaMin),"Marjă sub minim ("&amp;TEXT(Q901*100,"0")&amp;"%)",""))))</f>
        <v/>
      </c>
      <c r="S901" s="1" t="str">
        <f>IF(B901="","",B901&amp;"|"&amp;COUNTIF($B$5:B901,B901))</f>
        <v/>
      </c>
    </row>
    <row r="902" spans="2:19" x14ac:dyDescent="0.2">
      <c r="B902" s="11"/>
      <c r="C902" s="11"/>
      <c r="D902" s="10" t="str">
        <f t="shared" si="168"/>
        <v/>
      </c>
      <c r="E902" s="15" t="str">
        <f t="shared" si="169"/>
        <v/>
      </c>
      <c r="F902" s="11"/>
      <c r="G902" s="16" t="str">
        <f t="shared" si="170"/>
        <v/>
      </c>
      <c r="H902" s="17"/>
      <c r="I902" s="16" t="str">
        <f t="shared" si="171"/>
        <v/>
      </c>
      <c r="J902" s="16" t="str">
        <f t="shared" si="172"/>
        <v/>
      </c>
      <c r="K902" s="18" t="str">
        <f t="shared" si="173"/>
        <v/>
      </c>
      <c r="L902" s="16" t="str">
        <f t="shared" si="174"/>
        <v/>
      </c>
      <c r="M902" s="16" t="str">
        <f t="shared" si="175"/>
        <v/>
      </c>
      <c r="N902" s="16" t="str">
        <f t="shared" si="176"/>
        <v/>
      </c>
      <c r="O902" s="16" t="str">
        <f t="shared" si="177"/>
        <v/>
      </c>
      <c r="P902" s="16" t="str">
        <f t="shared" si="178"/>
        <v/>
      </c>
      <c r="Q902" s="18" t="str">
        <f t="shared" si="179"/>
        <v/>
      </c>
      <c r="R902" s="19" t="str">
        <f>IF(C902="","",IF(ISNA(MATCH(B902,'Registru oferte'!$B$5:$B$504,0)),"Oferta nu există în registru",IF(N(F902)&lt;=0,"Lipsește cantitatea",IF(AND(ISNUMBER(Q902),Q902&lt;MarjaMin),"Marjă sub minim ("&amp;TEXT(Q902*100,"0")&amp;"%)",""))))</f>
        <v/>
      </c>
      <c r="S902" s="1" t="str">
        <f>IF(B902="","",B902&amp;"|"&amp;COUNTIF($B$5:B902,B902))</f>
        <v/>
      </c>
    </row>
    <row r="903" spans="2:19" x14ac:dyDescent="0.2">
      <c r="B903" s="11"/>
      <c r="C903" s="11"/>
      <c r="D903" s="10" t="str">
        <f t="shared" si="168"/>
        <v/>
      </c>
      <c r="E903" s="15" t="str">
        <f t="shared" si="169"/>
        <v/>
      </c>
      <c r="F903" s="11"/>
      <c r="G903" s="16" t="str">
        <f t="shared" si="170"/>
        <v/>
      </c>
      <c r="H903" s="17"/>
      <c r="I903" s="16" t="str">
        <f t="shared" si="171"/>
        <v/>
      </c>
      <c r="J903" s="16" t="str">
        <f t="shared" si="172"/>
        <v/>
      </c>
      <c r="K903" s="18" t="str">
        <f t="shared" si="173"/>
        <v/>
      </c>
      <c r="L903" s="16" t="str">
        <f t="shared" si="174"/>
        <v/>
      </c>
      <c r="M903" s="16" t="str">
        <f t="shared" si="175"/>
        <v/>
      </c>
      <c r="N903" s="16" t="str">
        <f t="shared" si="176"/>
        <v/>
      </c>
      <c r="O903" s="16" t="str">
        <f t="shared" si="177"/>
        <v/>
      </c>
      <c r="P903" s="16" t="str">
        <f t="shared" si="178"/>
        <v/>
      </c>
      <c r="Q903" s="18" t="str">
        <f t="shared" si="179"/>
        <v/>
      </c>
      <c r="R903" s="19" t="str">
        <f>IF(C903="","",IF(ISNA(MATCH(B903,'Registru oferte'!$B$5:$B$504,0)),"Oferta nu există în registru",IF(N(F903)&lt;=0,"Lipsește cantitatea",IF(AND(ISNUMBER(Q903),Q903&lt;MarjaMin),"Marjă sub minim ("&amp;TEXT(Q903*100,"0")&amp;"%)",""))))</f>
        <v/>
      </c>
      <c r="S903" s="1" t="str">
        <f>IF(B903="","",B903&amp;"|"&amp;COUNTIF($B$5:B903,B903))</f>
        <v/>
      </c>
    </row>
    <row r="904" spans="2:19" x14ac:dyDescent="0.2">
      <c r="B904" s="11"/>
      <c r="C904" s="11"/>
      <c r="D904" s="10" t="str">
        <f t="shared" si="168"/>
        <v/>
      </c>
      <c r="E904" s="15" t="str">
        <f t="shared" si="169"/>
        <v/>
      </c>
      <c r="F904" s="11"/>
      <c r="G904" s="16" t="str">
        <f t="shared" si="170"/>
        <v/>
      </c>
      <c r="H904" s="17"/>
      <c r="I904" s="16" t="str">
        <f t="shared" si="171"/>
        <v/>
      </c>
      <c r="J904" s="16" t="str">
        <f t="shared" si="172"/>
        <v/>
      </c>
      <c r="K904" s="18" t="str">
        <f t="shared" si="173"/>
        <v/>
      </c>
      <c r="L904" s="16" t="str">
        <f t="shared" si="174"/>
        <v/>
      </c>
      <c r="M904" s="16" t="str">
        <f t="shared" si="175"/>
        <v/>
      </c>
      <c r="N904" s="16" t="str">
        <f t="shared" si="176"/>
        <v/>
      </c>
      <c r="O904" s="16" t="str">
        <f t="shared" si="177"/>
        <v/>
      </c>
      <c r="P904" s="16" t="str">
        <f t="shared" si="178"/>
        <v/>
      </c>
      <c r="Q904" s="18" t="str">
        <f t="shared" si="179"/>
        <v/>
      </c>
      <c r="R904" s="19" t="str">
        <f>IF(C904="","",IF(ISNA(MATCH(B904,'Registru oferte'!$B$5:$B$504,0)),"Oferta nu există în registru",IF(N(F904)&lt;=0,"Lipsește cantitatea",IF(AND(ISNUMBER(Q904),Q904&lt;MarjaMin),"Marjă sub minim ("&amp;TEXT(Q904*100,"0")&amp;"%)",""))))</f>
        <v/>
      </c>
      <c r="S904" s="1" t="str">
        <f>IF(B904="","",B904&amp;"|"&amp;COUNTIF($B$5:B904,B904))</f>
        <v/>
      </c>
    </row>
    <row r="905" spans="2:19" x14ac:dyDescent="0.2">
      <c r="B905" s="11"/>
      <c r="C905" s="11"/>
      <c r="D905" s="10" t="str">
        <f t="shared" si="168"/>
        <v/>
      </c>
      <c r="E905" s="15" t="str">
        <f t="shared" si="169"/>
        <v/>
      </c>
      <c r="F905" s="11"/>
      <c r="G905" s="16" t="str">
        <f t="shared" si="170"/>
        <v/>
      </c>
      <c r="H905" s="17"/>
      <c r="I905" s="16" t="str">
        <f t="shared" si="171"/>
        <v/>
      </c>
      <c r="J905" s="16" t="str">
        <f t="shared" si="172"/>
        <v/>
      </c>
      <c r="K905" s="18" t="str">
        <f t="shared" si="173"/>
        <v/>
      </c>
      <c r="L905" s="16" t="str">
        <f t="shared" si="174"/>
        <v/>
      </c>
      <c r="M905" s="16" t="str">
        <f t="shared" si="175"/>
        <v/>
      </c>
      <c r="N905" s="16" t="str">
        <f t="shared" si="176"/>
        <v/>
      </c>
      <c r="O905" s="16" t="str">
        <f t="shared" si="177"/>
        <v/>
      </c>
      <c r="P905" s="16" t="str">
        <f t="shared" si="178"/>
        <v/>
      </c>
      <c r="Q905" s="18" t="str">
        <f t="shared" si="179"/>
        <v/>
      </c>
      <c r="R905" s="19" t="str">
        <f>IF(C905="","",IF(ISNA(MATCH(B905,'Registru oferte'!$B$5:$B$504,0)),"Oferta nu există în registru",IF(N(F905)&lt;=0,"Lipsește cantitatea",IF(AND(ISNUMBER(Q905),Q905&lt;MarjaMin),"Marjă sub minim ("&amp;TEXT(Q905*100,"0")&amp;"%)",""))))</f>
        <v/>
      </c>
      <c r="S905" s="1" t="str">
        <f>IF(B905="","",B905&amp;"|"&amp;COUNTIF($B$5:B905,B905))</f>
        <v/>
      </c>
    </row>
    <row r="906" spans="2:19" x14ac:dyDescent="0.2">
      <c r="B906" s="11"/>
      <c r="C906" s="11"/>
      <c r="D906" s="10" t="str">
        <f t="shared" si="168"/>
        <v/>
      </c>
      <c r="E906" s="15" t="str">
        <f t="shared" si="169"/>
        <v/>
      </c>
      <c r="F906" s="11"/>
      <c r="G906" s="16" t="str">
        <f t="shared" si="170"/>
        <v/>
      </c>
      <c r="H906" s="17"/>
      <c r="I906" s="16" t="str">
        <f t="shared" si="171"/>
        <v/>
      </c>
      <c r="J906" s="16" t="str">
        <f t="shared" si="172"/>
        <v/>
      </c>
      <c r="K906" s="18" t="str">
        <f t="shared" si="173"/>
        <v/>
      </c>
      <c r="L906" s="16" t="str">
        <f t="shared" si="174"/>
        <v/>
      </c>
      <c r="M906" s="16" t="str">
        <f t="shared" si="175"/>
        <v/>
      </c>
      <c r="N906" s="16" t="str">
        <f t="shared" si="176"/>
        <v/>
      </c>
      <c r="O906" s="16" t="str">
        <f t="shared" si="177"/>
        <v/>
      </c>
      <c r="P906" s="16" t="str">
        <f t="shared" si="178"/>
        <v/>
      </c>
      <c r="Q906" s="18" t="str">
        <f t="shared" si="179"/>
        <v/>
      </c>
      <c r="R906" s="19" t="str">
        <f>IF(C906="","",IF(ISNA(MATCH(B906,'Registru oferte'!$B$5:$B$504,0)),"Oferta nu există în registru",IF(N(F906)&lt;=0,"Lipsește cantitatea",IF(AND(ISNUMBER(Q906),Q906&lt;MarjaMin),"Marjă sub minim ("&amp;TEXT(Q906*100,"0")&amp;"%)",""))))</f>
        <v/>
      </c>
      <c r="S906" s="1" t="str">
        <f>IF(B906="","",B906&amp;"|"&amp;COUNTIF($B$5:B906,B906))</f>
        <v/>
      </c>
    </row>
    <row r="907" spans="2:19" x14ac:dyDescent="0.2">
      <c r="B907" s="11"/>
      <c r="C907" s="11"/>
      <c r="D907" s="10" t="str">
        <f t="shared" si="168"/>
        <v/>
      </c>
      <c r="E907" s="15" t="str">
        <f t="shared" si="169"/>
        <v/>
      </c>
      <c r="F907" s="11"/>
      <c r="G907" s="16" t="str">
        <f t="shared" si="170"/>
        <v/>
      </c>
      <c r="H907" s="17"/>
      <c r="I907" s="16" t="str">
        <f t="shared" si="171"/>
        <v/>
      </c>
      <c r="J907" s="16" t="str">
        <f t="shared" si="172"/>
        <v/>
      </c>
      <c r="K907" s="18" t="str">
        <f t="shared" si="173"/>
        <v/>
      </c>
      <c r="L907" s="16" t="str">
        <f t="shared" si="174"/>
        <v/>
      </c>
      <c r="M907" s="16" t="str">
        <f t="shared" si="175"/>
        <v/>
      </c>
      <c r="N907" s="16" t="str">
        <f t="shared" si="176"/>
        <v/>
      </c>
      <c r="O907" s="16" t="str">
        <f t="shared" si="177"/>
        <v/>
      </c>
      <c r="P907" s="16" t="str">
        <f t="shared" si="178"/>
        <v/>
      </c>
      <c r="Q907" s="18" t="str">
        <f t="shared" si="179"/>
        <v/>
      </c>
      <c r="R907" s="19" t="str">
        <f>IF(C907="","",IF(ISNA(MATCH(B907,'Registru oferte'!$B$5:$B$504,0)),"Oferta nu există în registru",IF(N(F907)&lt;=0,"Lipsește cantitatea",IF(AND(ISNUMBER(Q907),Q907&lt;MarjaMin),"Marjă sub minim ("&amp;TEXT(Q907*100,"0")&amp;"%)",""))))</f>
        <v/>
      </c>
      <c r="S907" s="1" t="str">
        <f>IF(B907="","",B907&amp;"|"&amp;COUNTIF($B$5:B907,B907))</f>
        <v/>
      </c>
    </row>
    <row r="908" spans="2:19" x14ac:dyDescent="0.2">
      <c r="B908" s="11"/>
      <c r="C908" s="11"/>
      <c r="D908" s="10" t="str">
        <f t="shared" si="168"/>
        <v/>
      </c>
      <c r="E908" s="15" t="str">
        <f t="shared" si="169"/>
        <v/>
      </c>
      <c r="F908" s="11"/>
      <c r="G908" s="16" t="str">
        <f t="shared" si="170"/>
        <v/>
      </c>
      <c r="H908" s="17"/>
      <c r="I908" s="16" t="str">
        <f t="shared" si="171"/>
        <v/>
      </c>
      <c r="J908" s="16" t="str">
        <f t="shared" si="172"/>
        <v/>
      </c>
      <c r="K908" s="18" t="str">
        <f t="shared" si="173"/>
        <v/>
      </c>
      <c r="L908" s="16" t="str">
        <f t="shared" si="174"/>
        <v/>
      </c>
      <c r="M908" s="16" t="str">
        <f t="shared" si="175"/>
        <v/>
      </c>
      <c r="N908" s="16" t="str">
        <f t="shared" si="176"/>
        <v/>
      </c>
      <c r="O908" s="16" t="str">
        <f t="shared" si="177"/>
        <v/>
      </c>
      <c r="P908" s="16" t="str">
        <f t="shared" si="178"/>
        <v/>
      </c>
      <c r="Q908" s="18" t="str">
        <f t="shared" si="179"/>
        <v/>
      </c>
      <c r="R908" s="19" t="str">
        <f>IF(C908="","",IF(ISNA(MATCH(B908,'Registru oferte'!$B$5:$B$504,0)),"Oferta nu există în registru",IF(N(F908)&lt;=0,"Lipsește cantitatea",IF(AND(ISNUMBER(Q908),Q908&lt;MarjaMin),"Marjă sub minim ("&amp;TEXT(Q908*100,"0")&amp;"%)",""))))</f>
        <v/>
      </c>
      <c r="S908" s="1" t="str">
        <f>IF(B908="","",B908&amp;"|"&amp;COUNTIF($B$5:B908,B908))</f>
        <v/>
      </c>
    </row>
    <row r="909" spans="2:19" x14ac:dyDescent="0.2">
      <c r="B909" s="11"/>
      <c r="C909" s="11"/>
      <c r="D909" s="10" t="str">
        <f t="shared" si="168"/>
        <v/>
      </c>
      <c r="E909" s="15" t="str">
        <f t="shared" si="169"/>
        <v/>
      </c>
      <c r="F909" s="11"/>
      <c r="G909" s="16" t="str">
        <f t="shared" si="170"/>
        <v/>
      </c>
      <c r="H909" s="17"/>
      <c r="I909" s="16" t="str">
        <f t="shared" si="171"/>
        <v/>
      </c>
      <c r="J909" s="16" t="str">
        <f t="shared" si="172"/>
        <v/>
      </c>
      <c r="K909" s="18" t="str">
        <f t="shared" si="173"/>
        <v/>
      </c>
      <c r="L909" s="16" t="str">
        <f t="shared" si="174"/>
        <v/>
      </c>
      <c r="M909" s="16" t="str">
        <f t="shared" si="175"/>
        <v/>
      </c>
      <c r="N909" s="16" t="str">
        <f t="shared" si="176"/>
        <v/>
      </c>
      <c r="O909" s="16" t="str">
        <f t="shared" si="177"/>
        <v/>
      </c>
      <c r="P909" s="16" t="str">
        <f t="shared" si="178"/>
        <v/>
      </c>
      <c r="Q909" s="18" t="str">
        <f t="shared" si="179"/>
        <v/>
      </c>
      <c r="R909" s="19" t="str">
        <f>IF(C909="","",IF(ISNA(MATCH(B909,'Registru oferte'!$B$5:$B$504,0)),"Oferta nu există în registru",IF(N(F909)&lt;=0,"Lipsește cantitatea",IF(AND(ISNUMBER(Q909),Q909&lt;MarjaMin),"Marjă sub minim ("&amp;TEXT(Q909*100,"0")&amp;"%)",""))))</f>
        <v/>
      </c>
      <c r="S909" s="1" t="str">
        <f>IF(B909="","",B909&amp;"|"&amp;COUNTIF($B$5:B909,B909))</f>
        <v/>
      </c>
    </row>
    <row r="910" spans="2:19" x14ac:dyDescent="0.2">
      <c r="B910" s="11"/>
      <c r="C910" s="11"/>
      <c r="D910" s="10" t="str">
        <f t="shared" si="168"/>
        <v/>
      </c>
      <c r="E910" s="15" t="str">
        <f t="shared" si="169"/>
        <v/>
      </c>
      <c r="F910" s="11"/>
      <c r="G910" s="16" t="str">
        <f t="shared" si="170"/>
        <v/>
      </c>
      <c r="H910" s="17"/>
      <c r="I910" s="16" t="str">
        <f t="shared" si="171"/>
        <v/>
      </c>
      <c r="J910" s="16" t="str">
        <f t="shared" si="172"/>
        <v/>
      </c>
      <c r="K910" s="18" t="str">
        <f t="shared" si="173"/>
        <v/>
      </c>
      <c r="L910" s="16" t="str">
        <f t="shared" si="174"/>
        <v/>
      </c>
      <c r="M910" s="16" t="str">
        <f t="shared" si="175"/>
        <v/>
      </c>
      <c r="N910" s="16" t="str">
        <f t="shared" si="176"/>
        <v/>
      </c>
      <c r="O910" s="16" t="str">
        <f t="shared" si="177"/>
        <v/>
      </c>
      <c r="P910" s="16" t="str">
        <f t="shared" si="178"/>
        <v/>
      </c>
      <c r="Q910" s="18" t="str">
        <f t="shared" si="179"/>
        <v/>
      </c>
      <c r="R910" s="19" t="str">
        <f>IF(C910="","",IF(ISNA(MATCH(B910,'Registru oferte'!$B$5:$B$504,0)),"Oferta nu există în registru",IF(N(F910)&lt;=0,"Lipsește cantitatea",IF(AND(ISNUMBER(Q910),Q910&lt;MarjaMin),"Marjă sub minim ("&amp;TEXT(Q910*100,"0")&amp;"%)",""))))</f>
        <v/>
      </c>
      <c r="S910" s="1" t="str">
        <f>IF(B910="","",B910&amp;"|"&amp;COUNTIF($B$5:B910,B910))</f>
        <v/>
      </c>
    </row>
    <row r="911" spans="2:19" x14ac:dyDescent="0.2">
      <c r="B911" s="11"/>
      <c r="C911" s="11"/>
      <c r="D911" s="10" t="str">
        <f t="shared" si="168"/>
        <v/>
      </c>
      <c r="E911" s="15" t="str">
        <f t="shared" si="169"/>
        <v/>
      </c>
      <c r="F911" s="11"/>
      <c r="G911" s="16" t="str">
        <f t="shared" si="170"/>
        <v/>
      </c>
      <c r="H911" s="17"/>
      <c r="I911" s="16" t="str">
        <f t="shared" si="171"/>
        <v/>
      </c>
      <c r="J911" s="16" t="str">
        <f t="shared" si="172"/>
        <v/>
      </c>
      <c r="K911" s="18" t="str">
        <f t="shared" si="173"/>
        <v/>
      </c>
      <c r="L911" s="16" t="str">
        <f t="shared" si="174"/>
        <v/>
      </c>
      <c r="M911" s="16" t="str">
        <f t="shared" si="175"/>
        <v/>
      </c>
      <c r="N911" s="16" t="str">
        <f t="shared" si="176"/>
        <v/>
      </c>
      <c r="O911" s="16" t="str">
        <f t="shared" si="177"/>
        <v/>
      </c>
      <c r="P911" s="16" t="str">
        <f t="shared" si="178"/>
        <v/>
      </c>
      <c r="Q911" s="18" t="str">
        <f t="shared" si="179"/>
        <v/>
      </c>
      <c r="R911" s="19" t="str">
        <f>IF(C911="","",IF(ISNA(MATCH(B911,'Registru oferte'!$B$5:$B$504,0)),"Oferta nu există în registru",IF(N(F911)&lt;=0,"Lipsește cantitatea",IF(AND(ISNUMBER(Q911),Q911&lt;MarjaMin),"Marjă sub minim ("&amp;TEXT(Q911*100,"0")&amp;"%)",""))))</f>
        <v/>
      </c>
      <c r="S911" s="1" t="str">
        <f>IF(B911="","",B911&amp;"|"&amp;COUNTIF($B$5:B911,B911))</f>
        <v/>
      </c>
    </row>
    <row r="912" spans="2:19" x14ac:dyDescent="0.2">
      <c r="B912" s="11"/>
      <c r="C912" s="11"/>
      <c r="D912" s="10" t="str">
        <f t="shared" si="168"/>
        <v/>
      </c>
      <c r="E912" s="15" t="str">
        <f t="shared" si="169"/>
        <v/>
      </c>
      <c r="F912" s="11"/>
      <c r="G912" s="16" t="str">
        <f t="shared" si="170"/>
        <v/>
      </c>
      <c r="H912" s="17"/>
      <c r="I912" s="16" t="str">
        <f t="shared" si="171"/>
        <v/>
      </c>
      <c r="J912" s="16" t="str">
        <f t="shared" si="172"/>
        <v/>
      </c>
      <c r="K912" s="18" t="str">
        <f t="shared" si="173"/>
        <v/>
      </c>
      <c r="L912" s="16" t="str">
        <f t="shared" si="174"/>
        <v/>
      </c>
      <c r="M912" s="16" t="str">
        <f t="shared" si="175"/>
        <v/>
      </c>
      <c r="N912" s="16" t="str">
        <f t="shared" si="176"/>
        <v/>
      </c>
      <c r="O912" s="16" t="str">
        <f t="shared" si="177"/>
        <v/>
      </c>
      <c r="P912" s="16" t="str">
        <f t="shared" si="178"/>
        <v/>
      </c>
      <c r="Q912" s="18" t="str">
        <f t="shared" si="179"/>
        <v/>
      </c>
      <c r="R912" s="19" t="str">
        <f>IF(C912="","",IF(ISNA(MATCH(B912,'Registru oferte'!$B$5:$B$504,0)),"Oferta nu există în registru",IF(N(F912)&lt;=0,"Lipsește cantitatea",IF(AND(ISNUMBER(Q912),Q912&lt;MarjaMin),"Marjă sub minim ("&amp;TEXT(Q912*100,"0")&amp;"%)",""))))</f>
        <v/>
      </c>
      <c r="S912" s="1" t="str">
        <f>IF(B912="","",B912&amp;"|"&amp;COUNTIF($B$5:B912,B912))</f>
        <v/>
      </c>
    </row>
    <row r="913" spans="2:19" x14ac:dyDescent="0.2">
      <c r="B913" s="11"/>
      <c r="C913" s="11"/>
      <c r="D913" s="10" t="str">
        <f t="shared" si="168"/>
        <v/>
      </c>
      <c r="E913" s="15" t="str">
        <f t="shared" si="169"/>
        <v/>
      </c>
      <c r="F913" s="11"/>
      <c r="G913" s="16" t="str">
        <f t="shared" si="170"/>
        <v/>
      </c>
      <c r="H913" s="17"/>
      <c r="I913" s="16" t="str">
        <f t="shared" si="171"/>
        <v/>
      </c>
      <c r="J913" s="16" t="str">
        <f t="shared" si="172"/>
        <v/>
      </c>
      <c r="K913" s="18" t="str">
        <f t="shared" si="173"/>
        <v/>
      </c>
      <c r="L913" s="16" t="str">
        <f t="shared" si="174"/>
        <v/>
      </c>
      <c r="M913" s="16" t="str">
        <f t="shared" si="175"/>
        <v/>
      </c>
      <c r="N913" s="16" t="str">
        <f t="shared" si="176"/>
        <v/>
      </c>
      <c r="O913" s="16" t="str">
        <f t="shared" si="177"/>
        <v/>
      </c>
      <c r="P913" s="16" t="str">
        <f t="shared" si="178"/>
        <v/>
      </c>
      <c r="Q913" s="18" t="str">
        <f t="shared" si="179"/>
        <v/>
      </c>
      <c r="R913" s="19" t="str">
        <f>IF(C913="","",IF(ISNA(MATCH(B913,'Registru oferte'!$B$5:$B$504,0)),"Oferta nu există în registru",IF(N(F913)&lt;=0,"Lipsește cantitatea",IF(AND(ISNUMBER(Q913),Q913&lt;MarjaMin),"Marjă sub minim ("&amp;TEXT(Q913*100,"0")&amp;"%)",""))))</f>
        <v/>
      </c>
      <c r="S913" s="1" t="str">
        <f>IF(B913="","",B913&amp;"|"&amp;COUNTIF($B$5:B913,B913))</f>
        <v/>
      </c>
    </row>
    <row r="914" spans="2:19" x14ac:dyDescent="0.2">
      <c r="B914" s="11"/>
      <c r="C914" s="11"/>
      <c r="D914" s="10" t="str">
        <f t="shared" si="168"/>
        <v/>
      </c>
      <c r="E914" s="15" t="str">
        <f t="shared" si="169"/>
        <v/>
      </c>
      <c r="F914" s="11"/>
      <c r="G914" s="16" t="str">
        <f t="shared" si="170"/>
        <v/>
      </c>
      <c r="H914" s="17"/>
      <c r="I914" s="16" t="str">
        <f t="shared" si="171"/>
        <v/>
      </c>
      <c r="J914" s="16" t="str">
        <f t="shared" si="172"/>
        <v/>
      </c>
      <c r="K914" s="18" t="str">
        <f t="shared" si="173"/>
        <v/>
      </c>
      <c r="L914" s="16" t="str">
        <f t="shared" si="174"/>
        <v/>
      </c>
      <c r="M914" s="16" t="str">
        <f t="shared" si="175"/>
        <v/>
      </c>
      <c r="N914" s="16" t="str">
        <f t="shared" si="176"/>
        <v/>
      </c>
      <c r="O914" s="16" t="str">
        <f t="shared" si="177"/>
        <v/>
      </c>
      <c r="P914" s="16" t="str">
        <f t="shared" si="178"/>
        <v/>
      </c>
      <c r="Q914" s="18" t="str">
        <f t="shared" si="179"/>
        <v/>
      </c>
      <c r="R914" s="19" t="str">
        <f>IF(C914="","",IF(ISNA(MATCH(B914,'Registru oferte'!$B$5:$B$504,0)),"Oferta nu există în registru",IF(N(F914)&lt;=0,"Lipsește cantitatea",IF(AND(ISNUMBER(Q914),Q914&lt;MarjaMin),"Marjă sub minim ("&amp;TEXT(Q914*100,"0")&amp;"%)",""))))</f>
        <v/>
      </c>
      <c r="S914" s="1" t="str">
        <f>IF(B914="","",B914&amp;"|"&amp;COUNTIF($B$5:B914,B914))</f>
        <v/>
      </c>
    </row>
    <row r="915" spans="2:19" x14ac:dyDescent="0.2">
      <c r="B915" s="11"/>
      <c r="C915" s="11"/>
      <c r="D915" s="10" t="str">
        <f t="shared" si="168"/>
        <v/>
      </c>
      <c r="E915" s="15" t="str">
        <f t="shared" si="169"/>
        <v/>
      </c>
      <c r="F915" s="11"/>
      <c r="G915" s="16" t="str">
        <f t="shared" si="170"/>
        <v/>
      </c>
      <c r="H915" s="17"/>
      <c r="I915" s="16" t="str">
        <f t="shared" si="171"/>
        <v/>
      </c>
      <c r="J915" s="16" t="str">
        <f t="shared" si="172"/>
        <v/>
      </c>
      <c r="K915" s="18" t="str">
        <f t="shared" si="173"/>
        <v/>
      </c>
      <c r="L915" s="16" t="str">
        <f t="shared" si="174"/>
        <v/>
      </c>
      <c r="M915" s="16" t="str">
        <f t="shared" si="175"/>
        <v/>
      </c>
      <c r="N915" s="16" t="str">
        <f t="shared" si="176"/>
        <v/>
      </c>
      <c r="O915" s="16" t="str">
        <f t="shared" si="177"/>
        <v/>
      </c>
      <c r="P915" s="16" t="str">
        <f t="shared" si="178"/>
        <v/>
      </c>
      <c r="Q915" s="18" t="str">
        <f t="shared" si="179"/>
        <v/>
      </c>
      <c r="R915" s="19" t="str">
        <f>IF(C915="","",IF(ISNA(MATCH(B915,'Registru oferte'!$B$5:$B$504,0)),"Oferta nu există în registru",IF(N(F915)&lt;=0,"Lipsește cantitatea",IF(AND(ISNUMBER(Q915),Q915&lt;MarjaMin),"Marjă sub minim ("&amp;TEXT(Q915*100,"0")&amp;"%)",""))))</f>
        <v/>
      </c>
      <c r="S915" s="1" t="str">
        <f>IF(B915="","",B915&amp;"|"&amp;COUNTIF($B$5:B915,B915))</f>
        <v/>
      </c>
    </row>
    <row r="916" spans="2:19" x14ac:dyDescent="0.2">
      <c r="B916" s="11"/>
      <c r="C916" s="11"/>
      <c r="D916" s="10" t="str">
        <f t="shared" si="168"/>
        <v/>
      </c>
      <c r="E916" s="15" t="str">
        <f t="shared" si="169"/>
        <v/>
      </c>
      <c r="F916" s="11"/>
      <c r="G916" s="16" t="str">
        <f t="shared" si="170"/>
        <v/>
      </c>
      <c r="H916" s="17"/>
      <c r="I916" s="16" t="str">
        <f t="shared" si="171"/>
        <v/>
      </c>
      <c r="J916" s="16" t="str">
        <f t="shared" si="172"/>
        <v/>
      </c>
      <c r="K916" s="18" t="str">
        <f t="shared" si="173"/>
        <v/>
      </c>
      <c r="L916" s="16" t="str">
        <f t="shared" si="174"/>
        <v/>
      </c>
      <c r="M916" s="16" t="str">
        <f t="shared" si="175"/>
        <v/>
      </c>
      <c r="N916" s="16" t="str">
        <f t="shared" si="176"/>
        <v/>
      </c>
      <c r="O916" s="16" t="str">
        <f t="shared" si="177"/>
        <v/>
      </c>
      <c r="P916" s="16" t="str">
        <f t="shared" si="178"/>
        <v/>
      </c>
      <c r="Q916" s="18" t="str">
        <f t="shared" si="179"/>
        <v/>
      </c>
      <c r="R916" s="19" t="str">
        <f>IF(C916="","",IF(ISNA(MATCH(B916,'Registru oferte'!$B$5:$B$504,0)),"Oferta nu există în registru",IF(N(F916)&lt;=0,"Lipsește cantitatea",IF(AND(ISNUMBER(Q916),Q916&lt;MarjaMin),"Marjă sub minim ("&amp;TEXT(Q916*100,"0")&amp;"%)",""))))</f>
        <v/>
      </c>
      <c r="S916" s="1" t="str">
        <f>IF(B916="","",B916&amp;"|"&amp;COUNTIF($B$5:B916,B916))</f>
        <v/>
      </c>
    </row>
    <row r="917" spans="2:19" x14ac:dyDescent="0.2">
      <c r="B917" s="11"/>
      <c r="C917" s="11"/>
      <c r="D917" s="10" t="str">
        <f t="shared" si="168"/>
        <v/>
      </c>
      <c r="E917" s="15" t="str">
        <f t="shared" si="169"/>
        <v/>
      </c>
      <c r="F917" s="11"/>
      <c r="G917" s="16" t="str">
        <f t="shared" si="170"/>
        <v/>
      </c>
      <c r="H917" s="17"/>
      <c r="I917" s="16" t="str">
        <f t="shared" si="171"/>
        <v/>
      </c>
      <c r="J917" s="16" t="str">
        <f t="shared" si="172"/>
        <v/>
      </c>
      <c r="K917" s="18" t="str">
        <f t="shared" si="173"/>
        <v/>
      </c>
      <c r="L917" s="16" t="str">
        <f t="shared" si="174"/>
        <v/>
      </c>
      <c r="M917" s="16" t="str">
        <f t="shared" si="175"/>
        <v/>
      </c>
      <c r="N917" s="16" t="str">
        <f t="shared" si="176"/>
        <v/>
      </c>
      <c r="O917" s="16" t="str">
        <f t="shared" si="177"/>
        <v/>
      </c>
      <c r="P917" s="16" t="str">
        <f t="shared" si="178"/>
        <v/>
      </c>
      <c r="Q917" s="18" t="str">
        <f t="shared" si="179"/>
        <v/>
      </c>
      <c r="R917" s="19" t="str">
        <f>IF(C917="","",IF(ISNA(MATCH(B917,'Registru oferte'!$B$5:$B$504,0)),"Oferta nu există în registru",IF(N(F917)&lt;=0,"Lipsește cantitatea",IF(AND(ISNUMBER(Q917),Q917&lt;MarjaMin),"Marjă sub minim ("&amp;TEXT(Q917*100,"0")&amp;"%)",""))))</f>
        <v/>
      </c>
      <c r="S917" s="1" t="str">
        <f>IF(B917="","",B917&amp;"|"&amp;COUNTIF($B$5:B917,B917))</f>
        <v/>
      </c>
    </row>
    <row r="918" spans="2:19" x14ac:dyDescent="0.2">
      <c r="B918" s="11"/>
      <c r="C918" s="11"/>
      <c r="D918" s="10" t="str">
        <f t="shared" si="168"/>
        <v/>
      </c>
      <c r="E918" s="15" t="str">
        <f t="shared" si="169"/>
        <v/>
      </c>
      <c r="F918" s="11"/>
      <c r="G918" s="16" t="str">
        <f t="shared" si="170"/>
        <v/>
      </c>
      <c r="H918" s="17"/>
      <c r="I918" s="16" t="str">
        <f t="shared" si="171"/>
        <v/>
      </c>
      <c r="J918" s="16" t="str">
        <f t="shared" si="172"/>
        <v/>
      </c>
      <c r="K918" s="18" t="str">
        <f t="shared" si="173"/>
        <v/>
      </c>
      <c r="L918" s="16" t="str">
        <f t="shared" si="174"/>
        <v/>
      </c>
      <c r="M918" s="16" t="str">
        <f t="shared" si="175"/>
        <v/>
      </c>
      <c r="N918" s="16" t="str">
        <f t="shared" si="176"/>
        <v/>
      </c>
      <c r="O918" s="16" t="str">
        <f t="shared" si="177"/>
        <v/>
      </c>
      <c r="P918" s="16" t="str">
        <f t="shared" si="178"/>
        <v/>
      </c>
      <c r="Q918" s="18" t="str">
        <f t="shared" si="179"/>
        <v/>
      </c>
      <c r="R918" s="19" t="str">
        <f>IF(C918="","",IF(ISNA(MATCH(B918,'Registru oferte'!$B$5:$B$504,0)),"Oferta nu există în registru",IF(N(F918)&lt;=0,"Lipsește cantitatea",IF(AND(ISNUMBER(Q918),Q918&lt;MarjaMin),"Marjă sub minim ("&amp;TEXT(Q918*100,"0")&amp;"%)",""))))</f>
        <v/>
      </c>
      <c r="S918" s="1" t="str">
        <f>IF(B918="","",B918&amp;"|"&amp;COUNTIF($B$5:B918,B918))</f>
        <v/>
      </c>
    </row>
    <row r="919" spans="2:19" x14ac:dyDescent="0.2">
      <c r="B919" s="11"/>
      <c r="C919" s="11"/>
      <c r="D919" s="10" t="str">
        <f t="shared" si="168"/>
        <v/>
      </c>
      <c r="E919" s="15" t="str">
        <f t="shared" si="169"/>
        <v/>
      </c>
      <c r="F919" s="11"/>
      <c r="G919" s="16" t="str">
        <f t="shared" si="170"/>
        <v/>
      </c>
      <c r="H919" s="17"/>
      <c r="I919" s="16" t="str">
        <f t="shared" si="171"/>
        <v/>
      </c>
      <c r="J919" s="16" t="str">
        <f t="shared" si="172"/>
        <v/>
      </c>
      <c r="K919" s="18" t="str">
        <f t="shared" si="173"/>
        <v/>
      </c>
      <c r="L919" s="16" t="str">
        <f t="shared" si="174"/>
        <v/>
      </c>
      <c r="M919" s="16" t="str">
        <f t="shared" si="175"/>
        <v/>
      </c>
      <c r="N919" s="16" t="str">
        <f t="shared" si="176"/>
        <v/>
      </c>
      <c r="O919" s="16" t="str">
        <f t="shared" si="177"/>
        <v/>
      </c>
      <c r="P919" s="16" t="str">
        <f t="shared" si="178"/>
        <v/>
      </c>
      <c r="Q919" s="18" t="str">
        <f t="shared" si="179"/>
        <v/>
      </c>
      <c r="R919" s="19" t="str">
        <f>IF(C919="","",IF(ISNA(MATCH(B919,'Registru oferte'!$B$5:$B$504,0)),"Oferta nu există în registru",IF(N(F919)&lt;=0,"Lipsește cantitatea",IF(AND(ISNUMBER(Q919),Q919&lt;MarjaMin),"Marjă sub minim ("&amp;TEXT(Q919*100,"0")&amp;"%)",""))))</f>
        <v/>
      </c>
      <c r="S919" s="1" t="str">
        <f>IF(B919="","",B919&amp;"|"&amp;COUNTIF($B$5:B919,B919))</f>
        <v/>
      </c>
    </row>
    <row r="920" spans="2:19" x14ac:dyDescent="0.2">
      <c r="B920" s="11"/>
      <c r="C920" s="11"/>
      <c r="D920" s="10" t="str">
        <f t="shared" si="168"/>
        <v/>
      </c>
      <c r="E920" s="15" t="str">
        <f t="shared" si="169"/>
        <v/>
      </c>
      <c r="F920" s="11"/>
      <c r="G920" s="16" t="str">
        <f t="shared" si="170"/>
        <v/>
      </c>
      <c r="H920" s="17"/>
      <c r="I920" s="16" t="str">
        <f t="shared" si="171"/>
        <v/>
      </c>
      <c r="J920" s="16" t="str">
        <f t="shared" si="172"/>
        <v/>
      </c>
      <c r="K920" s="18" t="str">
        <f t="shared" si="173"/>
        <v/>
      </c>
      <c r="L920" s="16" t="str">
        <f t="shared" si="174"/>
        <v/>
      </c>
      <c r="M920" s="16" t="str">
        <f t="shared" si="175"/>
        <v/>
      </c>
      <c r="N920" s="16" t="str">
        <f t="shared" si="176"/>
        <v/>
      </c>
      <c r="O920" s="16" t="str">
        <f t="shared" si="177"/>
        <v/>
      </c>
      <c r="P920" s="16" t="str">
        <f t="shared" si="178"/>
        <v/>
      </c>
      <c r="Q920" s="18" t="str">
        <f t="shared" si="179"/>
        <v/>
      </c>
      <c r="R920" s="19" t="str">
        <f>IF(C920="","",IF(ISNA(MATCH(B920,'Registru oferte'!$B$5:$B$504,0)),"Oferta nu există în registru",IF(N(F920)&lt;=0,"Lipsește cantitatea",IF(AND(ISNUMBER(Q920),Q920&lt;MarjaMin),"Marjă sub minim ("&amp;TEXT(Q920*100,"0")&amp;"%)",""))))</f>
        <v/>
      </c>
      <c r="S920" s="1" t="str">
        <f>IF(B920="","",B920&amp;"|"&amp;COUNTIF($B$5:B920,B920))</f>
        <v/>
      </c>
    </row>
    <row r="921" spans="2:19" x14ac:dyDescent="0.2">
      <c r="B921" s="11"/>
      <c r="C921" s="11"/>
      <c r="D921" s="10" t="str">
        <f t="shared" si="168"/>
        <v/>
      </c>
      <c r="E921" s="15" t="str">
        <f t="shared" si="169"/>
        <v/>
      </c>
      <c r="F921" s="11"/>
      <c r="G921" s="16" t="str">
        <f t="shared" si="170"/>
        <v/>
      </c>
      <c r="H921" s="17"/>
      <c r="I921" s="16" t="str">
        <f t="shared" si="171"/>
        <v/>
      </c>
      <c r="J921" s="16" t="str">
        <f t="shared" si="172"/>
        <v/>
      </c>
      <c r="K921" s="18" t="str">
        <f t="shared" si="173"/>
        <v/>
      </c>
      <c r="L921" s="16" t="str">
        <f t="shared" si="174"/>
        <v/>
      </c>
      <c r="M921" s="16" t="str">
        <f t="shared" si="175"/>
        <v/>
      </c>
      <c r="N921" s="16" t="str">
        <f t="shared" si="176"/>
        <v/>
      </c>
      <c r="O921" s="16" t="str">
        <f t="shared" si="177"/>
        <v/>
      </c>
      <c r="P921" s="16" t="str">
        <f t="shared" si="178"/>
        <v/>
      </c>
      <c r="Q921" s="18" t="str">
        <f t="shared" si="179"/>
        <v/>
      </c>
      <c r="R921" s="19" t="str">
        <f>IF(C921="","",IF(ISNA(MATCH(B921,'Registru oferte'!$B$5:$B$504,0)),"Oferta nu există în registru",IF(N(F921)&lt;=0,"Lipsește cantitatea",IF(AND(ISNUMBER(Q921),Q921&lt;MarjaMin),"Marjă sub minim ("&amp;TEXT(Q921*100,"0")&amp;"%)",""))))</f>
        <v/>
      </c>
      <c r="S921" s="1" t="str">
        <f>IF(B921="","",B921&amp;"|"&amp;COUNTIF($B$5:B921,B921))</f>
        <v/>
      </c>
    </row>
    <row r="922" spans="2:19" x14ac:dyDescent="0.2">
      <c r="B922" s="11"/>
      <c r="C922" s="11"/>
      <c r="D922" s="10" t="str">
        <f t="shared" si="168"/>
        <v/>
      </c>
      <c r="E922" s="15" t="str">
        <f t="shared" si="169"/>
        <v/>
      </c>
      <c r="F922" s="11"/>
      <c r="G922" s="16" t="str">
        <f t="shared" si="170"/>
        <v/>
      </c>
      <c r="H922" s="17"/>
      <c r="I922" s="16" t="str">
        <f t="shared" si="171"/>
        <v/>
      </c>
      <c r="J922" s="16" t="str">
        <f t="shared" si="172"/>
        <v/>
      </c>
      <c r="K922" s="18" t="str">
        <f t="shared" si="173"/>
        <v/>
      </c>
      <c r="L922" s="16" t="str">
        <f t="shared" si="174"/>
        <v/>
      </c>
      <c r="M922" s="16" t="str">
        <f t="shared" si="175"/>
        <v/>
      </c>
      <c r="N922" s="16" t="str">
        <f t="shared" si="176"/>
        <v/>
      </c>
      <c r="O922" s="16" t="str">
        <f t="shared" si="177"/>
        <v/>
      </c>
      <c r="P922" s="16" t="str">
        <f t="shared" si="178"/>
        <v/>
      </c>
      <c r="Q922" s="18" t="str">
        <f t="shared" si="179"/>
        <v/>
      </c>
      <c r="R922" s="19" t="str">
        <f>IF(C922="","",IF(ISNA(MATCH(B922,'Registru oferte'!$B$5:$B$504,0)),"Oferta nu există în registru",IF(N(F922)&lt;=0,"Lipsește cantitatea",IF(AND(ISNUMBER(Q922),Q922&lt;MarjaMin),"Marjă sub minim ("&amp;TEXT(Q922*100,"0")&amp;"%)",""))))</f>
        <v/>
      </c>
      <c r="S922" s="1" t="str">
        <f>IF(B922="","",B922&amp;"|"&amp;COUNTIF($B$5:B922,B922))</f>
        <v/>
      </c>
    </row>
    <row r="923" spans="2:19" x14ac:dyDescent="0.2">
      <c r="B923" s="11"/>
      <c r="C923" s="11"/>
      <c r="D923" s="10" t="str">
        <f t="shared" si="168"/>
        <v/>
      </c>
      <c r="E923" s="15" t="str">
        <f t="shared" si="169"/>
        <v/>
      </c>
      <c r="F923" s="11"/>
      <c r="G923" s="16" t="str">
        <f t="shared" si="170"/>
        <v/>
      </c>
      <c r="H923" s="17"/>
      <c r="I923" s="16" t="str">
        <f t="shared" si="171"/>
        <v/>
      </c>
      <c r="J923" s="16" t="str">
        <f t="shared" si="172"/>
        <v/>
      </c>
      <c r="K923" s="18" t="str">
        <f t="shared" si="173"/>
        <v/>
      </c>
      <c r="L923" s="16" t="str">
        <f t="shared" si="174"/>
        <v/>
      </c>
      <c r="M923" s="16" t="str">
        <f t="shared" si="175"/>
        <v/>
      </c>
      <c r="N923" s="16" t="str">
        <f t="shared" si="176"/>
        <v/>
      </c>
      <c r="O923" s="16" t="str">
        <f t="shared" si="177"/>
        <v/>
      </c>
      <c r="P923" s="16" t="str">
        <f t="shared" si="178"/>
        <v/>
      </c>
      <c r="Q923" s="18" t="str">
        <f t="shared" si="179"/>
        <v/>
      </c>
      <c r="R923" s="19" t="str">
        <f>IF(C923="","",IF(ISNA(MATCH(B923,'Registru oferte'!$B$5:$B$504,0)),"Oferta nu există în registru",IF(N(F923)&lt;=0,"Lipsește cantitatea",IF(AND(ISNUMBER(Q923),Q923&lt;MarjaMin),"Marjă sub minim ("&amp;TEXT(Q923*100,"0")&amp;"%)",""))))</f>
        <v/>
      </c>
      <c r="S923" s="1" t="str">
        <f>IF(B923="","",B923&amp;"|"&amp;COUNTIF($B$5:B923,B923))</f>
        <v/>
      </c>
    </row>
    <row r="924" spans="2:19" x14ac:dyDescent="0.2">
      <c r="B924" s="11"/>
      <c r="C924" s="11"/>
      <c r="D924" s="10" t="str">
        <f t="shared" si="168"/>
        <v/>
      </c>
      <c r="E924" s="15" t="str">
        <f t="shared" si="169"/>
        <v/>
      </c>
      <c r="F924" s="11"/>
      <c r="G924" s="16" t="str">
        <f t="shared" si="170"/>
        <v/>
      </c>
      <c r="H924" s="17"/>
      <c r="I924" s="16" t="str">
        <f t="shared" si="171"/>
        <v/>
      </c>
      <c r="J924" s="16" t="str">
        <f t="shared" si="172"/>
        <v/>
      </c>
      <c r="K924" s="18" t="str">
        <f t="shared" si="173"/>
        <v/>
      </c>
      <c r="L924" s="16" t="str">
        <f t="shared" si="174"/>
        <v/>
      </c>
      <c r="M924" s="16" t="str">
        <f t="shared" si="175"/>
        <v/>
      </c>
      <c r="N924" s="16" t="str">
        <f t="shared" si="176"/>
        <v/>
      </c>
      <c r="O924" s="16" t="str">
        <f t="shared" si="177"/>
        <v/>
      </c>
      <c r="P924" s="16" t="str">
        <f t="shared" si="178"/>
        <v/>
      </c>
      <c r="Q924" s="18" t="str">
        <f t="shared" si="179"/>
        <v/>
      </c>
      <c r="R924" s="19" t="str">
        <f>IF(C924="","",IF(ISNA(MATCH(B924,'Registru oferte'!$B$5:$B$504,0)),"Oferta nu există în registru",IF(N(F924)&lt;=0,"Lipsește cantitatea",IF(AND(ISNUMBER(Q924),Q924&lt;MarjaMin),"Marjă sub minim ("&amp;TEXT(Q924*100,"0")&amp;"%)",""))))</f>
        <v/>
      </c>
      <c r="S924" s="1" t="str">
        <f>IF(B924="","",B924&amp;"|"&amp;COUNTIF($B$5:B924,B924))</f>
        <v/>
      </c>
    </row>
    <row r="925" spans="2:19" x14ac:dyDescent="0.2">
      <c r="B925" s="11"/>
      <c r="C925" s="11"/>
      <c r="D925" s="10" t="str">
        <f t="shared" si="168"/>
        <v/>
      </c>
      <c r="E925" s="15" t="str">
        <f t="shared" si="169"/>
        <v/>
      </c>
      <c r="F925" s="11"/>
      <c r="G925" s="16" t="str">
        <f t="shared" si="170"/>
        <v/>
      </c>
      <c r="H925" s="17"/>
      <c r="I925" s="16" t="str">
        <f t="shared" si="171"/>
        <v/>
      </c>
      <c r="J925" s="16" t="str">
        <f t="shared" si="172"/>
        <v/>
      </c>
      <c r="K925" s="18" t="str">
        <f t="shared" si="173"/>
        <v/>
      </c>
      <c r="L925" s="16" t="str">
        <f t="shared" si="174"/>
        <v/>
      </c>
      <c r="M925" s="16" t="str">
        <f t="shared" si="175"/>
        <v/>
      </c>
      <c r="N925" s="16" t="str">
        <f t="shared" si="176"/>
        <v/>
      </c>
      <c r="O925" s="16" t="str">
        <f t="shared" si="177"/>
        <v/>
      </c>
      <c r="P925" s="16" t="str">
        <f t="shared" si="178"/>
        <v/>
      </c>
      <c r="Q925" s="18" t="str">
        <f t="shared" si="179"/>
        <v/>
      </c>
      <c r="R925" s="19" t="str">
        <f>IF(C925="","",IF(ISNA(MATCH(B925,'Registru oferte'!$B$5:$B$504,0)),"Oferta nu există în registru",IF(N(F925)&lt;=0,"Lipsește cantitatea",IF(AND(ISNUMBER(Q925),Q925&lt;MarjaMin),"Marjă sub minim ("&amp;TEXT(Q925*100,"0")&amp;"%)",""))))</f>
        <v/>
      </c>
      <c r="S925" s="1" t="str">
        <f>IF(B925="","",B925&amp;"|"&amp;COUNTIF($B$5:B925,B925))</f>
        <v/>
      </c>
    </row>
    <row r="926" spans="2:19" x14ac:dyDescent="0.2">
      <c r="B926" s="11"/>
      <c r="C926" s="11"/>
      <c r="D926" s="10" t="str">
        <f t="shared" si="168"/>
        <v/>
      </c>
      <c r="E926" s="15" t="str">
        <f t="shared" si="169"/>
        <v/>
      </c>
      <c r="F926" s="11"/>
      <c r="G926" s="16" t="str">
        <f t="shared" si="170"/>
        <v/>
      </c>
      <c r="H926" s="17"/>
      <c r="I926" s="16" t="str">
        <f t="shared" si="171"/>
        <v/>
      </c>
      <c r="J926" s="16" t="str">
        <f t="shared" si="172"/>
        <v/>
      </c>
      <c r="K926" s="18" t="str">
        <f t="shared" si="173"/>
        <v/>
      </c>
      <c r="L926" s="16" t="str">
        <f t="shared" si="174"/>
        <v/>
      </c>
      <c r="M926" s="16" t="str">
        <f t="shared" si="175"/>
        <v/>
      </c>
      <c r="N926" s="16" t="str">
        <f t="shared" si="176"/>
        <v/>
      </c>
      <c r="O926" s="16" t="str">
        <f t="shared" si="177"/>
        <v/>
      </c>
      <c r="P926" s="16" t="str">
        <f t="shared" si="178"/>
        <v/>
      </c>
      <c r="Q926" s="18" t="str">
        <f t="shared" si="179"/>
        <v/>
      </c>
      <c r="R926" s="19" t="str">
        <f>IF(C926="","",IF(ISNA(MATCH(B926,'Registru oferte'!$B$5:$B$504,0)),"Oferta nu există în registru",IF(N(F926)&lt;=0,"Lipsește cantitatea",IF(AND(ISNUMBER(Q926),Q926&lt;MarjaMin),"Marjă sub minim ("&amp;TEXT(Q926*100,"0")&amp;"%)",""))))</f>
        <v/>
      </c>
      <c r="S926" s="1" t="str">
        <f>IF(B926="","",B926&amp;"|"&amp;COUNTIF($B$5:B926,B926))</f>
        <v/>
      </c>
    </row>
    <row r="927" spans="2:19" x14ac:dyDescent="0.2">
      <c r="B927" s="11"/>
      <c r="C927" s="11"/>
      <c r="D927" s="10" t="str">
        <f t="shared" si="168"/>
        <v/>
      </c>
      <c r="E927" s="15" t="str">
        <f t="shared" si="169"/>
        <v/>
      </c>
      <c r="F927" s="11"/>
      <c r="G927" s="16" t="str">
        <f t="shared" si="170"/>
        <v/>
      </c>
      <c r="H927" s="17"/>
      <c r="I927" s="16" t="str">
        <f t="shared" si="171"/>
        <v/>
      </c>
      <c r="J927" s="16" t="str">
        <f t="shared" si="172"/>
        <v/>
      </c>
      <c r="K927" s="18" t="str">
        <f t="shared" si="173"/>
        <v/>
      </c>
      <c r="L927" s="16" t="str">
        <f t="shared" si="174"/>
        <v/>
      </c>
      <c r="M927" s="16" t="str">
        <f t="shared" si="175"/>
        <v/>
      </c>
      <c r="N927" s="16" t="str">
        <f t="shared" si="176"/>
        <v/>
      </c>
      <c r="O927" s="16" t="str">
        <f t="shared" si="177"/>
        <v/>
      </c>
      <c r="P927" s="16" t="str">
        <f t="shared" si="178"/>
        <v/>
      </c>
      <c r="Q927" s="18" t="str">
        <f t="shared" si="179"/>
        <v/>
      </c>
      <c r="R927" s="19" t="str">
        <f>IF(C927="","",IF(ISNA(MATCH(B927,'Registru oferte'!$B$5:$B$504,0)),"Oferta nu există în registru",IF(N(F927)&lt;=0,"Lipsește cantitatea",IF(AND(ISNUMBER(Q927),Q927&lt;MarjaMin),"Marjă sub minim ("&amp;TEXT(Q927*100,"0")&amp;"%)",""))))</f>
        <v/>
      </c>
      <c r="S927" s="1" t="str">
        <f>IF(B927="","",B927&amp;"|"&amp;COUNTIF($B$5:B927,B927))</f>
        <v/>
      </c>
    </row>
    <row r="928" spans="2:19" x14ac:dyDescent="0.2">
      <c r="B928" s="11"/>
      <c r="C928" s="11"/>
      <c r="D928" s="10" t="str">
        <f t="shared" si="168"/>
        <v/>
      </c>
      <c r="E928" s="15" t="str">
        <f t="shared" si="169"/>
        <v/>
      </c>
      <c r="F928" s="11"/>
      <c r="G928" s="16" t="str">
        <f t="shared" si="170"/>
        <v/>
      </c>
      <c r="H928" s="17"/>
      <c r="I928" s="16" t="str">
        <f t="shared" si="171"/>
        <v/>
      </c>
      <c r="J928" s="16" t="str">
        <f t="shared" si="172"/>
        <v/>
      </c>
      <c r="K928" s="18" t="str">
        <f t="shared" si="173"/>
        <v/>
      </c>
      <c r="L928" s="16" t="str">
        <f t="shared" si="174"/>
        <v/>
      </c>
      <c r="M928" s="16" t="str">
        <f t="shared" si="175"/>
        <v/>
      </c>
      <c r="N928" s="16" t="str">
        <f t="shared" si="176"/>
        <v/>
      </c>
      <c r="O928" s="16" t="str">
        <f t="shared" si="177"/>
        <v/>
      </c>
      <c r="P928" s="16" t="str">
        <f t="shared" si="178"/>
        <v/>
      </c>
      <c r="Q928" s="18" t="str">
        <f t="shared" si="179"/>
        <v/>
      </c>
      <c r="R928" s="19" t="str">
        <f>IF(C928="","",IF(ISNA(MATCH(B928,'Registru oferte'!$B$5:$B$504,0)),"Oferta nu există în registru",IF(N(F928)&lt;=0,"Lipsește cantitatea",IF(AND(ISNUMBER(Q928),Q928&lt;MarjaMin),"Marjă sub minim ("&amp;TEXT(Q928*100,"0")&amp;"%)",""))))</f>
        <v/>
      </c>
      <c r="S928" s="1" t="str">
        <f>IF(B928="","",B928&amp;"|"&amp;COUNTIF($B$5:B928,B928))</f>
        <v/>
      </c>
    </row>
    <row r="929" spans="2:19" x14ac:dyDescent="0.2">
      <c r="B929" s="11"/>
      <c r="C929" s="11"/>
      <c r="D929" s="10" t="str">
        <f t="shared" si="168"/>
        <v/>
      </c>
      <c r="E929" s="15" t="str">
        <f t="shared" si="169"/>
        <v/>
      </c>
      <c r="F929" s="11"/>
      <c r="G929" s="16" t="str">
        <f t="shared" si="170"/>
        <v/>
      </c>
      <c r="H929" s="17"/>
      <c r="I929" s="16" t="str">
        <f t="shared" si="171"/>
        <v/>
      </c>
      <c r="J929" s="16" t="str">
        <f t="shared" si="172"/>
        <v/>
      </c>
      <c r="K929" s="18" t="str">
        <f t="shared" si="173"/>
        <v/>
      </c>
      <c r="L929" s="16" t="str">
        <f t="shared" si="174"/>
        <v/>
      </c>
      <c r="M929" s="16" t="str">
        <f t="shared" si="175"/>
        <v/>
      </c>
      <c r="N929" s="16" t="str">
        <f t="shared" si="176"/>
        <v/>
      </c>
      <c r="O929" s="16" t="str">
        <f t="shared" si="177"/>
        <v/>
      </c>
      <c r="P929" s="16" t="str">
        <f t="shared" si="178"/>
        <v/>
      </c>
      <c r="Q929" s="18" t="str">
        <f t="shared" si="179"/>
        <v/>
      </c>
      <c r="R929" s="19" t="str">
        <f>IF(C929="","",IF(ISNA(MATCH(B929,'Registru oferte'!$B$5:$B$504,0)),"Oferta nu există în registru",IF(N(F929)&lt;=0,"Lipsește cantitatea",IF(AND(ISNUMBER(Q929),Q929&lt;MarjaMin),"Marjă sub minim ("&amp;TEXT(Q929*100,"0")&amp;"%)",""))))</f>
        <v/>
      </c>
      <c r="S929" s="1" t="str">
        <f>IF(B929="","",B929&amp;"|"&amp;COUNTIF($B$5:B929,B929))</f>
        <v/>
      </c>
    </row>
    <row r="930" spans="2:19" x14ac:dyDescent="0.2">
      <c r="B930" s="11"/>
      <c r="C930" s="11"/>
      <c r="D930" s="10" t="str">
        <f t="shared" si="168"/>
        <v/>
      </c>
      <c r="E930" s="15" t="str">
        <f t="shared" si="169"/>
        <v/>
      </c>
      <c r="F930" s="11"/>
      <c r="G930" s="16" t="str">
        <f t="shared" si="170"/>
        <v/>
      </c>
      <c r="H930" s="17"/>
      <c r="I930" s="16" t="str">
        <f t="shared" si="171"/>
        <v/>
      </c>
      <c r="J930" s="16" t="str">
        <f t="shared" si="172"/>
        <v/>
      </c>
      <c r="K930" s="18" t="str">
        <f t="shared" si="173"/>
        <v/>
      </c>
      <c r="L930" s="16" t="str">
        <f t="shared" si="174"/>
        <v/>
      </c>
      <c r="M930" s="16" t="str">
        <f t="shared" si="175"/>
        <v/>
      </c>
      <c r="N930" s="16" t="str">
        <f t="shared" si="176"/>
        <v/>
      </c>
      <c r="O930" s="16" t="str">
        <f t="shared" si="177"/>
        <v/>
      </c>
      <c r="P930" s="16" t="str">
        <f t="shared" si="178"/>
        <v/>
      </c>
      <c r="Q930" s="18" t="str">
        <f t="shared" si="179"/>
        <v/>
      </c>
      <c r="R930" s="19" t="str">
        <f>IF(C930="","",IF(ISNA(MATCH(B930,'Registru oferte'!$B$5:$B$504,0)),"Oferta nu există în registru",IF(N(F930)&lt;=0,"Lipsește cantitatea",IF(AND(ISNUMBER(Q930),Q930&lt;MarjaMin),"Marjă sub minim ("&amp;TEXT(Q930*100,"0")&amp;"%)",""))))</f>
        <v/>
      </c>
      <c r="S930" s="1" t="str">
        <f>IF(B930="","",B930&amp;"|"&amp;COUNTIF($B$5:B930,B930))</f>
        <v/>
      </c>
    </row>
    <row r="931" spans="2:19" x14ac:dyDescent="0.2">
      <c r="B931" s="11"/>
      <c r="C931" s="11"/>
      <c r="D931" s="10" t="str">
        <f t="shared" si="168"/>
        <v/>
      </c>
      <c r="E931" s="15" t="str">
        <f t="shared" si="169"/>
        <v/>
      </c>
      <c r="F931" s="11"/>
      <c r="G931" s="16" t="str">
        <f t="shared" si="170"/>
        <v/>
      </c>
      <c r="H931" s="17"/>
      <c r="I931" s="16" t="str">
        <f t="shared" si="171"/>
        <v/>
      </c>
      <c r="J931" s="16" t="str">
        <f t="shared" si="172"/>
        <v/>
      </c>
      <c r="K931" s="18" t="str">
        <f t="shared" si="173"/>
        <v/>
      </c>
      <c r="L931" s="16" t="str">
        <f t="shared" si="174"/>
        <v/>
      </c>
      <c r="M931" s="16" t="str">
        <f t="shared" si="175"/>
        <v/>
      </c>
      <c r="N931" s="16" t="str">
        <f t="shared" si="176"/>
        <v/>
      </c>
      <c r="O931" s="16" t="str">
        <f t="shared" si="177"/>
        <v/>
      </c>
      <c r="P931" s="16" t="str">
        <f t="shared" si="178"/>
        <v/>
      </c>
      <c r="Q931" s="18" t="str">
        <f t="shared" si="179"/>
        <v/>
      </c>
      <c r="R931" s="19" t="str">
        <f>IF(C931="","",IF(ISNA(MATCH(B931,'Registru oferte'!$B$5:$B$504,0)),"Oferta nu există în registru",IF(N(F931)&lt;=0,"Lipsește cantitatea",IF(AND(ISNUMBER(Q931),Q931&lt;MarjaMin),"Marjă sub minim ("&amp;TEXT(Q931*100,"0")&amp;"%)",""))))</f>
        <v/>
      </c>
      <c r="S931" s="1" t="str">
        <f>IF(B931="","",B931&amp;"|"&amp;COUNTIF($B$5:B931,B931))</f>
        <v/>
      </c>
    </row>
    <row r="932" spans="2:19" x14ac:dyDescent="0.2">
      <c r="B932" s="11"/>
      <c r="C932" s="11"/>
      <c r="D932" s="10" t="str">
        <f t="shared" si="168"/>
        <v/>
      </c>
      <c r="E932" s="15" t="str">
        <f t="shared" si="169"/>
        <v/>
      </c>
      <c r="F932" s="11"/>
      <c r="G932" s="16" t="str">
        <f t="shared" si="170"/>
        <v/>
      </c>
      <c r="H932" s="17"/>
      <c r="I932" s="16" t="str">
        <f t="shared" si="171"/>
        <v/>
      </c>
      <c r="J932" s="16" t="str">
        <f t="shared" si="172"/>
        <v/>
      </c>
      <c r="K932" s="18" t="str">
        <f t="shared" si="173"/>
        <v/>
      </c>
      <c r="L932" s="16" t="str">
        <f t="shared" si="174"/>
        <v/>
      </c>
      <c r="M932" s="16" t="str">
        <f t="shared" si="175"/>
        <v/>
      </c>
      <c r="N932" s="16" t="str">
        <f t="shared" si="176"/>
        <v/>
      </c>
      <c r="O932" s="16" t="str">
        <f t="shared" si="177"/>
        <v/>
      </c>
      <c r="P932" s="16" t="str">
        <f t="shared" si="178"/>
        <v/>
      </c>
      <c r="Q932" s="18" t="str">
        <f t="shared" si="179"/>
        <v/>
      </c>
      <c r="R932" s="19" t="str">
        <f>IF(C932="","",IF(ISNA(MATCH(B932,'Registru oferte'!$B$5:$B$504,0)),"Oferta nu există în registru",IF(N(F932)&lt;=0,"Lipsește cantitatea",IF(AND(ISNUMBER(Q932),Q932&lt;MarjaMin),"Marjă sub minim ("&amp;TEXT(Q932*100,"0")&amp;"%)",""))))</f>
        <v/>
      </c>
      <c r="S932" s="1" t="str">
        <f>IF(B932="","",B932&amp;"|"&amp;COUNTIF($B$5:B932,B932))</f>
        <v/>
      </c>
    </row>
    <row r="933" spans="2:19" x14ac:dyDescent="0.2">
      <c r="B933" s="11"/>
      <c r="C933" s="11"/>
      <c r="D933" s="10" t="str">
        <f t="shared" si="168"/>
        <v/>
      </c>
      <c r="E933" s="15" t="str">
        <f t="shared" si="169"/>
        <v/>
      </c>
      <c r="F933" s="11"/>
      <c r="G933" s="16" t="str">
        <f t="shared" si="170"/>
        <v/>
      </c>
      <c r="H933" s="17"/>
      <c r="I933" s="16" t="str">
        <f t="shared" si="171"/>
        <v/>
      </c>
      <c r="J933" s="16" t="str">
        <f t="shared" si="172"/>
        <v/>
      </c>
      <c r="K933" s="18" t="str">
        <f t="shared" si="173"/>
        <v/>
      </c>
      <c r="L933" s="16" t="str">
        <f t="shared" si="174"/>
        <v/>
      </c>
      <c r="M933" s="16" t="str">
        <f t="shared" si="175"/>
        <v/>
      </c>
      <c r="N933" s="16" t="str">
        <f t="shared" si="176"/>
        <v/>
      </c>
      <c r="O933" s="16" t="str">
        <f t="shared" si="177"/>
        <v/>
      </c>
      <c r="P933" s="16" t="str">
        <f t="shared" si="178"/>
        <v/>
      </c>
      <c r="Q933" s="18" t="str">
        <f t="shared" si="179"/>
        <v/>
      </c>
      <c r="R933" s="19" t="str">
        <f>IF(C933="","",IF(ISNA(MATCH(B933,'Registru oferte'!$B$5:$B$504,0)),"Oferta nu există în registru",IF(N(F933)&lt;=0,"Lipsește cantitatea",IF(AND(ISNUMBER(Q933),Q933&lt;MarjaMin),"Marjă sub minim ("&amp;TEXT(Q933*100,"0")&amp;"%)",""))))</f>
        <v/>
      </c>
      <c r="S933" s="1" t="str">
        <f>IF(B933="","",B933&amp;"|"&amp;COUNTIF($B$5:B933,B933))</f>
        <v/>
      </c>
    </row>
    <row r="934" spans="2:19" x14ac:dyDescent="0.2">
      <c r="B934" s="11"/>
      <c r="C934" s="11"/>
      <c r="D934" s="10" t="str">
        <f t="shared" si="168"/>
        <v/>
      </c>
      <c r="E934" s="15" t="str">
        <f t="shared" si="169"/>
        <v/>
      </c>
      <c r="F934" s="11"/>
      <c r="G934" s="16" t="str">
        <f t="shared" si="170"/>
        <v/>
      </c>
      <c r="H934" s="17"/>
      <c r="I934" s="16" t="str">
        <f t="shared" si="171"/>
        <v/>
      </c>
      <c r="J934" s="16" t="str">
        <f t="shared" si="172"/>
        <v/>
      </c>
      <c r="K934" s="18" t="str">
        <f t="shared" si="173"/>
        <v/>
      </c>
      <c r="L934" s="16" t="str">
        <f t="shared" si="174"/>
        <v/>
      </c>
      <c r="M934" s="16" t="str">
        <f t="shared" si="175"/>
        <v/>
      </c>
      <c r="N934" s="16" t="str">
        <f t="shared" si="176"/>
        <v/>
      </c>
      <c r="O934" s="16" t="str">
        <f t="shared" si="177"/>
        <v/>
      </c>
      <c r="P934" s="16" t="str">
        <f t="shared" si="178"/>
        <v/>
      </c>
      <c r="Q934" s="18" t="str">
        <f t="shared" si="179"/>
        <v/>
      </c>
      <c r="R934" s="19" t="str">
        <f>IF(C934="","",IF(ISNA(MATCH(B934,'Registru oferte'!$B$5:$B$504,0)),"Oferta nu există în registru",IF(N(F934)&lt;=0,"Lipsește cantitatea",IF(AND(ISNUMBER(Q934),Q934&lt;MarjaMin),"Marjă sub minim ("&amp;TEXT(Q934*100,"0")&amp;"%)",""))))</f>
        <v/>
      </c>
      <c r="S934" s="1" t="str">
        <f>IF(B934="","",B934&amp;"|"&amp;COUNTIF($B$5:B934,B934))</f>
        <v/>
      </c>
    </row>
    <row r="935" spans="2:19" x14ac:dyDescent="0.2">
      <c r="B935" s="11"/>
      <c r="C935" s="11"/>
      <c r="D935" s="10" t="str">
        <f t="shared" si="168"/>
        <v/>
      </c>
      <c r="E935" s="15" t="str">
        <f t="shared" si="169"/>
        <v/>
      </c>
      <c r="F935" s="11"/>
      <c r="G935" s="16" t="str">
        <f t="shared" si="170"/>
        <v/>
      </c>
      <c r="H935" s="17"/>
      <c r="I935" s="16" t="str">
        <f t="shared" si="171"/>
        <v/>
      </c>
      <c r="J935" s="16" t="str">
        <f t="shared" si="172"/>
        <v/>
      </c>
      <c r="K935" s="18" t="str">
        <f t="shared" si="173"/>
        <v/>
      </c>
      <c r="L935" s="16" t="str">
        <f t="shared" si="174"/>
        <v/>
      </c>
      <c r="M935" s="16" t="str">
        <f t="shared" si="175"/>
        <v/>
      </c>
      <c r="N935" s="16" t="str">
        <f t="shared" si="176"/>
        <v/>
      </c>
      <c r="O935" s="16" t="str">
        <f t="shared" si="177"/>
        <v/>
      </c>
      <c r="P935" s="16" t="str">
        <f t="shared" si="178"/>
        <v/>
      </c>
      <c r="Q935" s="18" t="str">
        <f t="shared" si="179"/>
        <v/>
      </c>
      <c r="R935" s="19" t="str">
        <f>IF(C935="","",IF(ISNA(MATCH(B935,'Registru oferte'!$B$5:$B$504,0)),"Oferta nu există în registru",IF(N(F935)&lt;=0,"Lipsește cantitatea",IF(AND(ISNUMBER(Q935),Q935&lt;MarjaMin),"Marjă sub minim ("&amp;TEXT(Q935*100,"0")&amp;"%)",""))))</f>
        <v/>
      </c>
      <c r="S935" s="1" t="str">
        <f>IF(B935="","",B935&amp;"|"&amp;COUNTIF($B$5:B935,B935))</f>
        <v/>
      </c>
    </row>
    <row r="936" spans="2:19" x14ac:dyDescent="0.2">
      <c r="B936" s="11"/>
      <c r="C936" s="11"/>
      <c r="D936" s="10" t="str">
        <f t="shared" si="168"/>
        <v/>
      </c>
      <c r="E936" s="15" t="str">
        <f t="shared" si="169"/>
        <v/>
      </c>
      <c r="F936" s="11"/>
      <c r="G936" s="16" t="str">
        <f t="shared" si="170"/>
        <v/>
      </c>
      <c r="H936" s="17"/>
      <c r="I936" s="16" t="str">
        <f t="shared" si="171"/>
        <v/>
      </c>
      <c r="J936" s="16" t="str">
        <f t="shared" si="172"/>
        <v/>
      </c>
      <c r="K936" s="18" t="str">
        <f t="shared" si="173"/>
        <v/>
      </c>
      <c r="L936" s="16" t="str">
        <f t="shared" si="174"/>
        <v/>
      </c>
      <c r="M936" s="16" t="str">
        <f t="shared" si="175"/>
        <v/>
      </c>
      <c r="N936" s="16" t="str">
        <f t="shared" si="176"/>
        <v/>
      </c>
      <c r="O936" s="16" t="str">
        <f t="shared" si="177"/>
        <v/>
      </c>
      <c r="P936" s="16" t="str">
        <f t="shared" si="178"/>
        <v/>
      </c>
      <c r="Q936" s="18" t="str">
        <f t="shared" si="179"/>
        <v/>
      </c>
      <c r="R936" s="19" t="str">
        <f>IF(C936="","",IF(ISNA(MATCH(B936,'Registru oferte'!$B$5:$B$504,0)),"Oferta nu există în registru",IF(N(F936)&lt;=0,"Lipsește cantitatea",IF(AND(ISNUMBER(Q936),Q936&lt;MarjaMin),"Marjă sub minim ("&amp;TEXT(Q936*100,"0")&amp;"%)",""))))</f>
        <v/>
      </c>
      <c r="S936" s="1" t="str">
        <f>IF(B936="","",B936&amp;"|"&amp;COUNTIF($B$5:B936,B936))</f>
        <v/>
      </c>
    </row>
    <row r="937" spans="2:19" x14ac:dyDescent="0.2">
      <c r="B937" s="11"/>
      <c r="C937" s="11"/>
      <c r="D937" s="10" t="str">
        <f t="shared" si="168"/>
        <v/>
      </c>
      <c r="E937" s="15" t="str">
        <f t="shared" si="169"/>
        <v/>
      </c>
      <c r="F937" s="11"/>
      <c r="G937" s="16" t="str">
        <f t="shared" si="170"/>
        <v/>
      </c>
      <c r="H937" s="17"/>
      <c r="I937" s="16" t="str">
        <f t="shared" si="171"/>
        <v/>
      </c>
      <c r="J937" s="16" t="str">
        <f t="shared" si="172"/>
        <v/>
      </c>
      <c r="K937" s="18" t="str">
        <f t="shared" si="173"/>
        <v/>
      </c>
      <c r="L937" s="16" t="str">
        <f t="shared" si="174"/>
        <v/>
      </c>
      <c r="M937" s="16" t="str">
        <f t="shared" si="175"/>
        <v/>
      </c>
      <c r="N937" s="16" t="str">
        <f t="shared" si="176"/>
        <v/>
      </c>
      <c r="O937" s="16" t="str">
        <f t="shared" si="177"/>
        <v/>
      </c>
      <c r="P937" s="16" t="str">
        <f t="shared" si="178"/>
        <v/>
      </c>
      <c r="Q937" s="18" t="str">
        <f t="shared" si="179"/>
        <v/>
      </c>
      <c r="R937" s="19" t="str">
        <f>IF(C937="","",IF(ISNA(MATCH(B937,'Registru oferte'!$B$5:$B$504,0)),"Oferta nu există în registru",IF(N(F937)&lt;=0,"Lipsește cantitatea",IF(AND(ISNUMBER(Q937),Q937&lt;MarjaMin),"Marjă sub minim ("&amp;TEXT(Q937*100,"0")&amp;"%)",""))))</f>
        <v/>
      </c>
      <c r="S937" s="1" t="str">
        <f>IF(B937="","",B937&amp;"|"&amp;COUNTIF($B$5:B937,B937))</f>
        <v/>
      </c>
    </row>
    <row r="938" spans="2:19" x14ac:dyDescent="0.2">
      <c r="B938" s="11"/>
      <c r="C938" s="11"/>
      <c r="D938" s="10" t="str">
        <f t="shared" si="168"/>
        <v/>
      </c>
      <c r="E938" s="15" t="str">
        <f t="shared" si="169"/>
        <v/>
      </c>
      <c r="F938" s="11"/>
      <c r="G938" s="16" t="str">
        <f t="shared" si="170"/>
        <v/>
      </c>
      <c r="H938" s="17"/>
      <c r="I938" s="16" t="str">
        <f t="shared" si="171"/>
        <v/>
      </c>
      <c r="J938" s="16" t="str">
        <f t="shared" si="172"/>
        <v/>
      </c>
      <c r="K938" s="18" t="str">
        <f t="shared" si="173"/>
        <v/>
      </c>
      <c r="L938" s="16" t="str">
        <f t="shared" si="174"/>
        <v/>
      </c>
      <c r="M938" s="16" t="str">
        <f t="shared" si="175"/>
        <v/>
      </c>
      <c r="N938" s="16" t="str">
        <f t="shared" si="176"/>
        <v/>
      </c>
      <c r="O938" s="16" t="str">
        <f t="shared" si="177"/>
        <v/>
      </c>
      <c r="P938" s="16" t="str">
        <f t="shared" si="178"/>
        <v/>
      </c>
      <c r="Q938" s="18" t="str">
        <f t="shared" si="179"/>
        <v/>
      </c>
      <c r="R938" s="19" t="str">
        <f>IF(C938="","",IF(ISNA(MATCH(B938,'Registru oferte'!$B$5:$B$504,0)),"Oferta nu există în registru",IF(N(F938)&lt;=0,"Lipsește cantitatea",IF(AND(ISNUMBER(Q938),Q938&lt;MarjaMin),"Marjă sub minim ("&amp;TEXT(Q938*100,"0")&amp;"%)",""))))</f>
        <v/>
      </c>
      <c r="S938" s="1" t="str">
        <f>IF(B938="","",B938&amp;"|"&amp;COUNTIF($B$5:B938,B938))</f>
        <v/>
      </c>
    </row>
    <row r="939" spans="2:19" x14ac:dyDescent="0.2">
      <c r="B939" s="11"/>
      <c r="C939" s="11"/>
      <c r="D939" s="10" t="str">
        <f t="shared" si="168"/>
        <v/>
      </c>
      <c r="E939" s="15" t="str">
        <f t="shared" si="169"/>
        <v/>
      </c>
      <c r="F939" s="11"/>
      <c r="G939" s="16" t="str">
        <f t="shared" si="170"/>
        <v/>
      </c>
      <c r="H939" s="17"/>
      <c r="I939" s="16" t="str">
        <f t="shared" si="171"/>
        <v/>
      </c>
      <c r="J939" s="16" t="str">
        <f t="shared" si="172"/>
        <v/>
      </c>
      <c r="K939" s="18" t="str">
        <f t="shared" si="173"/>
        <v/>
      </c>
      <c r="L939" s="16" t="str">
        <f t="shared" si="174"/>
        <v/>
      </c>
      <c r="M939" s="16" t="str">
        <f t="shared" si="175"/>
        <v/>
      </c>
      <c r="N939" s="16" t="str">
        <f t="shared" si="176"/>
        <v/>
      </c>
      <c r="O939" s="16" t="str">
        <f t="shared" si="177"/>
        <v/>
      </c>
      <c r="P939" s="16" t="str">
        <f t="shared" si="178"/>
        <v/>
      </c>
      <c r="Q939" s="18" t="str">
        <f t="shared" si="179"/>
        <v/>
      </c>
      <c r="R939" s="19" t="str">
        <f>IF(C939="","",IF(ISNA(MATCH(B939,'Registru oferte'!$B$5:$B$504,0)),"Oferta nu există în registru",IF(N(F939)&lt;=0,"Lipsește cantitatea",IF(AND(ISNUMBER(Q939),Q939&lt;MarjaMin),"Marjă sub minim ("&amp;TEXT(Q939*100,"0")&amp;"%)",""))))</f>
        <v/>
      </c>
      <c r="S939" s="1" t="str">
        <f>IF(B939="","",B939&amp;"|"&amp;COUNTIF($B$5:B939,B939))</f>
        <v/>
      </c>
    </row>
    <row r="940" spans="2:19" x14ac:dyDescent="0.2">
      <c r="B940" s="11"/>
      <c r="C940" s="11"/>
      <c r="D940" s="10" t="str">
        <f t="shared" si="168"/>
        <v/>
      </c>
      <c r="E940" s="15" t="str">
        <f t="shared" si="169"/>
        <v/>
      </c>
      <c r="F940" s="11"/>
      <c r="G940" s="16" t="str">
        <f t="shared" si="170"/>
        <v/>
      </c>
      <c r="H940" s="17"/>
      <c r="I940" s="16" t="str">
        <f t="shared" si="171"/>
        <v/>
      </c>
      <c r="J940" s="16" t="str">
        <f t="shared" si="172"/>
        <v/>
      </c>
      <c r="K940" s="18" t="str">
        <f t="shared" si="173"/>
        <v/>
      </c>
      <c r="L940" s="16" t="str">
        <f t="shared" si="174"/>
        <v/>
      </c>
      <c r="M940" s="16" t="str">
        <f t="shared" si="175"/>
        <v/>
      </c>
      <c r="N940" s="16" t="str">
        <f t="shared" si="176"/>
        <v/>
      </c>
      <c r="O940" s="16" t="str">
        <f t="shared" si="177"/>
        <v/>
      </c>
      <c r="P940" s="16" t="str">
        <f t="shared" si="178"/>
        <v/>
      </c>
      <c r="Q940" s="18" t="str">
        <f t="shared" si="179"/>
        <v/>
      </c>
      <c r="R940" s="19" t="str">
        <f>IF(C940="","",IF(ISNA(MATCH(B940,'Registru oferte'!$B$5:$B$504,0)),"Oferta nu există în registru",IF(N(F940)&lt;=0,"Lipsește cantitatea",IF(AND(ISNUMBER(Q940),Q940&lt;MarjaMin),"Marjă sub minim ("&amp;TEXT(Q940*100,"0")&amp;"%)",""))))</f>
        <v/>
      </c>
      <c r="S940" s="1" t="str">
        <f>IF(B940="","",B940&amp;"|"&amp;COUNTIF($B$5:B940,B940))</f>
        <v/>
      </c>
    </row>
    <row r="941" spans="2:19" x14ac:dyDescent="0.2">
      <c r="B941" s="11"/>
      <c r="C941" s="11"/>
      <c r="D941" s="10" t="str">
        <f t="shared" si="168"/>
        <v/>
      </c>
      <c r="E941" s="15" t="str">
        <f t="shared" si="169"/>
        <v/>
      </c>
      <c r="F941" s="11"/>
      <c r="G941" s="16" t="str">
        <f t="shared" si="170"/>
        <v/>
      </c>
      <c r="H941" s="17"/>
      <c r="I941" s="16" t="str">
        <f t="shared" si="171"/>
        <v/>
      </c>
      <c r="J941" s="16" t="str">
        <f t="shared" si="172"/>
        <v/>
      </c>
      <c r="K941" s="18" t="str">
        <f t="shared" si="173"/>
        <v/>
      </c>
      <c r="L941" s="16" t="str">
        <f t="shared" si="174"/>
        <v/>
      </c>
      <c r="M941" s="16" t="str">
        <f t="shared" si="175"/>
        <v/>
      </c>
      <c r="N941" s="16" t="str">
        <f t="shared" si="176"/>
        <v/>
      </c>
      <c r="O941" s="16" t="str">
        <f t="shared" si="177"/>
        <v/>
      </c>
      <c r="P941" s="16" t="str">
        <f t="shared" si="178"/>
        <v/>
      </c>
      <c r="Q941" s="18" t="str">
        <f t="shared" si="179"/>
        <v/>
      </c>
      <c r="R941" s="19" t="str">
        <f>IF(C941="","",IF(ISNA(MATCH(B941,'Registru oferte'!$B$5:$B$504,0)),"Oferta nu există în registru",IF(N(F941)&lt;=0,"Lipsește cantitatea",IF(AND(ISNUMBER(Q941),Q941&lt;MarjaMin),"Marjă sub minim ("&amp;TEXT(Q941*100,"0")&amp;"%)",""))))</f>
        <v/>
      </c>
      <c r="S941" s="1" t="str">
        <f>IF(B941="","",B941&amp;"|"&amp;COUNTIF($B$5:B941,B941))</f>
        <v/>
      </c>
    </row>
    <row r="942" spans="2:19" x14ac:dyDescent="0.2">
      <c r="B942" s="11"/>
      <c r="C942" s="11"/>
      <c r="D942" s="10" t="str">
        <f t="shared" si="168"/>
        <v/>
      </c>
      <c r="E942" s="15" t="str">
        <f t="shared" si="169"/>
        <v/>
      </c>
      <c r="F942" s="11"/>
      <c r="G942" s="16" t="str">
        <f t="shared" si="170"/>
        <v/>
      </c>
      <c r="H942" s="17"/>
      <c r="I942" s="16" t="str">
        <f t="shared" si="171"/>
        <v/>
      </c>
      <c r="J942" s="16" t="str">
        <f t="shared" si="172"/>
        <v/>
      </c>
      <c r="K942" s="18" t="str">
        <f t="shared" si="173"/>
        <v/>
      </c>
      <c r="L942" s="16" t="str">
        <f t="shared" si="174"/>
        <v/>
      </c>
      <c r="M942" s="16" t="str">
        <f t="shared" si="175"/>
        <v/>
      </c>
      <c r="N942" s="16" t="str">
        <f t="shared" si="176"/>
        <v/>
      </c>
      <c r="O942" s="16" t="str">
        <f t="shared" si="177"/>
        <v/>
      </c>
      <c r="P942" s="16" t="str">
        <f t="shared" si="178"/>
        <v/>
      </c>
      <c r="Q942" s="18" t="str">
        <f t="shared" si="179"/>
        <v/>
      </c>
      <c r="R942" s="19" t="str">
        <f>IF(C942="","",IF(ISNA(MATCH(B942,'Registru oferte'!$B$5:$B$504,0)),"Oferta nu există în registru",IF(N(F942)&lt;=0,"Lipsește cantitatea",IF(AND(ISNUMBER(Q942),Q942&lt;MarjaMin),"Marjă sub minim ("&amp;TEXT(Q942*100,"0")&amp;"%)",""))))</f>
        <v/>
      </c>
      <c r="S942" s="1" t="str">
        <f>IF(B942="","",B942&amp;"|"&amp;COUNTIF($B$5:B942,B942))</f>
        <v/>
      </c>
    </row>
    <row r="943" spans="2:19" x14ac:dyDescent="0.2">
      <c r="B943" s="11"/>
      <c r="C943" s="11"/>
      <c r="D943" s="10" t="str">
        <f t="shared" si="168"/>
        <v/>
      </c>
      <c r="E943" s="15" t="str">
        <f t="shared" si="169"/>
        <v/>
      </c>
      <c r="F943" s="11"/>
      <c r="G943" s="16" t="str">
        <f t="shared" si="170"/>
        <v/>
      </c>
      <c r="H943" s="17"/>
      <c r="I943" s="16" t="str">
        <f t="shared" si="171"/>
        <v/>
      </c>
      <c r="J943" s="16" t="str">
        <f t="shared" si="172"/>
        <v/>
      </c>
      <c r="K943" s="18" t="str">
        <f t="shared" si="173"/>
        <v/>
      </c>
      <c r="L943" s="16" t="str">
        <f t="shared" si="174"/>
        <v/>
      </c>
      <c r="M943" s="16" t="str">
        <f t="shared" si="175"/>
        <v/>
      </c>
      <c r="N943" s="16" t="str">
        <f t="shared" si="176"/>
        <v/>
      </c>
      <c r="O943" s="16" t="str">
        <f t="shared" si="177"/>
        <v/>
      </c>
      <c r="P943" s="16" t="str">
        <f t="shared" si="178"/>
        <v/>
      </c>
      <c r="Q943" s="18" t="str">
        <f t="shared" si="179"/>
        <v/>
      </c>
      <c r="R943" s="19" t="str">
        <f>IF(C943="","",IF(ISNA(MATCH(B943,'Registru oferte'!$B$5:$B$504,0)),"Oferta nu există în registru",IF(N(F943)&lt;=0,"Lipsește cantitatea",IF(AND(ISNUMBER(Q943),Q943&lt;MarjaMin),"Marjă sub minim ("&amp;TEXT(Q943*100,"0")&amp;"%)",""))))</f>
        <v/>
      </c>
      <c r="S943" s="1" t="str">
        <f>IF(B943="","",B943&amp;"|"&amp;COUNTIF($B$5:B943,B943))</f>
        <v/>
      </c>
    </row>
    <row r="944" spans="2:19" x14ac:dyDescent="0.2">
      <c r="B944" s="11"/>
      <c r="C944" s="11"/>
      <c r="D944" s="10" t="str">
        <f t="shared" si="168"/>
        <v/>
      </c>
      <c r="E944" s="15" t="str">
        <f t="shared" si="169"/>
        <v/>
      </c>
      <c r="F944" s="11"/>
      <c r="G944" s="16" t="str">
        <f t="shared" si="170"/>
        <v/>
      </c>
      <c r="H944" s="17"/>
      <c r="I944" s="16" t="str">
        <f t="shared" si="171"/>
        <v/>
      </c>
      <c r="J944" s="16" t="str">
        <f t="shared" si="172"/>
        <v/>
      </c>
      <c r="K944" s="18" t="str">
        <f t="shared" si="173"/>
        <v/>
      </c>
      <c r="L944" s="16" t="str">
        <f t="shared" si="174"/>
        <v/>
      </c>
      <c r="M944" s="16" t="str">
        <f t="shared" si="175"/>
        <v/>
      </c>
      <c r="N944" s="16" t="str">
        <f t="shared" si="176"/>
        <v/>
      </c>
      <c r="O944" s="16" t="str">
        <f t="shared" si="177"/>
        <v/>
      </c>
      <c r="P944" s="16" t="str">
        <f t="shared" si="178"/>
        <v/>
      </c>
      <c r="Q944" s="18" t="str">
        <f t="shared" si="179"/>
        <v/>
      </c>
      <c r="R944" s="19" t="str">
        <f>IF(C944="","",IF(ISNA(MATCH(B944,'Registru oferte'!$B$5:$B$504,0)),"Oferta nu există în registru",IF(N(F944)&lt;=0,"Lipsește cantitatea",IF(AND(ISNUMBER(Q944),Q944&lt;MarjaMin),"Marjă sub minim ("&amp;TEXT(Q944*100,"0")&amp;"%)",""))))</f>
        <v/>
      </c>
      <c r="S944" s="1" t="str">
        <f>IF(B944="","",B944&amp;"|"&amp;COUNTIF($B$5:B944,B944))</f>
        <v/>
      </c>
    </row>
    <row r="945" spans="2:19" x14ac:dyDescent="0.2">
      <c r="B945" s="11"/>
      <c r="C945" s="11"/>
      <c r="D945" s="10" t="str">
        <f t="shared" si="168"/>
        <v/>
      </c>
      <c r="E945" s="15" t="str">
        <f t="shared" si="169"/>
        <v/>
      </c>
      <c r="F945" s="11"/>
      <c r="G945" s="16" t="str">
        <f t="shared" si="170"/>
        <v/>
      </c>
      <c r="H945" s="17"/>
      <c r="I945" s="16" t="str">
        <f t="shared" si="171"/>
        <v/>
      </c>
      <c r="J945" s="16" t="str">
        <f t="shared" si="172"/>
        <v/>
      </c>
      <c r="K945" s="18" t="str">
        <f t="shared" si="173"/>
        <v/>
      </c>
      <c r="L945" s="16" t="str">
        <f t="shared" si="174"/>
        <v/>
      </c>
      <c r="M945" s="16" t="str">
        <f t="shared" si="175"/>
        <v/>
      </c>
      <c r="N945" s="16" t="str">
        <f t="shared" si="176"/>
        <v/>
      </c>
      <c r="O945" s="16" t="str">
        <f t="shared" si="177"/>
        <v/>
      </c>
      <c r="P945" s="16" t="str">
        <f t="shared" si="178"/>
        <v/>
      </c>
      <c r="Q945" s="18" t="str">
        <f t="shared" si="179"/>
        <v/>
      </c>
      <c r="R945" s="19" t="str">
        <f>IF(C945="","",IF(ISNA(MATCH(B945,'Registru oferte'!$B$5:$B$504,0)),"Oferta nu există în registru",IF(N(F945)&lt;=0,"Lipsește cantitatea",IF(AND(ISNUMBER(Q945),Q945&lt;MarjaMin),"Marjă sub minim ("&amp;TEXT(Q945*100,"0")&amp;"%)",""))))</f>
        <v/>
      </c>
      <c r="S945" s="1" t="str">
        <f>IF(B945="","",B945&amp;"|"&amp;COUNTIF($B$5:B945,B945))</f>
        <v/>
      </c>
    </row>
    <row r="946" spans="2:19" x14ac:dyDescent="0.2">
      <c r="B946" s="11"/>
      <c r="C946" s="11"/>
      <c r="D946" s="10" t="str">
        <f t="shared" si="168"/>
        <v/>
      </c>
      <c r="E946" s="15" t="str">
        <f t="shared" si="169"/>
        <v/>
      </c>
      <c r="F946" s="11"/>
      <c r="G946" s="16" t="str">
        <f t="shared" si="170"/>
        <v/>
      </c>
      <c r="H946" s="17"/>
      <c r="I946" s="16" t="str">
        <f t="shared" si="171"/>
        <v/>
      </c>
      <c r="J946" s="16" t="str">
        <f t="shared" si="172"/>
        <v/>
      </c>
      <c r="K946" s="18" t="str">
        <f t="shared" si="173"/>
        <v/>
      </c>
      <c r="L946" s="16" t="str">
        <f t="shared" si="174"/>
        <v/>
      </c>
      <c r="M946" s="16" t="str">
        <f t="shared" si="175"/>
        <v/>
      </c>
      <c r="N946" s="16" t="str">
        <f t="shared" si="176"/>
        <v/>
      </c>
      <c r="O946" s="16" t="str">
        <f t="shared" si="177"/>
        <v/>
      </c>
      <c r="P946" s="16" t="str">
        <f t="shared" si="178"/>
        <v/>
      </c>
      <c r="Q946" s="18" t="str">
        <f t="shared" si="179"/>
        <v/>
      </c>
      <c r="R946" s="19" t="str">
        <f>IF(C946="","",IF(ISNA(MATCH(B946,'Registru oferte'!$B$5:$B$504,0)),"Oferta nu există în registru",IF(N(F946)&lt;=0,"Lipsește cantitatea",IF(AND(ISNUMBER(Q946),Q946&lt;MarjaMin),"Marjă sub minim ("&amp;TEXT(Q946*100,"0")&amp;"%)",""))))</f>
        <v/>
      </c>
      <c r="S946" s="1" t="str">
        <f>IF(B946="","",B946&amp;"|"&amp;COUNTIF($B$5:B946,B946))</f>
        <v/>
      </c>
    </row>
    <row r="947" spans="2:19" x14ac:dyDescent="0.2">
      <c r="B947" s="11"/>
      <c r="C947" s="11"/>
      <c r="D947" s="10" t="str">
        <f t="shared" si="168"/>
        <v/>
      </c>
      <c r="E947" s="15" t="str">
        <f t="shared" si="169"/>
        <v/>
      </c>
      <c r="F947" s="11"/>
      <c r="G947" s="16" t="str">
        <f t="shared" si="170"/>
        <v/>
      </c>
      <c r="H947" s="17"/>
      <c r="I947" s="16" t="str">
        <f t="shared" si="171"/>
        <v/>
      </c>
      <c r="J947" s="16" t="str">
        <f t="shared" si="172"/>
        <v/>
      </c>
      <c r="K947" s="18" t="str">
        <f t="shared" si="173"/>
        <v/>
      </c>
      <c r="L947" s="16" t="str">
        <f t="shared" si="174"/>
        <v/>
      </c>
      <c r="M947" s="16" t="str">
        <f t="shared" si="175"/>
        <v/>
      </c>
      <c r="N947" s="16" t="str">
        <f t="shared" si="176"/>
        <v/>
      </c>
      <c r="O947" s="16" t="str">
        <f t="shared" si="177"/>
        <v/>
      </c>
      <c r="P947" s="16" t="str">
        <f t="shared" si="178"/>
        <v/>
      </c>
      <c r="Q947" s="18" t="str">
        <f t="shared" si="179"/>
        <v/>
      </c>
      <c r="R947" s="19" t="str">
        <f>IF(C947="","",IF(ISNA(MATCH(B947,'Registru oferte'!$B$5:$B$504,0)),"Oferta nu există în registru",IF(N(F947)&lt;=0,"Lipsește cantitatea",IF(AND(ISNUMBER(Q947),Q947&lt;MarjaMin),"Marjă sub minim ("&amp;TEXT(Q947*100,"0")&amp;"%)",""))))</f>
        <v/>
      </c>
      <c r="S947" s="1" t="str">
        <f>IF(B947="","",B947&amp;"|"&amp;COUNTIF($B$5:B947,B947))</f>
        <v/>
      </c>
    </row>
    <row r="948" spans="2:19" x14ac:dyDescent="0.2">
      <c r="B948" s="11"/>
      <c r="C948" s="11"/>
      <c r="D948" s="10" t="str">
        <f t="shared" si="168"/>
        <v/>
      </c>
      <c r="E948" s="15" t="str">
        <f t="shared" si="169"/>
        <v/>
      </c>
      <c r="F948" s="11"/>
      <c r="G948" s="16" t="str">
        <f t="shared" si="170"/>
        <v/>
      </c>
      <c r="H948" s="17"/>
      <c r="I948" s="16" t="str">
        <f t="shared" si="171"/>
        <v/>
      </c>
      <c r="J948" s="16" t="str">
        <f t="shared" si="172"/>
        <v/>
      </c>
      <c r="K948" s="18" t="str">
        <f t="shared" si="173"/>
        <v/>
      </c>
      <c r="L948" s="16" t="str">
        <f t="shared" si="174"/>
        <v/>
      </c>
      <c r="M948" s="16" t="str">
        <f t="shared" si="175"/>
        <v/>
      </c>
      <c r="N948" s="16" t="str">
        <f t="shared" si="176"/>
        <v/>
      </c>
      <c r="O948" s="16" t="str">
        <f t="shared" si="177"/>
        <v/>
      </c>
      <c r="P948" s="16" t="str">
        <f t="shared" si="178"/>
        <v/>
      </c>
      <c r="Q948" s="18" t="str">
        <f t="shared" si="179"/>
        <v/>
      </c>
      <c r="R948" s="19" t="str">
        <f>IF(C948="","",IF(ISNA(MATCH(B948,'Registru oferte'!$B$5:$B$504,0)),"Oferta nu există în registru",IF(N(F948)&lt;=0,"Lipsește cantitatea",IF(AND(ISNUMBER(Q948),Q948&lt;MarjaMin),"Marjă sub minim ("&amp;TEXT(Q948*100,"0")&amp;"%)",""))))</f>
        <v/>
      </c>
      <c r="S948" s="1" t="str">
        <f>IF(B948="","",B948&amp;"|"&amp;COUNTIF($B$5:B948,B948))</f>
        <v/>
      </c>
    </row>
    <row r="949" spans="2:19" x14ac:dyDescent="0.2">
      <c r="B949" s="11"/>
      <c r="C949" s="11"/>
      <c r="D949" s="10" t="str">
        <f t="shared" si="168"/>
        <v/>
      </c>
      <c r="E949" s="15" t="str">
        <f t="shared" si="169"/>
        <v/>
      </c>
      <c r="F949" s="11"/>
      <c r="G949" s="16" t="str">
        <f t="shared" si="170"/>
        <v/>
      </c>
      <c r="H949" s="17"/>
      <c r="I949" s="16" t="str">
        <f t="shared" si="171"/>
        <v/>
      </c>
      <c r="J949" s="16" t="str">
        <f t="shared" si="172"/>
        <v/>
      </c>
      <c r="K949" s="18" t="str">
        <f t="shared" si="173"/>
        <v/>
      </c>
      <c r="L949" s="16" t="str">
        <f t="shared" si="174"/>
        <v/>
      </c>
      <c r="M949" s="16" t="str">
        <f t="shared" si="175"/>
        <v/>
      </c>
      <c r="N949" s="16" t="str">
        <f t="shared" si="176"/>
        <v/>
      </c>
      <c r="O949" s="16" t="str">
        <f t="shared" si="177"/>
        <v/>
      </c>
      <c r="P949" s="16" t="str">
        <f t="shared" si="178"/>
        <v/>
      </c>
      <c r="Q949" s="18" t="str">
        <f t="shared" si="179"/>
        <v/>
      </c>
      <c r="R949" s="19" t="str">
        <f>IF(C949="","",IF(ISNA(MATCH(B949,'Registru oferte'!$B$5:$B$504,0)),"Oferta nu există în registru",IF(N(F949)&lt;=0,"Lipsește cantitatea",IF(AND(ISNUMBER(Q949),Q949&lt;MarjaMin),"Marjă sub minim ("&amp;TEXT(Q949*100,"0")&amp;"%)",""))))</f>
        <v/>
      </c>
      <c r="S949" s="1" t="str">
        <f>IF(B949="","",B949&amp;"|"&amp;COUNTIF($B$5:B949,B949))</f>
        <v/>
      </c>
    </row>
    <row r="950" spans="2:19" x14ac:dyDescent="0.2">
      <c r="B950" s="11"/>
      <c r="C950" s="11"/>
      <c r="D950" s="10" t="str">
        <f t="shared" si="168"/>
        <v/>
      </c>
      <c r="E950" s="15" t="str">
        <f t="shared" si="169"/>
        <v/>
      </c>
      <c r="F950" s="11"/>
      <c r="G950" s="16" t="str">
        <f t="shared" si="170"/>
        <v/>
      </c>
      <c r="H950" s="17"/>
      <c r="I950" s="16" t="str">
        <f t="shared" si="171"/>
        <v/>
      </c>
      <c r="J950" s="16" t="str">
        <f t="shared" si="172"/>
        <v/>
      </c>
      <c r="K950" s="18" t="str">
        <f t="shared" si="173"/>
        <v/>
      </c>
      <c r="L950" s="16" t="str">
        <f t="shared" si="174"/>
        <v/>
      </c>
      <c r="M950" s="16" t="str">
        <f t="shared" si="175"/>
        <v/>
      </c>
      <c r="N950" s="16" t="str">
        <f t="shared" si="176"/>
        <v/>
      </c>
      <c r="O950" s="16" t="str">
        <f t="shared" si="177"/>
        <v/>
      </c>
      <c r="P950" s="16" t="str">
        <f t="shared" si="178"/>
        <v/>
      </c>
      <c r="Q950" s="18" t="str">
        <f t="shared" si="179"/>
        <v/>
      </c>
      <c r="R950" s="19" t="str">
        <f>IF(C950="","",IF(ISNA(MATCH(B950,'Registru oferte'!$B$5:$B$504,0)),"Oferta nu există în registru",IF(N(F950)&lt;=0,"Lipsește cantitatea",IF(AND(ISNUMBER(Q950),Q950&lt;MarjaMin),"Marjă sub minim ("&amp;TEXT(Q950*100,"0")&amp;"%)",""))))</f>
        <v/>
      </c>
      <c r="S950" s="1" t="str">
        <f>IF(B950="","",B950&amp;"|"&amp;COUNTIF($B$5:B950,B950))</f>
        <v/>
      </c>
    </row>
    <row r="951" spans="2:19" x14ac:dyDescent="0.2">
      <c r="B951" s="11"/>
      <c r="C951" s="11"/>
      <c r="D951" s="10" t="str">
        <f t="shared" si="168"/>
        <v/>
      </c>
      <c r="E951" s="15" t="str">
        <f t="shared" si="169"/>
        <v/>
      </c>
      <c r="F951" s="11"/>
      <c r="G951" s="16" t="str">
        <f t="shared" si="170"/>
        <v/>
      </c>
      <c r="H951" s="17"/>
      <c r="I951" s="16" t="str">
        <f t="shared" si="171"/>
        <v/>
      </c>
      <c r="J951" s="16" t="str">
        <f t="shared" si="172"/>
        <v/>
      </c>
      <c r="K951" s="18" t="str">
        <f t="shared" si="173"/>
        <v/>
      </c>
      <c r="L951" s="16" t="str">
        <f t="shared" si="174"/>
        <v/>
      </c>
      <c r="M951" s="16" t="str">
        <f t="shared" si="175"/>
        <v/>
      </c>
      <c r="N951" s="16" t="str">
        <f t="shared" si="176"/>
        <v/>
      </c>
      <c r="O951" s="16" t="str">
        <f t="shared" si="177"/>
        <v/>
      </c>
      <c r="P951" s="16" t="str">
        <f t="shared" si="178"/>
        <v/>
      </c>
      <c r="Q951" s="18" t="str">
        <f t="shared" si="179"/>
        <v/>
      </c>
      <c r="R951" s="19" t="str">
        <f>IF(C951="","",IF(ISNA(MATCH(B951,'Registru oferte'!$B$5:$B$504,0)),"Oferta nu există în registru",IF(N(F951)&lt;=0,"Lipsește cantitatea",IF(AND(ISNUMBER(Q951),Q951&lt;MarjaMin),"Marjă sub minim ("&amp;TEXT(Q951*100,"0")&amp;"%)",""))))</f>
        <v/>
      </c>
      <c r="S951" s="1" t="str">
        <f>IF(B951="","",B951&amp;"|"&amp;COUNTIF($B$5:B951,B951))</f>
        <v/>
      </c>
    </row>
    <row r="952" spans="2:19" x14ac:dyDescent="0.2">
      <c r="B952" s="11"/>
      <c r="C952" s="11"/>
      <c r="D952" s="10" t="str">
        <f t="shared" si="168"/>
        <v/>
      </c>
      <c r="E952" s="15" t="str">
        <f t="shared" si="169"/>
        <v/>
      </c>
      <c r="F952" s="11"/>
      <c r="G952" s="16" t="str">
        <f t="shared" si="170"/>
        <v/>
      </c>
      <c r="H952" s="17"/>
      <c r="I952" s="16" t="str">
        <f t="shared" si="171"/>
        <v/>
      </c>
      <c r="J952" s="16" t="str">
        <f t="shared" si="172"/>
        <v/>
      </c>
      <c r="K952" s="18" t="str">
        <f t="shared" si="173"/>
        <v/>
      </c>
      <c r="L952" s="16" t="str">
        <f t="shared" si="174"/>
        <v/>
      </c>
      <c r="M952" s="16" t="str">
        <f t="shared" si="175"/>
        <v/>
      </c>
      <c r="N952" s="16" t="str">
        <f t="shared" si="176"/>
        <v/>
      </c>
      <c r="O952" s="16" t="str">
        <f t="shared" si="177"/>
        <v/>
      </c>
      <c r="P952" s="16" t="str">
        <f t="shared" si="178"/>
        <v/>
      </c>
      <c r="Q952" s="18" t="str">
        <f t="shared" si="179"/>
        <v/>
      </c>
      <c r="R952" s="19" t="str">
        <f>IF(C952="","",IF(ISNA(MATCH(B952,'Registru oferte'!$B$5:$B$504,0)),"Oferta nu există în registru",IF(N(F952)&lt;=0,"Lipsește cantitatea",IF(AND(ISNUMBER(Q952),Q952&lt;MarjaMin),"Marjă sub minim ("&amp;TEXT(Q952*100,"0")&amp;"%)",""))))</f>
        <v/>
      </c>
      <c r="S952" s="1" t="str">
        <f>IF(B952="","",B952&amp;"|"&amp;COUNTIF($B$5:B952,B952))</f>
        <v/>
      </c>
    </row>
    <row r="953" spans="2:19" x14ac:dyDescent="0.2">
      <c r="B953" s="11"/>
      <c r="C953" s="11"/>
      <c r="D953" s="10" t="str">
        <f t="shared" si="168"/>
        <v/>
      </c>
      <c r="E953" s="15" t="str">
        <f t="shared" si="169"/>
        <v/>
      </c>
      <c r="F953" s="11"/>
      <c r="G953" s="16" t="str">
        <f t="shared" si="170"/>
        <v/>
      </c>
      <c r="H953" s="17"/>
      <c r="I953" s="16" t="str">
        <f t="shared" si="171"/>
        <v/>
      </c>
      <c r="J953" s="16" t="str">
        <f t="shared" si="172"/>
        <v/>
      </c>
      <c r="K953" s="18" t="str">
        <f t="shared" si="173"/>
        <v/>
      </c>
      <c r="L953" s="16" t="str">
        <f t="shared" si="174"/>
        <v/>
      </c>
      <c r="M953" s="16" t="str">
        <f t="shared" si="175"/>
        <v/>
      </c>
      <c r="N953" s="16" t="str">
        <f t="shared" si="176"/>
        <v/>
      </c>
      <c r="O953" s="16" t="str">
        <f t="shared" si="177"/>
        <v/>
      </c>
      <c r="P953" s="16" t="str">
        <f t="shared" si="178"/>
        <v/>
      </c>
      <c r="Q953" s="18" t="str">
        <f t="shared" si="179"/>
        <v/>
      </c>
      <c r="R953" s="19" t="str">
        <f>IF(C953="","",IF(ISNA(MATCH(B953,'Registru oferte'!$B$5:$B$504,0)),"Oferta nu există în registru",IF(N(F953)&lt;=0,"Lipsește cantitatea",IF(AND(ISNUMBER(Q953),Q953&lt;MarjaMin),"Marjă sub minim ("&amp;TEXT(Q953*100,"0")&amp;"%)",""))))</f>
        <v/>
      </c>
      <c r="S953" s="1" t="str">
        <f>IF(B953="","",B953&amp;"|"&amp;COUNTIF($B$5:B953,B953))</f>
        <v/>
      </c>
    </row>
    <row r="954" spans="2:19" x14ac:dyDescent="0.2">
      <c r="B954" s="11"/>
      <c r="C954" s="11"/>
      <c r="D954" s="10" t="str">
        <f t="shared" si="168"/>
        <v/>
      </c>
      <c r="E954" s="15" t="str">
        <f t="shared" si="169"/>
        <v/>
      </c>
      <c r="F954" s="11"/>
      <c r="G954" s="16" t="str">
        <f t="shared" si="170"/>
        <v/>
      </c>
      <c r="H954" s="17"/>
      <c r="I954" s="16" t="str">
        <f t="shared" si="171"/>
        <v/>
      </c>
      <c r="J954" s="16" t="str">
        <f t="shared" si="172"/>
        <v/>
      </c>
      <c r="K954" s="18" t="str">
        <f t="shared" si="173"/>
        <v/>
      </c>
      <c r="L954" s="16" t="str">
        <f t="shared" si="174"/>
        <v/>
      </c>
      <c r="M954" s="16" t="str">
        <f t="shared" si="175"/>
        <v/>
      </c>
      <c r="N954" s="16" t="str">
        <f t="shared" si="176"/>
        <v/>
      </c>
      <c r="O954" s="16" t="str">
        <f t="shared" si="177"/>
        <v/>
      </c>
      <c r="P954" s="16" t="str">
        <f t="shared" si="178"/>
        <v/>
      </c>
      <c r="Q954" s="18" t="str">
        <f t="shared" si="179"/>
        <v/>
      </c>
      <c r="R954" s="19" t="str">
        <f>IF(C954="","",IF(ISNA(MATCH(B954,'Registru oferte'!$B$5:$B$504,0)),"Oferta nu există în registru",IF(N(F954)&lt;=0,"Lipsește cantitatea",IF(AND(ISNUMBER(Q954),Q954&lt;MarjaMin),"Marjă sub minim ("&amp;TEXT(Q954*100,"0")&amp;"%)",""))))</f>
        <v/>
      </c>
      <c r="S954" s="1" t="str">
        <f>IF(B954="","",B954&amp;"|"&amp;COUNTIF($B$5:B954,B954))</f>
        <v/>
      </c>
    </row>
    <row r="955" spans="2:19" x14ac:dyDescent="0.2">
      <c r="B955" s="11"/>
      <c r="C955" s="11"/>
      <c r="D955" s="10" t="str">
        <f t="shared" si="168"/>
        <v/>
      </c>
      <c r="E955" s="15" t="str">
        <f t="shared" si="169"/>
        <v/>
      </c>
      <c r="F955" s="11"/>
      <c r="G955" s="16" t="str">
        <f t="shared" si="170"/>
        <v/>
      </c>
      <c r="H955" s="17"/>
      <c r="I955" s="16" t="str">
        <f t="shared" si="171"/>
        <v/>
      </c>
      <c r="J955" s="16" t="str">
        <f t="shared" si="172"/>
        <v/>
      </c>
      <c r="K955" s="18" t="str">
        <f t="shared" si="173"/>
        <v/>
      </c>
      <c r="L955" s="16" t="str">
        <f t="shared" si="174"/>
        <v/>
      </c>
      <c r="M955" s="16" t="str">
        <f t="shared" si="175"/>
        <v/>
      </c>
      <c r="N955" s="16" t="str">
        <f t="shared" si="176"/>
        <v/>
      </c>
      <c r="O955" s="16" t="str">
        <f t="shared" si="177"/>
        <v/>
      </c>
      <c r="P955" s="16" t="str">
        <f t="shared" si="178"/>
        <v/>
      </c>
      <c r="Q955" s="18" t="str">
        <f t="shared" si="179"/>
        <v/>
      </c>
      <c r="R955" s="19" t="str">
        <f>IF(C955="","",IF(ISNA(MATCH(B955,'Registru oferte'!$B$5:$B$504,0)),"Oferta nu există în registru",IF(N(F955)&lt;=0,"Lipsește cantitatea",IF(AND(ISNUMBER(Q955),Q955&lt;MarjaMin),"Marjă sub minim ("&amp;TEXT(Q955*100,"0")&amp;"%)",""))))</f>
        <v/>
      </c>
      <c r="S955" s="1" t="str">
        <f>IF(B955="","",B955&amp;"|"&amp;COUNTIF($B$5:B955,B955))</f>
        <v/>
      </c>
    </row>
    <row r="956" spans="2:19" x14ac:dyDescent="0.2">
      <c r="B956" s="11"/>
      <c r="C956" s="11"/>
      <c r="D956" s="10" t="str">
        <f t="shared" si="168"/>
        <v/>
      </c>
      <c r="E956" s="15" t="str">
        <f t="shared" si="169"/>
        <v/>
      </c>
      <c r="F956" s="11"/>
      <c r="G956" s="16" t="str">
        <f t="shared" si="170"/>
        <v/>
      </c>
      <c r="H956" s="17"/>
      <c r="I956" s="16" t="str">
        <f t="shared" si="171"/>
        <v/>
      </c>
      <c r="J956" s="16" t="str">
        <f t="shared" si="172"/>
        <v/>
      </c>
      <c r="K956" s="18" t="str">
        <f t="shared" si="173"/>
        <v/>
      </c>
      <c r="L956" s="16" t="str">
        <f t="shared" si="174"/>
        <v/>
      </c>
      <c r="M956" s="16" t="str">
        <f t="shared" si="175"/>
        <v/>
      </c>
      <c r="N956" s="16" t="str">
        <f t="shared" si="176"/>
        <v/>
      </c>
      <c r="O956" s="16" t="str">
        <f t="shared" si="177"/>
        <v/>
      </c>
      <c r="P956" s="16" t="str">
        <f t="shared" si="178"/>
        <v/>
      </c>
      <c r="Q956" s="18" t="str">
        <f t="shared" si="179"/>
        <v/>
      </c>
      <c r="R956" s="19" t="str">
        <f>IF(C956="","",IF(ISNA(MATCH(B956,'Registru oferte'!$B$5:$B$504,0)),"Oferta nu există în registru",IF(N(F956)&lt;=0,"Lipsește cantitatea",IF(AND(ISNUMBER(Q956),Q956&lt;MarjaMin),"Marjă sub minim ("&amp;TEXT(Q956*100,"0")&amp;"%)",""))))</f>
        <v/>
      </c>
      <c r="S956" s="1" t="str">
        <f>IF(B956="","",B956&amp;"|"&amp;COUNTIF($B$5:B956,B956))</f>
        <v/>
      </c>
    </row>
    <row r="957" spans="2:19" x14ac:dyDescent="0.2">
      <c r="B957" s="11"/>
      <c r="C957" s="11"/>
      <c r="D957" s="10" t="str">
        <f t="shared" si="168"/>
        <v/>
      </c>
      <c r="E957" s="15" t="str">
        <f t="shared" si="169"/>
        <v/>
      </c>
      <c r="F957" s="11"/>
      <c r="G957" s="16" t="str">
        <f t="shared" si="170"/>
        <v/>
      </c>
      <c r="H957" s="17"/>
      <c r="I957" s="16" t="str">
        <f t="shared" si="171"/>
        <v/>
      </c>
      <c r="J957" s="16" t="str">
        <f t="shared" si="172"/>
        <v/>
      </c>
      <c r="K957" s="18" t="str">
        <f t="shared" si="173"/>
        <v/>
      </c>
      <c r="L957" s="16" t="str">
        <f t="shared" si="174"/>
        <v/>
      </c>
      <c r="M957" s="16" t="str">
        <f t="shared" si="175"/>
        <v/>
      </c>
      <c r="N957" s="16" t="str">
        <f t="shared" si="176"/>
        <v/>
      </c>
      <c r="O957" s="16" t="str">
        <f t="shared" si="177"/>
        <v/>
      </c>
      <c r="P957" s="16" t="str">
        <f t="shared" si="178"/>
        <v/>
      </c>
      <c r="Q957" s="18" t="str">
        <f t="shared" si="179"/>
        <v/>
      </c>
      <c r="R957" s="19" t="str">
        <f>IF(C957="","",IF(ISNA(MATCH(B957,'Registru oferte'!$B$5:$B$504,0)),"Oferta nu există în registru",IF(N(F957)&lt;=0,"Lipsește cantitatea",IF(AND(ISNUMBER(Q957),Q957&lt;MarjaMin),"Marjă sub minim ("&amp;TEXT(Q957*100,"0")&amp;"%)",""))))</f>
        <v/>
      </c>
      <c r="S957" s="1" t="str">
        <f>IF(B957="","",B957&amp;"|"&amp;COUNTIF($B$5:B957,B957))</f>
        <v/>
      </c>
    </row>
    <row r="958" spans="2:19" x14ac:dyDescent="0.2">
      <c r="B958" s="11"/>
      <c r="C958" s="11"/>
      <c r="D958" s="10" t="str">
        <f t="shared" si="168"/>
        <v/>
      </c>
      <c r="E958" s="15" t="str">
        <f t="shared" si="169"/>
        <v/>
      </c>
      <c r="F958" s="11"/>
      <c r="G958" s="16" t="str">
        <f t="shared" si="170"/>
        <v/>
      </c>
      <c r="H958" s="17"/>
      <c r="I958" s="16" t="str">
        <f t="shared" si="171"/>
        <v/>
      </c>
      <c r="J958" s="16" t="str">
        <f t="shared" si="172"/>
        <v/>
      </c>
      <c r="K958" s="18" t="str">
        <f t="shared" si="173"/>
        <v/>
      </c>
      <c r="L958" s="16" t="str">
        <f t="shared" si="174"/>
        <v/>
      </c>
      <c r="M958" s="16" t="str">
        <f t="shared" si="175"/>
        <v/>
      </c>
      <c r="N958" s="16" t="str">
        <f t="shared" si="176"/>
        <v/>
      </c>
      <c r="O958" s="16" t="str">
        <f t="shared" si="177"/>
        <v/>
      </c>
      <c r="P958" s="16" t="str">
        <f t="shared" si="178"/>
        <v/>
      </c>
      <c r="Q958" s="18" t="str">
        <f t="shared" si="179"/>
        <v/>
      </c>
      <c r="R958" s="19" t="str">
        <f>IF(C958="","",IF(ISNA(MATCH(B958,'Registru oferte'!$B$5:$B$504,0)),"Oferta nu există în registru",IF(N(F958)&lt;=0,"Lipsește cantitatea",IF(AND(ISNUMBER(Q958),Q958&lt;MarjaMin),"Marjă sub minim ("&amp;TEXT(Q958*100,"0")&amp;"%)",""))))</f>
        <v/>
      </c>
      <c r="S958" s="1" t="str">
        <f>IF(B958="","",B958&amp;"|"&amp;COUNTIF($B$5:B958,B958))</f>
        <v/>
      </c>
    </row>
    <row r="959" spans="2:19" x14ac:dyDescent="0.2">
      <c r="B959" s="11"/>
      <c r="C959" s="11"/>
      <c r="D959" s="10" t="str">
        <f t="shared" si="168"/>
        <v/>
      </c>
      <c r="E959" s="15" t="str">
        <f t="shared" si="169"/>
        <v/>
      </c>
      <c r="F959" s="11"/>
      <c r="G959" s="16" t="str">
        <f t="shared" si="170"/>
        <v/>
      </c>
      <c r="H959" s="17"/>
      <c r="I959" s="16" t="str">
        <f t="shared" si="171"/>
        <v/>
      </c>
      <c r="J959" s="16" t="str">
        <f t="shared" si="172"/>
        <v/>
      </c>
      <c r="K959" s="18" t="str">
        <f t="shared" si="173"/>
        <v/>
      </c>
      <c r="L959" s="16" t="str">
        <f t="shared" si="174"/>
        <v/>
      </c>
      <c r="M959" s="16" t="str">
        <f t="shared" si="175"/>
        <v/>
      </c>
      <c r="N959" s="16" t="str">
        <f t="shared" si="176"/>
        <v/>
      </c>
      <c r="O959" s="16" t="str">
        <f t="shared" si="177"/>
        <v/>
      </c>
      <c r="P959" s="16" t="str">
        <f t="shared" si="178"/>
        <v/>
      </c>
      <c r="Q959" s="18" t="str">
        <f t="shared" si="179"/>
        <v/>
      </c>
      <c r="R959" s="19" t="str">
        <f>IF(C959="","",IF(ISNA(MATCH(B959,'Registru oferte'!$B$5:$B$504,0)),"Oferta nu există în registru",IF(N(F959)&lt;=0,"Lipsește cantitatea",IF(AND(ISNUMBER(Q959),Q959&lt;MarjaMin),"Marjă sub minim ("&amp;TEXT(Q959*100,"0")&amp;"%)",""))))</f>
        <v/>
      </c>
      <c r="S959" s="1" t="str">
        <f>IF(B959="","",B959&amp;"|"&amp;COUNTIF($B$5:B959,B959))</f>
        <v/>
      </c>
    </row>
    <row r="960" spans="2:19" x14ac:dyDescent="0.2">
      <c r="B960" s="11"/>
      <c r="C960" s="11"/>
      <c r="D960" s="10" t="str">
        <f t="shared" si="168"/>
        <v/>
      </c>
      <c r="E960" s="15" t="str">
        <f t="shared" si="169"/>
        <v/>
      </c>
      <c r="F960" s="11"/>
      <c r="G960" s="16" t="str">
        <f t="shared" si="170"/>
        <v/>
      </c>
      <c r="H960" s="17"/>
      <c r="I960" s="16" t="str">
        <f t="shared" si="171"/>
        <v/>
      </c>
      <c r="J960" s="16" t="str">
        <f t="shared" si="172"/>
        <v/>
      </c>
      <c r="K960" s="18" t="str">
        <f t="shared" si="173"/>
        <v/>
      </c>
      <c r="L960" s="16" t="str">
        <f t="shared" si="174"/>
        <v/>
      </c>
      <c r="M960" s="16" t="str">
        <f t="shared" si="175"/>
        <v/>
      </c>
      <c r="N960" s="16" t="str">
        <f t="shared" si="176"/>
        <v/>
      </c>
      <c r="O960" s="16" t="str">
        <f t="shared" si="177"/>
        <v/>
      </c>
      <c r="P960" s="16" t="str">
        <f t="shared" si="178"/>
        <v/>
      </c>
      <c r="Q960" s="18" t="str">
        <f t="shared" si="179"/>
        <v/>
      </c>
      <c r="R960" s="19" t="str">
        <f>IF(C960="","",IF(ISNA(MATCH(B960,'Registru oferte'!$B$5:$B$504,0)),"Oferta nu există în registru",IF(N(F960)&lt;=0,"Lipsește cantitatea",IF(AND(ISNUMBER(Q960),Q960&lt;MarjaMin),"Marjă sub minim ("&amp;TEXT(Q960*100,"0")&amp;"%)",""))))</f>
        <v/>
      </c>
      <c r="S960" s="1" t="str">
        <f>IF(B960="","",B960&amp;"|"&amp;COUNTIF($B$5:B960,B960))</f>
        <v/>
      </c>
    </row>
    <row r="961" spans="2:19" x14ac:dyDescent="0.2">
      <c r="B961" s="11"/>
      <c r="C961" s="11"/>
      <c r="D961" s="10" t="str">
        <f t="shared" si="168"/>
        <v/>
      </c>
      <c r="E961" s="15" t="str">
        <f t="shared" si="169"/>
        <v/>
      </c>
      <c r="F961" s="11"/>
      <c r="G961" s="16" t="str">
        <f t="shared" si="170"/>
        <v/>
      </c>
      <c r="H961" s="17"/>
      <c r="I961" s="16" t="str">
        <f t="shared" si="171"/>
        <v/>
      </c>
      <c r="J961" s="16" t="str">
        <f t="shared" si="172"/>
        <v/>
      </c>
      <c r="K961" s="18" t="str">
        <f t="shared" si="173"/>
        <v/>
      </c>
      <c r="L961" s="16" t="str">
        <f t="shared" si="174"/>
        <v/>
      </c>
      <c r="M961" s="16" t="str">
        <f t="shared" si="175"/>
        <v/>
      </c>
      <c r="N961" s="16" t="str">
        <f t="shared" si="176"/>
        <v/>
      </c>
      <c r="O961" s="16" t="str">
        <f t="shared" si="177"/>
        <v/>
      </c>
      <c r="P961" s="16" t="str">
        <f t="shared" si="178"/>
        <v/>
      </c>
      <c r="Q961" s="18" t="str">
        <f t="shared" si="179"/>
        <v/>
      </c>
      <c r="R961" s="19" t="str">
        <f>IF(C961="","",IF(ISNA(MATCH(B961,'Registru oferte'!$B$5:$B$504,0)),"Oferta nu există în registru",IF(N(F961)&lt;=0,"Lipsește cantitatea",IF(AND(ISNUMBER(Q961),Q961&lt;MarjaMin),"Marjă sub minim ("&amp;TEXT(Q961*100,"0")&amp;"%)",""))))</f>
        <v/>
      </c>
      <c r="S961" s="1" t="str">
        <f>IF(B961="","",B961&amp;"|"&amp;COUNTIF($B$5:B961,B961))</f>
        <v/>
      </c>
    </row>
    <row r="962" spans="2:19" x14ac:dyDescent="0.2">
      <c r="B962" s="11"/>
      <c r="C962" s="11"/>
      <c r="D962" s="10" t="str">
        <f t="shared" si="168"/>
        <v/>
      </c>
      <c r="E962" s="15" t="str">
        <f t="shared" si="169"/>
        <v/>
      </c>
      <c r="F962" s="11"/>
      <c r="G962" s="16" t="str">
        <f t="shared" si="170"/>
        <v/>
      </c>
      <c r="H962" s="17"/>
      <c r="I962" s="16" t="str">
        <f t="shared" si="171"/>
        <v/>
      </c>
      <c r="J962" s="16" t="str">
        <f t="shared" si="172"/>
        <v/>
      </c>
      <c r="K962" s="18" t="str">
        <f t="shared" si="173"/>
        <v/>
      </c>
      <c r="L962" s="16" t="str">
        <f t="shared" si="174"/>
        <v/>
      </c>
      <c r="M962" s="16" t="str">
        <f t="shared" si="175"/>
        <v/>
      </c>
      <c r="N962" s="16" t="str">
        <f t="shared" si="176"/>
        <v/>
      </c>
      <c r="O962" s="16" t="str">
        <f t="shared" si="177"/>
        <v/>
      </c>
      <c r="P962" s="16" t="str">
        <f t="shared" si="178"/>
        <v/>
      </c>
      <c r="Q962" s="18" t="str">
        <f t="shared" si="179"/>
        <v/>
      </c>
      <c r="R962" s="19" t="str">
        <f>IF(C962="","",IF(ISNA(MATCH(B962,'Registru oferte'!$B$5:$B$504,0)),"Oferta nu există în registru",IF(N(F962)&lt;=0,"Lipsește cantitatea",IF(AND(ISNUMBER(Q962),Q962&lt;MarjaMin),"Marjă sub minim ("&amp;TEXT(Q962*100,"0")&amp;"%)",""))))</f>
        <v/>
      </c>
      <c r="S962" s="1" t="str">
        <f>IF(B962="","",B962&amp;"|"&amp;COUNTIF($B$5:B962,B962))</f>
        <v/>
      </c>
    </row>
    <row r="963" spans="2:19" x14ac:dyDescent="0.2">
      <c r="B963" s="11"/>
      <c r="C963" s="11"/>
      <c r="D963" s="10" t="str">
        <f t="shared" si="168"/>
        <v/>
      </c>
      <c r="E963" s="15" t="str">
        <f t="shared" si="169"/>
        <v/>
      </c>
      <c r="F963" s="11"/>
      <c r="G963" s="16" t="str">
        <f t="shared" si="170"/>
        <v/>
      </c>
      <c r="H963" s="17"/>
      <c r="I963" s="16" t="str">
        <f t="shared" si="171"/>
        <v/>
      </c>
      <c r="J963" s="16" t="str">
        <f t="shared" si="172"/>
        <v/>
      </c>
      <c r="K963" s="18" t="str">
        <f t="shared" si="173"/>
        <v/>
      </c>
      <c r="L963" s="16" t="str">
        <f t="shared" si="174"/>
        <v/>
      </c>
      <c r="M963" s="16" t="str">
        <f t="shared" si="175"/>
        <v/>
      </c>
      <c r="N963" s="16" t="str">
        <f t="shared" si="176"/>
        <v/>
      </c>
      <c r="O963" s="16" t="str">
        <f t="shared" si="177"/>
        <v/>
      </c>
      <c r="P963" s="16" t="str">
        <f t="shared" si="178"/>
        <v/>
      </c>
      <c r="Q963" s="18" t="str">
        <f t="shared" si="179"/>
        <v/>
      </c>
      <c r="R963" s="19" t="str">
        <f>IF(C963="","",IF(ISNA(MATCH(B963,'Registru oferte'!$B$5:$B$504,0)),"Oferta nu există în registru",IF(N(F963)&lt;=0,"Lipsește cantitatea",IF(AND(ISNUMBER(Q963),Q963&lt;MarjaMin),"Marjă sub minim ("&amp;TEXT(Q963*100,"0")&amp;"%)",""))))</f>
        <v/>
      </c>
      <c r="S963" s="1" t="str">
        <f>IF(B963="","",B963&amp;"|"&amp;COUNTIF($B$5:B963,B963))</f>
        <v/>
      </c>
    </row>
    <row r="964" spans="2:19" x14ac:dyDescent="0.2">
      <c r="B964" s="11"/>
      <c r="C964" s="11"/>
      <c r="D964" s="10" t="str">
        <f t="shared" si="168"/>
        <v/>
      </c>
      <c r="E964" s="15" t="str">
        <f t="shared" si="169"/>
        <v/>
      </c>
      <c r="F964" s="11"/>
      <c r="G964" s="16" t="str">
        <f t="shared" si="170"/>
        <v/>
      </c>
      <c r="H964" s="17"/>
      <c r="I964" s="16" t="str">
        <f t="shared" si="171"/>
        <v/>
      </c>
      <c r="J964" s="16" t="str">
        <f t="shared" si="172"/>
        <v/>
      </c>
      <c r="K964" s="18" t="str">
        <f t="shared" si="173"/>
        <v/>
      </c>
      <c r="L964" s="16" t="str">
        <f t="shared" si="174"/>
        <v/>
      </c>
      <c r="M964" s="16" t="str">
        <f t="shared" si="175"/>
        <v/>
      </c>
      <c r="N964" s="16" t="str">
        <f t="shared" si="176"/>
        <v/>
      </c>
      <c r="O964" s="16" t="str">
        <f t="shared" si="177"/>
        <v/>
      </c>
      <c r="P964" s="16" t="str">
        <f t="shared" si="178"/>
        <v/>
      </c>
      <c r="Q964" s="18" t="str">
        <f t="shared" si="179"/>
        <v/>
      </c>
      <c r="R964" s="19" t="str">
        <f>IF(C964="","",IF(ISNA(MATCH(B964,'Registru oferte'!$B$5:$B$504,0)),"Oferta nu există în registru",IF(N(F964)&lt;=0,"Lipsește cantitatea",IF(AND(ISNUMBER(Q964),Q964&lt;MarjaMin),"Marjă sub minim ("&amp;TEXT(Q964*100,"0")&amp;"%)",""))))</f>
        <v/>
      </c>
      <c r="S964" s="1" t="str">
        <f>IF(B964="","",B964&amp;"|"&amp;COUNTIF($B$5:B964,B964))</f>
        <v/>
      </c>
    </row>
    <row r="965" spans="2:19" x14ac:dyDescent="0.2">
      <c r="B965" s="11"/>
      <c r="C965" s="11"/>
      <c r="D965" s="10" t="str">
        <f t="shared" ref="D965:D1028" si="180">IF(C965="","",IFERROR(VLOOKUP(C965,TabCat,2,FALSE),"Cod inexistent"))</f>
        <v/>
      </c>
      <c r="E965" s="15" t="str">
        <f t="shared" ref="E965:E1004" si="181">IF(C965="","",IFERROR(VLOOKUP(C965,TabCat,3,FALSE),""))</f>
        <v/>
      </c>
      <c r="F965" s="11"/>
      <c r="G965" s="16" t="str">
        <f t="shared" ref="G965:G1004" si="182">IF(C965="","",IFERROR(VLOOKUP(C965,TabCat,4,FALSE),0))</f>
        <v/>
      </c>
      <c r="H965" s="17"/>
      <c r="I965" s="16" t="str">
        <f t="shared" ref="I965:I1004" si="183">IF(C965="","",ROUND(G965*(1-N(H965)),2))</f>
        <v/>
      </c>
      <c r="J965" s="16" t="str">
        <f t="shared" ref="J965:J1004" si="184">IF(C965="","",ROUND(I965*N(F965),2))</f>
        <v/>
      </c>
      <c r="K965" s="18" t="str">
        <f t="shared" ref="K965:K1004" si="185">IF(C965="","",IFERROR(VLOOKUP(C965,TabCat,6,FALSE),0))</f>
        <v/>
      </c>
      <c r="L965" s="16" t="str">
        <f t="shared" ref="L965:L1004" si="186">IF(C965="","",ROUND(J965*K965,2))</f>
        <v/>
      </c>
      <c r="M965" s="16" t="str">
        <f t="shared" ref="M965:M1004" si="187">IF(C965="","",J965+L965)</f>
        <v/>
      </c>
      <c r="N965" s="16" t="str">
        <f t="shared" ref="N965:N1004" si="188">IF(C965="","",IFERROR(VLOOKUP(C965,TabCat,5,FALSE),0))</f>
        <v/>
      </c>
      <c r="O965" s="16" t="str">
        <f t="shared" ref="O965:O1004" si="189">IF(C965="","",ROUND(N965*N(F965),2))</f>
        <v/>
      </c>
      <c r="P965" s="16" t="str">
        <f t="shared" ref="P965:P1004" si="190">IF(C965="","",J965-O965)</f>
        <v/>
      </c>
      <c r="Q965" s="18" t="str">
        <f t="shared" ref="Q965:Q1004" si="191">IF(OR(C965="",N(J965)=0),"",P965/J965)</f>
        <v/>
      </c>
      <c r="R965" s="19" t="str">
        <f>IF(C965="","",IF(ISNA(MATCH(B965,'Registru oferte'!$B$5:$B$504,0)),"Oferta nu există în registru",IF(N(F965)&lt;=0,"Lipsește cantitatea",IF(AND(ISNUMBER(Q965),Q965&lt;MarjaMin),"Marjă sub minim ("&amp;TEXT(Q965*100,"0")&amp;"%)",""))))</f>
        <v/>
      </c>
      <c r="S965" s="1" t="str">
        <f>IF(B965="","",B965&amp;"|"&amp;COUNTIF($B$5:B965,B965))</f>
        <v/>
      </c>
    </row>
    <row r="966" spans="2:19" x14ac:dyDescent="0.2">
      <c r="B966" s="11"/>
      <c r="C966" s="11"/>
      <c r="D966" s="10" t="str">
        <f t="shared" si="180"/>
        <v/>
      </c>
      <c r="E966" s="15" t="str">
        <f t="shared" si="181"/>
        <v/>
      </c>
      <c r="F966" s="11"/>
      <c r="G966" s="16" t="str">
        <f t="shared" si="182"/>
        <v/>
      </c>
      <c r="H966" s="17"/>
      <c r="I966" s="16" t="str">
        <f t="shared" si="183"/>
        <v/>
      </c>
      <c r="J966" s="16" t="str">
        <f t="shared" si="184"/>
        <v/>
      </c>
      <c r="K966" s="18" t="str">
        <f t="shared" si="185"/>
        <v/>
      </c>
      <c r="L966" s="16" t="str">
        <f t="shared" si="186"/>
        <v/>
      </c>
      <c r="M966" s="16" t="str">
        <f t="shared" si="187"/>
        <v/>
      </c>
      <c r="N966" s="16" t="str">
        <f t="shared" si="188"/>
        <v/>
      </c>
      <c r="O966" s="16" t="str">
        <f t="shared" si="189"/>
        <v/>
      </c>
      <c r="P966" s="16" t="str">
        <f t="shared" si="190"/>
        <v/>
      </c>
      <c r="Q966" s="18" t="str">
        <f t="shared" si="191"/>
        <v/>
      </c>
      <c r="R966" s="19" t="str">
        <f>IF(C966="","",IF(ISNA(MATCH(B966,'Registru oferte'!$B$5:$B$504,0)),"Oferta nu există în registru",IF(N(F966)&lt;=0,"Lipsește cantitatea",IF(AND(ISNUMBER(Q966),Q966&lt;MarjaMin),"Marjă sub minim ("&amp;TEXT(Q966*100,"0")&amp;"%)",""))))</f>
        <v/>
      </c>
      <c r="S966" s="1" t="str">
        <f>IF(B966="","",B966&amp;"|"&amp;COUNTIF($B$5:B966,B966))</f>
        <v/>
      </c>
    </row>
    <row r="967" spans="2:19" x14ac:dyDescent="0.2">
      <c r="B967" s="11"/>
      <c r="C967" s="11"/>
      <c r="D967" s="10" t="str">
        <f t="shared" si="180"/>
        <v/>
      </c>
      <c r="E967" s="15" t="str">
        <f t="shared" si="181"/>
        <v/>
      </c>
      <c r="F967" s="11"/>
      <c r="G967" s="16" t="str">
        <f t="shared" si="182"/>
        <v/>
      </c>
      <c r="H967" s="17"/>
      <c r="I967" s="16" t="str">
        <f t="shared" si="183"/>
        <v/>
      </c>
      <c r="J967" s="16" t="str">
        <f t="shared" si="184"/>
        <v/>
      </c>
      <c r="K967" s="18" t="str">
        <f t="shared" si="185"/>
        <v/>
      </c>
      <c r="L967" s="16" t="str">
        <f t="shared" si="186"/>
        <v/>
      </c>
      <c r="M967" s="16" t="str">
        <f t="shared" si="187"/>
        <v/>
      </c>
      <c r="N967" s="16" t="str">
        <f t="shared" si="188"/>
        <v/>
      </c>
      <c r="O967" s="16" t="str">
        <f t="shared" si="189"/>
        <v/>
      </c>
      <c r="P967" s="16" t="str">
        <f t="shared" si="190"/>
        <v/>
      </c>
      <c r="Q967" s="18" t="str">
        <f t="shared" si="191"/>
        <v/>
      </c>
      <c r="R967" s="19" t="str">
        <f>IF(C967="","",IF(ISNA(MATCH(B967,'Registru oferte'!$B$5:$B$504,0)),"Oferta nu există în registru",IF(N(F967)&lt;=0,"Lipsește cantitatea",IF(AND(ISNUMBER(Q967),Q967&lt;MarjaMin),"Marjă sub minim ("&amp;TEXT(Q967*100,"0")&amp;"%)",""))))</f>
        <v/>
      </c>
      <c r="S967" s="1" t="str">
        <f>IF(B967="","",B967&amp;"|"&amp;COUNTIF($B$5:B967,B967))</f>
        <v/>
      </c>
    </row>
    <row r="968" spans="2:19" x14ac:dyDescent="0.2">
      <c r="B968" s="11"/>
      <c r="C968" s="11"/>
      <c r="D968" s="10" t="str">
        <f t="shared" si="180"/>
        <v/>
      </c>
      <c r="E968" s="15" t="str">
        <f t="shared" si="181"/>
        <v/>
      </c>
      <c r="F968" s="11"/>
      <c r="G968" s="16" t="str">
        <f t="shared" si="182"/>
        <v/>
      </c>
      <c r="H968" s="17"/>
      <c r="I968" s="16" t="str">
        <f t="shared" si="183"/>
        <v/>
      </c>
      <c r="J968" s="16" t="str">
        <f t="shared" si="184"/>
        <v/>
      </c>
      <c r="K968" s="18" t="str">
        <f t="shared" si="185"/>
        <v/>
      </c>
      <c r="L968" s="16" t="str">
        <f t="shared" si="186"/>
        <v/>
      </c>
      <c r="M968" s="16" t="str">
        <f t="shared" si="187"/>
        <v/>
      </c>
      <c r="N968" s="16" t="str">
        <f t="shared" si="188"/>
        <v/>
      </c>
      <c r="O968" s="16" t="str">
        <f t="shared" si="189"/>
        <v/>
      </c>
      <c r="P968" s="16" t="str">
        <f t="shared" si="190"/>
        <v/>
      </c>
      <c r="Q968" s="18" t="str">
        <f t="shared" si="191"/>
        <v/>
      </c>
      <c r="R968" s="19" t="str">
        <f>IF(C968="","",IF(ISNA(MATCH(B968,'Registru oferte'!$B$5:$B$504,0)),"Oferta nu există în registru",IF(N(F968)&lt;=0,"Lipsește cantitatea",IF(AND(ISNUMBER(Q968),Q968&lt;MarjaMin),"Marjă sub minim ("&amp;TEXT(Q968*100,"0")&amp;"%)",""))))</f>
        <v/>
      </c>
      <c r="S968" s="1" t="str">
        <f>IF(B968="","",B968&amp;"|"&amp;COUNTIF($B$5:B968,B968))</f>
        <v/>
      </c>
    </row>
    <row r="969" spans="2:19" x14ac:dyDescent="0.2">
      <c r="B969" s="11"/>
      <c r="C969" s="11"/>
      <c r="D969" s="10" t="str">
        <f t="shared" si="180"/>
        <v/>
      </c>
      <c r="E969" s="15" t="str">
        <f t="shared" si="181"/>
        <v/>
      </c>
      <c r="F969" s="11"/>
      <c r="G969" s="16" t="str">
        <f t="shared" si="182"/>
        <v/>
      </c>
      <c r="H969" s="17"/>
      <c r="I969" s="16" t="str">
        <f t="shared" si="183"/>
        <v/>
      </c>
      <c r="J969" s="16" t="str">
        <f t="shared" si="184"/>
        <v/>
      </c>
      <c r="K969" s="18" t="str">
        <f t="shared" si="185"/>
        <v/>
      </c>
      <c r="L969" s="16" t="str">
        <f t="shared" si="186"/>
        <v/>
      </c>
      <c r="M969" s="16" t="str">
        <f t="shared" si="187"/>
        <v/>
      </c>
      <c r="N969" s="16" t="str">
        <f t="shared" si="188"/>
        <v/>
      </c>
      <c r="O969" s="16" t="str">
        <f t="shared" si="189"/>
        <v/>
      </c>
      <c r="P969" s="16" t="str">
        <f t="shared" si="190"/>
        <v/>
      </c>
      <c r="Q969" s="18" t="str">
        <f t="shared" si="191"/>
        <v/>
      </c>
      <c r="R969" s="19" t="str">
        <f>IF(C969="","",IF(ISNA(MATCH(B969,'Registru oferte'!$B$5:$B$504,0)),"Oferta nu există în registru",IF(N(F969)&lt;=0,"Lipsește cantitatea",IF(AND(ISNUMBER(Q969),Q969&lt;MarjaMin),"Marjă sub minim ("&amp;TEXT(Q969*100,"0")&amp;"%)",""))))</f>
        <v/>
      </c>
      <c r="S969" s="1" t="str">
        <f>IF(B969="","",B969&amp;"|"&amp;COUNTIF($B$5:B969,B969))</f>
        <v/>
      </c>
    </row>
    <row r="970" spans="2:19" x14ac:dyDescent="0.2">
      <c r="B970" s="11"/>
      <c r="C970" s="11"/>
      <c r="D970" s="10" t="str">
        <f t="shared" si="180"/>
        <v/>
      </c>
      <c r="E970" s="15" t="str">
        <f t="shared" si="181"/>
        <v/>
      </c>
      <c r="F970" s="11"/>
      <c r="G970" s="16" t="str">
        <f t="shared" si="182"/>
        <v/>
      </c>
      <c r="H970" s="17"/>
      <c r="I970" s="16" t="str">
        <f t="shared" si="183"/>
        <v/>
      </c>
      <c r="J970" s="16" t="str">
        <f t="shared" si="184"/>
        <v/>
      </c>
      <c r="K970" s="18" t="str">
        <f t="shared" si="185"/>
        <v/>
      </c>
      <c r="L970" s="16" t="str">
        <f t="shared" si="186"/>
        <v/>
      </c>
      <c r="M970" s="16" t="str">
        <f t="shared" si="187"/>
        <v/>
      </c>
      <c r="N970" s="16" t="str">
        <f t="shared" si="188"/>
        <v/>
      </c>
      <c r="O970" s="16" t="str">
        <f t="shared" si="189"/>
        <v/>
      </c>
      <c r="P970" s="16" t="str">
        <f t="shared" si="190"/>
        <v/>
      </c>
      <c r="Q970" s="18" t="str">
        <f t="shared" si="191"/>
        <v/>
      </c>
      <c r="R970" s="19" t="str">
        <f>IF(C970="","",IF(ISNA(MATCH(B970,'Registru oferte'!$B$5:$B$504,0)),"Oferta nu există în registru",IF(N(F970)&lt;=0,"Lipsește cantitatea",IF(AND(ISNUMBER(Q970),Q970&lt;MarjaMin),"Marjă sub minim ("&amp;TEXT(Q970*100,"0")&amp;"%)",""))))</f>
        <v/>
      </c>
      <c r="S970" s="1" t="str">
        <f>IF(B970="","",B970&amp;"|"&amp;COUNTIF($B$5:B970,B970))</f>
        <v/>
      </c>
    </row>
    <row r="971" spans="2:19" x14ac:dyDescent="0.2">
      <c r="B971" s="11"/>
      <c r="C971" s="11"/>
      <c r="D971" s="10" t="str">
        <f t="shared" si="180"/>
        <v/>
      </c>
      <c r="E971" s="15" t="str">
        <f t="shared" si="181"/>
        <v/>
      </c>
      <c r="F971" s="11"/>
      <c r="G971" s="16" t="str">
        <f t="shared" si="182"/>
        <v/>
      </c>
      <c r="H971" s="17"/>
      <c r="I971" s="16" t="str">
        <f t="shared" si="183"/>
        <v/>
      </c>
      <c r="J971" s="16" t="str">
        <f t="shared" si="184"/>
        <v/>
      </c>
      <c r="K971" s="18" t="str">
        <f t="shared" si="185"/>
        <v/>
      </c>
      <c r="L971" s="16" t="str">
        <f t="shared" si="186"/>
        <v/>
      </c>
      <c r="M971" s="16" t="str">
        <f t="shared" si="187"/>
        <v/>
      </c>
      <c r="N971" s="16" t="str">
        <f t="shared" si="188"/>
        <v/>
      </c>
      <c r="O971" s="16" t="str">
        <f t="shared" si="189"/>
        <v/>
      </c>
      <c r="P971" s="16" t="str">
        <f t="shared" si="190"/>
        <v/>
      </c>
      <c r="Q971" s="18" t="str">
        <f t="shared" si="191"/>
        <v/>
      </c>
      <c r="R971" s="19" t="str">
        <f>IF(C971="","",IF(ISNA(MATCH(B971,'Registru oferte'!$B$5:$B$504,0)),"Oferta nu există în registru",IF(N(F971)&lt;=0,"Lipsește cantitatea",IF(AND(ISNUMBER(Q971),Q971&lt;MarjaMin),"Marjă sub minim ("&amp;TEXT(Q971*100,"0")&amp;"%)",""))))</f>
        <v/>
      </c>
      <c r="S971" s="1" t="str">
        <f>IF(B971="","",B971&amp;"|"&amp;COUNTIF($B$5:B971,B971))</f>
        <v/>
      </c>
    </row>
    <row r="972" spans="2:19" x14ac:dyDescent="0.2">
      <c r="B972" s="11"/>
      <c r="C972" s="11"/>
      <c r="D972" s="10" t="str">
        <f t="shared" si="180"/>
        <v/>
      </c>
      <c r="E972" s="15" t="str">
        <f t="shared" si="181"/>
        <v/>
      </c>
      <c r="F972" s="11"/>
      <c r="G972" s="16" t="str">
        <f t="shared" si="182"/>
        <v/>
      </c>
      <c r="H972" s="17"/>
      <c r="I972" s="16" t="str">
        <f t="shared" si="183"/>
        <v/>
      </c>
      <c r="J972" s="16" t="str">
        <f t="shared" si="184"/>
        <v/>
      </c>
      <c r="K972" s="18" t="str">
        <f t="shared" si="185"/>
        <v/>
      </c>
      <c r="L972" s="16" t="str">
        <f t="shared" si="186"/>
        <v/>
      </c>
      <c r="M972" s="16" t="str">
        <f t="shared" si="187"/>
        <v/>
      </c>
      <c r="N972" s="16" t="str">
        <f t="shared" si="188"/>
        <v/>
      </c>
      <c r="O972" s="16" t="str">
        <f t="shared" si="189"/>
        <v/>
      </c>
      <c r="P972" s="16" t="str">
        <f t="shared" si="190"/>
        <v/>
      </c>
      <c r="Q972" s="18" t="str">
        <f t="shared" si="191"/>
        <v/>
      </c>
      <c r="R972" s="19" t="str">
        <f>IF(C972="","",IF(ISNA(MATCH(B972,'Registru oferte'!$B$5:$B$504,0)),"Oferta nu există în registru",IF(N(F972)&lt;=0,"Lipsește cantitatea",IF(AND(ISNUMBER(Q972),Q972&lt;MarjaMin),"Marjă sub minim ("&amp;TEXT(Q972*100,"0")&amp;"%)",""))))</f>
        <v/>
      </c>
      <c r="S972" s="1" t="str">
        <f>IF(B972="","",B972&amp;"|"&amp;COUNTIF($B$5:B972,B972))</f>
        <v/>
      </c>
    </row>
    <row r="973" spans="2:19" x14ac:dyDescent="0.2">
      <c r="B973" s="11"/>
      <c r="C973" s="11"/>
      <c r="D973" s="10" t="str">
        <f t="shared" si="180"/>
        <v/>
      </c>
      <c r="E973" s="15" t="str">
        <f t="shared" si="181"/>
        <v/>
      </c>
      <c r="F973" s="11"/>
      <c r="G973" s="16" t="str">
        <f t="shared" si="182"/>
        <v/>
      </c>
      <c r="H973" s="17"/>
      <c r="I973" s="16" t="str">
        <f t="shared" si="183"/>
        <v/>
      </c>
      <c r="J973" s="16" t="str">
        <f t="shared" si="184"/>
        <v/>
      </c>
      <c r="K973" s="18" t="str">
        <f t="shared" si="185"/>
        <v/>
      </c>
      <c r="L973" s="16" t="str">
        <f t="shared" si="186"/>
        <v/>
      </c>
      <c r="M973" s="16" t="str">
        <f t="shared" si="187"/>
        <v/>
      </c>
      <c r="N973" s="16" t="str">
        <f t="shared" si="188"/>
        <v/>
      </c>
      <c r="O973" s="16" t="str">
        <f t="shared" si="189"/>
        <v/>
      </c>
      <c r="P973" s="16" t="str">
        <f t="shared" si="190"/>
        <v/>
      </c>
      <c r="Q973" s="18" t="str">
        <f t="shared" si="191"/>
        <v/>
      </c>
      <c r="R973" s="19" t="str">
        <f>IF(C973="","",IF(ISNA(MATCH(B973,'Registru oferte'!$B$5:$B$504,0)),"Oferta nu există în registru",IF(N(F973)&lt;=0,"Lipsește cantitatea",IF(AND(ISNUMBER(Q973),Q973&lt;MarjaMin),"Marjă sub minim ("&amp;TEXT(Q973*100,"0")&amp;"%)",""))))</f>
        <v/>
      </c>
      <c r="S973" s="1" t="str">
        <f>IF(B973="","",B973&amp;"|"&amp;COUNTIF($B$5:B973,B973))</f>
        <v/>
      </c>
    </row>
    <row r="974" spans="2:19" x14ac:dyDescent="0.2">
      <c r="B974" s="11"/>
      <c r="C974" s="11"/>
      <c r="D974" s="10" t="str">
        <f t="shared" si="180"/>
        <v/>
      </c>
      <c r="E974" s="15" t="str">
        <f t="shared" si="181"/>
        <v/>
      </c>
      <c r="F974" s="11"/>
      <c r="G974" s="16" t="str">
        <f t="shared" si="182"/>
        <v/>
      </c>
      <c r="H974" s="17"/>
      <c r="I974" s="16" t="str">
        <f t="shared" si="183"/>
        <v/>
      </c>
      <c r="J974" s="16" t="str">
        <f t="shared" si="184"/>
        <v/>
      </c>
      <c r="K974" s="18" t="str">
        <f t="shared" si="185"/>
        <v/>
      </c>
      <c r="L974" s="16" t="str">
        <f t="shared" si="186"/>
        <v/>
      </c>
      <c r="M974" s="16" t="str">
        <f t="shared" si="187"/>
        <v/>
      </c>
      <c r="N974" s="16" t="str">
        <f t="shared" si="188"/>
        <v/>
      </c>
      <c r="O974" s="16" t="str">
        <f t="shared" si="189"/>
        <v/>
      </c>
      <c r="P974" s="16" t="str">
        <f t="shared" si="190"/>
        <v/>
      </c>
      <c r="Q974" s="18" t="str">
        <f t="shared" si="191"/>
        <v/>
      </c>
      <c r="R974" s="19" t="str">
        <f>IF(C974="","",IF(ISNA(MATCH(B974,'Registru oferte'!$B$5:$B$504,0)),"Oferta nu există în registru",IF(N(F974)&lt;=0,"Lipsește cantitatea",IF(AND(ISNUMBER(Q974),Q974&lt;MarjaMin),"Marjă sub minim ("&amp;TEXT(Q974*100,"0")&amp;"%)",""))))</f>
        <v/>
      </c>
      <c r="S974" s="1" t="str">
        <f>IF(B974="","",B974&amp;"|"&amp;COUNTIF($B$5:B974,B974))</f>
        <v/>
      </c>
    </row>
    <row r="975" spans="2:19" x14ac:dyDescent="0.2">
      <c r="B975" s="11"/>
      <c r="C975" s="11"/>
      <c r="D975" s="10" t="str">
        <f t="shared" si="180"/>
        <v/>
      </c>
      <c r="E975" s="15" t="str">
        <f t="shared" si="181"/>
        <v/>
      </c>
      <c r="F975" s="11"/>
      <c r="G975" s="16" t="str">
        <f t="shared" si="182"/>
        <v/>
      </c>
      <c r="H975" s="17"/>
      <c r="I975" s="16" t="str">
        <f t="shared" si="183"/>
        <v/>
      </c>
      <c r="J975" s="16" t="str">
        <f t="shared" si="184"/>
        <v/>
      </c>
      <c r="K975" s="18" t="str">
        <f t="shared" si="185"/>
        <v/>
      </c>
      <c r="L975" s="16" t="str">
        <f t="shared" si="186"/>
        <v/>
      </c>
      <c r="M975" s="16" t="str">
        <f t="shared" si="187"/>
        <v/>
      </c>
      <c r="N975" s="16" t="str">
        <f t="shared" si="188"/>
        <v/>
      </c>
      <c r="O975" s="16" t="str">
        <f t="shared" si="189"/>
        <v/>
      </c>
      <c r="P975" s="16" t="str">
        <f t="shared" si="190"/>
        <v/>
      </c>
      <c r="Q975" s="18" t="str">
        <f t="shared" si="191"/>
        <v/>
      </c>
      <c r="R975" s="19" t="str">
        <f>IF(C975="","",IF(ISNA(MATCH(B975,'Registru oferte'!$B$5:$B$504,0)),"Oferta nu există în registru",IF(N(F975)&lt;=0,"Lipsește cantitatea",IF(AND(ISNUMBER(Q975),Q975&lt;MarjaMin),"Marjă sub minim ("&amp;TEXT(Q975*100,"0")&amp;"%)",""))))</f>
        <v/>
      </c>
      <c r="S975" s="1" t="str">
        <f>IF(B975="","",B975&amp;"|"&amp;COUNTIF($B$5:B975,B975))</f>
        <v/>
      </c>
    </row>
    <row r="976" spans="2:19" x14ac:dyDescent="0.2">
      <c r="B976" s="11"/>
      <c r="C976" s="11"/>
      <c r="D976" s="10" t="str">
        <f t="shared" si="180"/>
        <v/>
      </c>
      <c r="E976" s="15" t="str">
        <f t="shared" si="181"/>
        <v/>
      </c>
      <c r="F976" s="11"/>
      <c r="G976" s="16" t="str">
        <f t="shared" si="182"/>
        <v/>
      </c>
      <c r="H976" s="17"/>
      <c r="I976" s="16" t="str">
        <f t="shared" si="183"/>
        <v/>
      </c>
      <c r="J976" s="16" t="str">
        <f t="shared" si="184"/>
        <v/>
      </c>
      <c r="K976" s="18" t="str">
        <f t="shared" si="185"/>
        <v/>
      </c>
      <c r="L976" s="16" t="str">
        <f t="shared" si="186"/>
        <v/>
      </c>
      <c r="M976" s="16" t="str">
        <f t="shared" si="187"/>
        <v/>
      </c>
      <c r="N976" s="16" t="str">
        <f t="shared" si="188"/>
        <v/>
      </c>
      <c r="O976" s="16" t="str">
        <f t="shared" si="189"/>
        <v/>
      </c>
      <c r="P976" s="16" t="str">
        <f t="shared" si="190"/>
        <v/>
      </c>
      <c r="Q976" s="18" t="str">
        <f t="shared" si="191"/>
        <v/>
      </c>
      <c r="R976" s="19" t="str">
        <f>IF(C976="","",IF(ISNA(MATCH(B976,'Registru oferte'!$B$5:$B$504,0)),"Oferta nu există în registru",IF(N(F976)&lt;=0,"Lipsește cantitatea",IF(AND(ISNUMBER(Q976),Q976&lt;MarjaMin),"Marjă sub minim ("&amp;TEXT(Q976*100,"0")&amp;"%)",""))))</f>
        <v/>
      </c>
      <c r="S976" s="1" t="str">
        <f>IF(B976="","",B976&amp;"|"&amp;COUNTIF($B$5:B976,B976))</f>
        <v/>
      </c>
    </row>
    <row r="977" spans="2:19" x14ac:dyDescent="0.2">
      <c r="B977" s="11"/>
      <c r="C977" s="11"/>
      <c r="D977" s="10" t="str">
        <f t="shared" si="180"/>
        <v/>
      </c>
      <c r="E977" s="15" t="str">
        <f t="shared" si="181"/>
        <v/>
      </c>
      <c r="F977" s="11"/>
      <c r="G977" s="16" t="str">
        <f t="shared" si="182"/>
        <v/>
      </c>
      <c r="H977" s="17"/>
      <c r="I977" s="16" t="str">
        <f t="shared" si="183"/>
        <v/>
      </c>
      <c r="J977" s="16" t="str">
        <f t="shared" si="184"/>
        <v/>
      </c>
      <c r="K977" s="18" t="str">
        <f t="shared" si="185"/>
        <v/>
      </c>
      <c r="L977" s="16" t="str">
        <f t="shared" si="186"/>
        <v/>
      </c>
      <c r="M977" s="16" t="str">
        <f t="shared" si="187"/>
        <v/>
      </c>
      <c r="N977" s="16" t="str">
        <f t="shared" si="188"/>
        <v/>
      </c>
      <c r="O977" s="16" t="str">
        <f t="shared" si="189"/>
        <v/>
      </c>
      <c r="P977" s="16" t="str">
        <f t="shared" si="190"/>
        <v/>
      </c>
      <c r="Q977" s="18" t="str">
        <f t="shared" si="191"/>
        <v/>
      </c>
      <c r="R977" s="19" t="str">
        <f>IF(C977="","",IF(ISNA(MATCH(B977,'Registru oferte'!$B$5:$B$504,0)),"Oferta nu există în registru",IF(N(F977)&lt;=0,"Lipsește cantitatea",IF(AND(ISNUMBER(Q977),Q977&lt;MarjaMin),"Marjă sub minim ("&amp;TEXT(Q977*100,"0")&amp;"%)",""))))</f>
        <v/>
      </c>
      <c r="S977" s="1" t="str">
        <f>IF(B977="","",B977&amp;"|"&amp;COUNTIF($B$5:B977,B977))</f>
        <v/>
      </c>
    </row>
    <row r="978" spans="2:19" x14ac:dyDescent="0.2">
      <c r="B978" s="11"/>
      <c r="C978" s="11"/>
      <c r="D978" s="10" t="str">
        <f t="shared" si="180"/>
        <v/>
      </c>
      <c r="E978" s="15" t="str">
        <f t="shared" si="181"/>
        <v/>
      </c>
      <c r="F978" s="11"/>
      <c r="G978" s="16" t="str">
        <f t="shared" si="182"/>
        <v/>
      </c>
      <c r="H978" s="17"/>
      <c r="I978" s="16" t="str">
        <f t="shared" si="183"/>
        <v/>
      </c>
      <c r="J978" s="16" t="str">
        <f t="shared" si="184"/>
        <v/>
      </c>
      <c r="K978" s="18" t="str">
        <f t="shared" si="185"/>
        <v/>
      </c>
      <c r="L978" s="16" t="str">
        <f t="shared" si="186"/>
        <v/>
      </c>
      <c r="M978" s="16" t="str">
        <f t="shared" si="187"/>
        <v/>
      </c>
      <c r="N978" s="16" t="str">
        <f t="shared" si="188"/>
        <v/>
      </c>
      <c r="O978" s="16" t="str">
        <f t="shared" si="189"/>
        <v/>
      </c>
      <c r="P978" s="16" t="str">
        <f t="shared" si="190"/>
        <v/>
      </c>
      <c r="Q978" s="18" t="str">
        <f t="shared" si="191"/>
        <v/>
      </c>
      <c r="R978" s="19" t="str">
        <f>IF(C978="","",IF(ISNA(MATCH(B978,'Registru oferte'!$B$5:$B$504,0)),"Oferta nu există în registru",IF(N(F978)&lt;=0,"Lipsește cantitatea",IF(AND(ISNUMBER(Q978),Q978&lt;MarjaMin),"Marjă sub minim ("&amp;TEXT(Q978*100,"0")&amp;"%)",""))))</f>
        <v/>
      </c>
      <c r="S978" s="1" t="str">
        <f>IF(B978="","",B978&amp;"|"&amp;COUNTIF($B$5:B978,B978))</f>
        <v/>
      </c>
    </row>
    <row r="979" spans="2:19" x14ac:dyDescent="0.2">
      <c r="B979" s="11"/>
      <c r="C979" s="11"/>
      <c r="D979" s="10" t="str">
        <f t="shared" si="180"/>
        <v/>
      </c>
      <c r="E979" s="15" t="str">
        <f t="shared" si="181"/>
        <v/>
      </c>
      <c r="F979" s="11"/>
      <c r="G979" s="16" t="str">
        <f t="shared" si="182"/>
        <v/>
      </c>
      <c r="H979" s="17"/>
      <c r="I979" s="16" t="str">
        <f t="shared" si="183"/>
        <v/>
      </c>
      <c r="J979" s="16" t="str">
        <f t="shared" si="184"/>
        <v/>
      </c>
      <c r="K979" s="18" t="str">
        <f t="shared" si="185"/>
        <v/>
      </c>
      <c r="L979" s="16" t="str">
        <f t="shared" si="186"/>
        <v/>
      </c>
      <c r="M979" s="16" t="str">
        <f t="shared" si="187"/>
        <v/>
      </c>
      <c r="N979" s="16" t="str">
        <f t="shared" si="188"/>
        <v/>
      </c>
      <c r="O979" s="16" t="str">
        <f t="shared" si="189"/>
        <v/>
      </c>
      <c r="P979" s="16" t="str">
        <f t="shared" si="190"/>
        <v/>
      </c>
      <c r="Q979" s="18" t="str">
        <f t="shared" si="191"/>
        <v/>
      </c>
      <c r="R979" s="19" t="str">
        <f>IF(C979="","",IF(ISNA(MATCH(B979,'Registru oferte'!$B$5:$B$504,0)),"Oferta nu există în registru",IF(N(F979)&lt;=0,"Lipsește cantitatea",IF(AND(ISNUMBER(Q979),Q979&lt;MarjaMin),"Marjă sub minim ("&amp;TEXT(Q979*100,"0")&amp;"%)",""))))</f>
        <v/>
      </c>
      <c r="S979" s="1" t="str">
        <f>IF(B979="","",B979&amp;"|"&amp;COUNTIF($B$5:B979,B979))</f>
        <v/>
      </c>
    </row>
    <row r="980" spans="2:19" x14ac:dyDescent="0.2">
      <c r="B980" s="11"/>
      <c r="C980" s="11"/>
      <c r="D980" s="10" t="str">
        <f t="shared" si="180"/>
        <v/>
      </c>
      <c r="E980" s="15" t="str">
        <f t="shared" si="181"/>
        <v/>
      </c>
      <c r="F980" s="11"/>
      <c r="G980" s="16" t="str">
        <f t="shared" si="182"/>
        <v/>
      </c>
      <c r="H980" s="17"/>
      <c r="I980" s="16" t="str">
        <f t="shared" si="183"/>
        <v/>
      </c>
      <c r="J980" s="16" t="str">
        <f t="shared" si="184"/>
        <v/>
      </c>
      <c r="K980" s="18" t="str">
        <f t="shared" si="185"/>
        <v/>
      </c>
      <c r="L980" s="16" t="str">
        <f t="shared" si="186"/>
        <v/>
      </c>
      <c r="M980" s="16" t="str">
        <f t="shared" si="187"/>
        <v/>
      </c>
      <c r="N980" s="16" t="str">
        <f t="shared" si="188"/>
        <v/>
      </c>
      <c r="O980" s="16" t="str">
        <f t="shared" si="189"/>
        <v/>
      </c>
      <c r="P980" s="16" t="str">
        <f t="shared" si="190"/>
        <v/>
      </c>
      <c r="Q980" s="18" t="str">
        <f t="shared" si="191"/>
        <v/>
      </c>
      <c r="R980" s="19" t="str">
        <f>IF(C980="","",IF(ISNA(MATCH(B980,'Registru oferte'!$B$5:$B$504,0)),"Oferta nu există în registru",IF(N(F980)&lt;=0,"Lipsește cantitatea",IF(AND(ISNUMBER(Q980),Q980&lt;MarjaMin),"Marjă sub minim ("&amp;TEXT(Q980*100,"0")&amp;"%)",""))))</f>
        <v/>
      </c>
      <c r="S980" s="1" t="str">
        <f>IF(B980="","",B980&amp;"|"&amp;COUNTIF($B$5:B980,B980))</f>
        <v/>
      </c>
    </row>
    <row r="981" spans="2:19" x14ac:dyDescent="0.2">
      <c r="B981" s="11"/>
      <c r="C981" s="11"/>
      <c r="D981" s="10" t="str">
        <f t="shared" si="180"/>
        <v/>
      </c>
      <c r="E981" s="15" t="str">
        <f t="shared" si="181"/>
        <v/>
      </c>
      <c r="F981" s="11"/>
      <c r="G981" s="16" t="str">
        <f t="shared" si="182"/>
        <v/>
      </c>
      <c r="H981" s="17"/>
      <c r="I981" s="16" t="str">
        <f t="shared" si="183"/>
        <v/>
      </c>
      <c r="J981" s="16" t="str">
        <f t="shared" si="184"/>
        <v/>
      </c>
      <c r="K981" s="18" t="str">
        <f t="shared" si="185"/>
        <v/>
      </c>
      <c r="L981" s="16" t="str">
        <f t="shared" si="186"/>
        <v/>
      </c>
      <c r="M981" s="16" t="str">
        <f t="shared" si="187"/>
        <v/>
      </c>
      <c r="N981" s="16" t="str">
        <f t="shared" si="188"/>
        <v/>
      </c>
      <c r="O981" s="16" t="str">
        <f t="shared" si="189"/>
        <v/>
      </c>
      <c r="P981" s="16" t="str">
        <f t="shared" si="190"/>
        <v/>
      </c>
      <c r="Q981" s="18" t="str">
        <f t="shared" si="191"/>
        <v/>
      </c>
      <c r="R981" s="19" t="str">
        <f>IF(C981="","",IF(ISNA(MATCH(B981,'Registru oferte'!$B$5:$B$504,0)),"Oferta nu există în registru",IF(N(F981)&lt;=0,"Lipsește cantitatea",IF(AND(ISNUMBER(Q981),Q981&lt;MarjaMin),"Marjă sub minim ("&amp;TEXT(Q981*100,"0")&amp;"%)",""))))</f>
        <v/>
      </c>
      <c r="S981" s="1" t="str">
        <f>IF(B981="","",B981&amp;"|"&amp;COUNTIF($B$5:B981,B981))</f>
        <v/>
      </c>
    </row>
    <row r="982" spans="2:19" x14ac:dyDescent="0.2">
      <c r="B982" s="11"/>
      <c r="C982" s="11"/>
      <c r="D982" s="10" t="str">
        <f t="shared" si="180"/>
        <v/>
      </c>
      <c r="E982" s="15" t="str">
        <f t="shared" si="181"/>
        <v/>
      </c>
      <c r="F982" s="11"/>
      <c r="G982" s="16" t="str">
        <f t="shared" si="182"/>
        <v/>
      </c>
      <c r="H982" s="17"/>
      <c r="I982" s="16" t="str">
        <f t="shared" si="183"/>
        <v/>
      </c>
      <c r="J982" s="16" t="str">
        <f t="shared" si="184"/>
        <v/>
      </c>
      <c r="K982" s="18" t="str">
        <f t="shared" si="185"/>
        <v/>
      </c>
      <c r="L982" s="16" t="str">
        <f t="shared" si="186"/>
        <v/>
      </c>
      <c r="M982" s="16" t="str">
        <f t="shared" si="187"/>
        <v/>
      </c>
      <c r="N982" s="16" t="str">
        <f t="shared" si="188"/>
        <v/>
      </c>
      <c r="O982" s="16" t="str">
        <f t="shared" si="189"/>
        <v/>
      </c>
      <c r="P982" s="16" t="str">
        <f t="shared" si="190"/>
        <v/>
      </c>
      <c r="Q982" s="18" t="str">
        <f t="shared" si="191"/>
        <v/>
      </c>
      <c r="R982" s="19" t="str">
        <f>IF(C982="","",IF(ISNA(MATCH(B982,'Registru oferte'!$B$5:$B$504,0)),"Oferta nu există în registru",IF(N(F982)&lt;=0,"Lipsește cantitatea",IF(AND(ISNUMBER(Q982),Q982&lt;MarjaMin),"Marjă sub minim ("&amp;TEXT(Q982*100,"0")&amp;"%)",""))))</f>
        <v/>
      </c>
      <c r="S982" s="1" t="str">
        <f>IF(B982="","",B982&amp;"|"&amp;COUNTIF($B$5:B982,B982))</f>
        <v/>
      </c>
    </row>
    <row r="983" spans="2:19" x14ac:dyDescent="0.2">
      <c r="B983" s="11"/>
      <c r="C983" s="11"/>
      <c r="D983" s="10" t="str">
        <f t="shared" si="180"/>
        <v/>
      </c>
      <c r="E983" s="15" t="str">
        <f t="shared" si="181"/>
        <v/>
      </c>
      <c r="F983" s="11"/>
      <c r="G983" s="16" t="str">
        <f t="shared" si="182"/>
        <v/>
      </c>
      <c r="H983" s="17"/>
      <c r="I983" s="16" t="str">
        <f t="shared" si="183"/>
        <v/>
      </c>
      <c r="J983" s="16" t="str">
        <f t="shared" si="184"/>
        <v/>
      </c>
      <c r="K983" s="18" t="str">
        <f t="shared" si="185"/>
        <v/>
      </c>
      <c r="L983" s="16" t="str">
        <f t="shared" si="186"/>
        <v/>
      </c>
      <c r="M983" s="16" t="str">
        <f t="shared" si="187"/>
        <v/>
      </c>
      <c r="N983" s="16" t="str">
        <f t="shared" si="188"/>
        <v/>
      </c>
      <c r="O983" s="16" t="str">
        <f t="shared" si="189"/>
        <v/>
      </c>
      <c r="P983" s="16" t="str">
        <f t="shared" si="190"/>
        <v/>
      </c>
      <c r="Q983" s="18" t="str">
        <f t="shared" si="191"/>
        <v/>
      </c>
      <c r="R983" s="19" t="str">
        <f>IF(C983="","",IF(ISNA(MATCH(B983,'Registru oferte'!$B$5:$B$504,0)),"Oferta nu există în registru",IF(N(F983)&lt;=0,"Lipsește cantitatea",IF(AND(ISNUMBER(Q983),Q983&lt;MarjaMin),"Marjă sub minim ("&amp;TEXT(Q983*100,"0")&amp;"%)",""))))</f>
        <v/>
      </c>
      <c r="S983" s="1" t="str">
        <f>IF(B983="","",B983&amp;"|"&amp;COUNTIF($B$5:B983,B983))</f>
        <v/>
      </c>
    </row>
    <row r="984" spans="2:19" x14ac:dyDescent="0.2">
      <c r="B984" s="11"/>
      <c r="C984" s="11"/>
      <c r="D984" s="10" t="str">
        <f t="shared" si="180"/>
        <v/>
      </c>
      <c r="E984" s="15" t="str">
        <f t="shared" si="181"/>
        <v/>
      </c>
      <c r="F984" s="11"/>
      <c r="G984" s="16" t="str">
        <f t="shared" si="182"/>
        <v/>
      </c>
      <c r="H984" s="17"/>
      <c r="I984" s="16" t="str">
        <f t="shared" si="183"/>
        <v/>
      </c>
      <c r="J984" s="16" t="str">
        <f t="shared" si="184"/>
        <v/>
      </c>
      <c r="K984" s="18" t="str">
        <f t="shared" si="185"/>
        <v/>
      </c>
      <c r="L984" s="16" t="str">
        <f t="shared" si="186"/>
        <v/>
      </c>
      <c r="M984" s="16" t="str">
        <f t="shared" si="187"/>
        <v/>
      </c>
      <c r="N984" s="16" t="str">
        <f t="shared" si="188"/>
        <v/>
      </c>
      <c r="O984" s="16" t="str">
        <f t="shared" si="189"/>
        <v/>
      </c>
      <c r="P984" s="16" t="str">
        <f t="shared" si="190"/>
        <v/>
      </c>
      <c r="Q984" s="18" t="str">
        <f t="shared" si="191"/>
        <v/>
      </c>
      <c r="R984" s="19" t="str">
        <f>IF(C984="","",IF(ISNA(MATCH(B984,'Registru oferte'!$B$5:$B$504,0)),"Oferta nu există în registru",IF(N(F984)&lt;=0,"Lipsește cantitatea",IF(AND(ISNUMBER(Q984),Q984&lt;MarjaMin),"Marjă sub minim ("&amp;TEXT(Q984*100,"0")&amp;"%)",""))))</f>
        <v/>
      </c>
      <c r="S984" s="1" t="str">
        <f>IF(B984="","",B984&amp;"|"&amp;COUNTIF($B$5:B984,B984))</f>
        <v/>
      </c>
    </row>
    <row r="985" spans="2:19" x14ac:dyDescent="0.2">
      <c r="B985" s="11"/>
      <c r="C985" s="11"/>
      <c r="D985" s="10" t="str">
        <f t="shared" si="180"/>
        <v/>
      </c>
      <c r="E985" s="15" t="str">
        <f t="shared" si="181"/>
        <v/>
      </c>
      <c r="F985" s="11"/>
      <c r="G985" s="16" t="str">
        <f t="shared" si="182"/>
        <v/>
      </c>
      <c r="H985" s="17"/>
      <c r="I985" s="16" t="str">
        <f t="shared" si="183"/>
        <v/>
      </c>
      <c r="J985" s="16" t="str">
        <f t="shared" si="184"/>
        <v/>
      </c>
      <c r="K985" s="18" t="str">
        <f t="shared" si="185"/>
        <v/>
      </c>
      <c r="L985" s="16" t="str">
        <f t="shared" si="186"/>
        <v/>
      </c>
      <c r="M985" s="16" t="str">
        <f t="shared" si="187"/>
        <v/>
      </c>
      <c r="N985" s="16" t="str">
        <f t="shared" si="188"/>
        <v/>
      </c>
      <c r="O985" s="16" t="str">
        <f t="shared" si="189"/>
        <v/>
      </c>
      <c r="P985" s="16" t="str">
        <f t="shared" si="190"/>
        <v/>
      </c>
      <c r="Q985" s="18" t="str">
        <f t="shared" si="191"/>
        <v/>
      </c>
      <c r="R985" s="19" t="str">
        <f>IF(C985="","",IF(ISNA(MATCH(B985,'Registru oferte'!$B$5:$B$504,0)),"Oferta nu există în registru",IF(N(F985)&lt;=0,"Lipsește cantitatea",IF(AND(ISNUMBER(Q985),Q985&lt;MarjaMin),"Marjă sub minim ("&amp;TEXT(Q985*100,"0")&amp;"%)",""))))</f>
        <v/>
      </c>
      <c r="S985" s="1" t="str">
        <f>IF(B985="","",B985&amp;"|"&amp;COUNTIF($B$5:B985,B985))</f>
        <v/>
      </c>
    </row>
    <row r="986" spans="2:19" x14ac:dyDescent="0.2">
      <c r="B986" s="11"/>
      <c r="C986" s="11"/>
      <c r="D986" s="10" t="str">
        <f t="shared" si="180"/>
        <v/>
      </c>
      <c r="E986" s="15" t="str">
        <f t="shared" si="181"/>
        <v/>
      </c>
      <c r="F986" s="11"/>
      <c r="G986" s="16" t="str">
        <f t="shared" si="182"/>
        <v/>
      </c>
      <c r="H986" s="17"/>
      <c r="I986" s="16" t="str">
        <f t="shared" si="183"/>
        <v/>
      </c>
      <c r="J986" s="16" t="str">
        <f t="shared" si="184"/>
        <v/>
      </c>
      <c r="K986" s="18" t="str">
        <f t="shared" si="185"/>
        <v/>
      </c>
      <c r="L986" s="16" t="str">
        <f t="shared" si="186"/>
        <v/>
      </c>
      <c r="M986" s="16" t="str">
        <f t="shared" si="187"/>
        <v/>
      </c>
      <c r="N986" s="16" t="str">
        <f t="shared" si="188"/>
        <v/>
      </c>
      <c r="O986" s="16" t="str">
        <f t="shared" si="189"/>
        <v/>
      </c>
      <c r="P986" s="16" t="str">
        <f t="shared" si="190"/>
        <v/>
      </c>
      <c r="Q986" s="18" t="str">
        <f t="shared" si="191"/>
        <v/>
      </c>
      <c r="R986" s="19" t="str">
        <f>IF(C986="","",IF(ISNA(MATCH(B986,'Registru oferte'!$B$5:$B$504,0)),"Oferta nu există în registru",IF(N(F986)&lt;=0,"Lipsește cantitatea",IF(AND(ISNUMBER(Q986),Q986&lt;MarjaMin),"Marjă sub minim ("&amp;TEXT(Q986*100,"0")&amp;"%)",""))))</f>
        <v/>
      </c>
      <c r="S986" s="1" t="str">
        <f>IF(B986="","",B986&amp;"|"&amp;COUNTIF($B$5:B986,B986))</f>
        <v/>
      </c>
    </row>
    <row r="987" spans="2:19" x14ac:dyDescent="0.2">
      <c r="B987" s="11"/>
      <c r="C987" s="11"/>
      <c r="D987" s="10" t="str">
        <f t="shared" si="180"/>
        <v/>
      </c>
      <c r="E987" s="15" t="str">
        <f t="shared" si="181"/>
        <v/>
      </c>
      <c r="F987" s="11"/>
      <c r="G987" s="16" t="str">
        <f t="shared" si="182"/>
        <v/>
      </c>
      <c r="H987" s="17"/>
      <c r="I987" s="16" t="str">
        <f t="shared" si="183"/>
        <v/>
      </c>
      <c r="J987" s="16" t="str">
        <f t="shared" si="184"/>
        <v/>
      </c>
      <c r="K987" s="18" t="str">
        <f t="shared" si="185"/>
        <v/>
      </c>
      <c r="L987" s="16" t="str">
        <f t="shared" si="186"/>
        <v/>
      </c>
      <c r="M987" s="16" t="str">
        <f t="shared" si="187"/>
        <v/>
      </c>
      <c r="N987" s="16" t="str">
        <f t="shared" si="188"/>
        <v/>
      </c>
      <c r="O987" s="16" t="str">
        <f t="shared" si="189"/>
        <v/>
      </c>
      <c r="P987" s="16" t="str">
        <f t="shared" si="190"/>
        <v/>
      </c>
      <c r="Q987" s="18" t="str">
        <f t="shared" si="191"/>
        <v/>
      </c>
      <c r="R987" s="19" t="str">
        <f>IF(C987="","",IF(ISNA(MATCH(B987,'Registru oferte'!$B$5:$B$504,0)),"Oferta nu există în registru",IF(N(F987)&lt;=0,"Lipsește cantitatea",IF(AND(ISNUMBER(Q987),Q987&lt;MarjaMin),"Marjă sub minim ("&amp;TEXT(Q987*100,"0")&amp;"%)",""))))</f>
        <v/>
      </c>
      <c r="S987" s="1" t="str">
        <f>IF(B987="","",B987&amp;"|"&amp;COUNTIF($B$5:B987,B987))</f>
        <v/>
      </c>
    </row>
    <row r="988" spans="2:19" x14ac:dyDescent="0.2">
      <c r="B988" s="11"/>
      <c r="C988" s="11"/>
      <c r="D988" s="10" t="str">
        <f t="shared" si="180"/>
        <v/>
      </c>
      <c r="E988" s="15" t="str">
        <f t="shared" si="181"/>
        <v/>
      </c>
      <c r="F988" s="11"/>
      <c r="G988" s="16" t="str">
        <f t="shared" si="182"/>
        <v/>
      </c>
      <c r="H988" s="17"/>
      <c r="I988" s="16" t="str">
        <f t="shared" si="183"/>
        <v/>
      </c>
      <c r="J988" s="16" t="str">
        <f t="shared" si="184"/>
        <v/>
      </c>
      <c r="K988" s="18" t="str">
        <f t="shared" si="185"/>
        <v/>
      </c>
      <c r="L988" s="16" t="str">
        <f t="shared" si="186"/>
        <v/>
      </c>
      <c r="M988" s="16" t="str">
        <f t="shared" si="187"/>
        <v/>
      </c>
      <c r="N988" s="16" t="str">
        <f t="shared" si="188"/>
        <v/>
      </c>
      <c r="O988" s="16" t="str">
        <f t="shared" si="189"/>
        <v/>
      </c>
      <c r="P988" s="16" t="str">
        <f t="shared" si="190"/>
        <v/>
      </c>
      <c r="Q988" s="18" t="str">
        <f t="shared" si="191"/>
        <v/>
      </c>
      <c r="R988" s="19" t="str">
        <f>IF(C988="","",IF(ISNA(MATCH(B988,'Registru oferte'!$B$5:$B$504,0)),"Oferta nu există în registru",IF(N(F988)&lt;=0,"Lipsește cantitatea",IF(AND(ISNUMBER(Q988),Q988&lt;MarjaMin),"Marjă sub minim ("&amp;TEXT(Q988*100,"0")&amp;"%)",""))))</f>
        <v/>
      </c>
      <c r="S988" s="1" t="str">
        <f>IF(B988="","",B988&amp;"|"&amp;COUNTIF($B$5:B988,B988))</f>
        <v/>
      </c>
    </row>
    <row r="989" spans="2:19" x14ac:dyDescent="0.2">
      <c r="B989" s="11"/>
      <c r="C989" s="11"/>
      <c r="D989" s="10" t="str">
        <f t="shared" si="180"/>
        <v/>
      </c>
      <c r="E989" s="15" t="str">
        <f t="shared" si="181"/>
        <v/>
      </c>
      <c r="F989" s="11"/>
      <c r="G989" s="16" t="str">
        <f t="shared" si="182"/>
        <v/>
      </c>
      <c r="H989" s="17"/>
      <c r="I989" s="16" t="str">
        <f t="shared" si="183"/>
        <v/>
      </c>
      <c r="J989" s="16" t="str">
        <f t="shared" si="184"/>
        <v/>
      </c>
      <c r="K989" s="18" t="str">
        <f t="shared" si="185"/>
        <v/>
      </c>
      <c r="L989" s="16" t="str">
        <f t="shared" si="186"/>
        <v/>
      </c>
      <c r="M989" s="16" t="str">
        <f t="shared" si="187"/>
        <v/>
      </c>
      <c r="N989" s="16" t="str">
        <f t="shared" si="188"/>
        <v/>
      </c>
      <c r="O989" s="16" t="str">
        <f t="shared" si="189"/>
        <v/>
      </c>
      <c r="P989" s="16" t="str">
        <f t="shared" si="190"/>
        <v/>
      </c>
      <c r="Q989" s="18" t="str">
        <f t="shared" si="191"/>
        <v/>
      </c>
      <c r="R989" s="19" t="str">
        <f>IF(C989="","",IF(ISNA(MATCH(B989,'Registru oferte'!$B$5:$B$504,0)),"Oferta nu există în registru",IF(N(F989)&lt;=0,"Lipsește cantitatea",IF(AND(ISNUMBER(Q989),Q989&lt;MarjaMin),"Marjă sub minim ("&amp;TEXT(Q989*100,"0")&amp;"%)",""))))</f>
        <v/>
      </c>
      <c r="S989" s="1" t="str">
        <f>IF(B989="","",B989&amp;"|"&amp;COUNTIF($B$5:B989,B989))</f>
        <v/>
      </c>
    </row>
    <row r="990" spans="2:19" x14ac:dyDescent="0.2">
      <c r="B990" s="11"/>
      <c r="C990" s="11"/>
      <c r="D990" s="10" t="str">
        <f t="shared" si="180"/>
        <v/>
      </c>
      <c r="E990" s="15" t="str">
        <f t="shared" si="181"/>
        <v/>
      </c>
      <c r="F990" s="11"/>
      <c r="G990" s="16" t="str">
        <f t="shared" si="182"/>
        <v/>
      </c>
      <c r="H990" s="17"/>
      <c r="I990" s="16" t="str">
        <f t="shared" si="183"/>
        <v/>
      </c>
      <c r="J990" s="16" t="str">
        <f t="shared" si="184"/>
        <v/>
      </c>
      <c r="K990" s="18" t="str">
        <f t="shared" si="185"/>
        <v/>
      </c>
      <c r="L990" s="16" t="str">
        <f t="shared" si="186"/>
        <v/>
      </c>
      <c r="M990" s="16" t="str">
        <f t="shared" si="187"/>
        <v/>
      </c>
      <c r="N990" s="16" t="str">
        <f t="shared" si="188"/>
        <v/>
      </c>
      <c r="O990" s="16" t="str">
        <f t="shared" si="189"/>
        <v/>
      </c>
      <c r="P990" s="16" t="str">
        <f t="shared" si="190"/>
        <v/>
      </c>
      <c r="Q990" s="18" t="str">
        <f t="shared" si="191"/>
        <v/>
      </c>
      <c r="R990" s="19" t="str">
        <f>IF(C990="","",IF(ISNA(MATCH(B990,'Registru oferte'!$B$5:$B$504,0)),"Oferta nu există în registru",IF(N(F990)&lt;=0,"Lipsește cantitatea",IF(AND(ISNUMBER(Q990),Q990&lt;MarjaMin),"Marjă sub minim ("&amp;TEXT(Q990*100,"0")&amp;"%)",""))))</f>
        <v/>
      </c>
      <c r="S990" s="1" t="str">
        <f>IF(B990="","",B990&amp;"|"&amp;COUNTIF($B$5:B990,B990))</f>
        <v/>
      </c>
    </row>
    <row r="991" spans="2:19" x14ac:dyDescent="0.2">
      <c r="B991" s="11"/>
      <c r="C991" s="11"/>
      <c r="D991" s="10" t="str">
        <f t="shared" si="180"/>
        <v/>
      </c>
      <c r="E991" s="15" t="str">
        <f t="shared" si="181"/>
        <v/>
      </c>
      <c r="F991" s="11"/>
      <c r="G991" s="16" t="str">
        <f t="shared" si="182"/>
        <v/>
      </c>
      <c r="H991" s="17"/>
      <c r="I991" s="16" t="str">
        <f t="shared" si="183"/>
        <v/>
      </c>
      <c r="J991" s="16" t="str">
        <f t="shared" si="184"/>
        <v/>
      </c>
      <c r="K991" s="18" t="str">
        <f t="shared" si="185"/>
        <v/>
      </c>
      <c r="L991" s="16" t="str">
        <f t="shared" si="186"/>
        <v/>
      </c>
      <c r="M991" s="16" t="str">
        <f t="shared" si="187"/>
        <v/>
      </c>
      <c r="N991" s="16" t="str">
        <f t="shared" si="188"/>
        <v/>
      </c>
      <c r="O991" s="16" t="str">
        <f t="shared" si="189"/>
        <v/>
      </c>
      <c r="P991" s="16" t="str">
        <f t="shared" si="190"/>
        <v/>
      </c>
      <c r="Q991" s="18" t="str">
        <f t="shared" si="191"/>
        <v/>
      </c>
      <c r="R991" s="19" t="str">
        <f>IF(C991="","",IF(ISNA(MATCH(B991,'Registru oferte'!$B$5:$B$504,0)),"Oferta nu există în registru",IF(N(F991)&lt;=0,"Lipsește cantitatea",IF(AND(ISNUMBER(Q991),Q991&lt;MarjaMin),"Marjă sub minim ("&amp;TEXT(Q991*100,"0")&amp;"%)",""))))</f>
        <v/>
      </c>
      <c r="S991" s="1" t="str">
        <f>IF(B991="","",B991&amp;"|"&amp;COUNTIF($B$5:B991,B991))</f>
        <v/>
      </c>
    </row>
    <row r="992" spans="2:19" x14ac:dyDescent="0.2">
      <c r="B992" s="11"/>
      <c r="C992" s="11"/>
      <c r="D992" s="10" t="str">
        <f t="shared" si="180"/>
        <v/>
      </c>
      <c r="E992" s="15" t="str">
        <f t="shared" si="181"/>
        <v/>
      </c>
      <c r="F992" s="11"/>
      <c r="G992" s="16" t="str">
        <f t="shared" si="182"/>
        <v/>
      </c>
      <c r="H992" s="17"/>
      <c r="I992" s="16" t="str">
        <f t="shared" si="183"/>
        <v/>
      </c>
      <c r="J992" s="16" t="str">
        <f t="shared" si="184"/>
        <v/>
      </c>
      <c r="K992" s="18" t="str">
        <f t="shared" si="185"/>
        <v/>
      </c>
      <c r="L992" s="16" t="str">
        <f t="shared" si="186"/>
        <v/>
      </c>
      <c r="M992" s="16" t="str">
        <f t="shared" si="187"/>
        <v/>
      </c>
      <c r="N992" s="16" t="str">
        <f t="shared" si="188"/>
        <v/>
      </c>
      <c r="O992" s="16" t="str">
        <f t="shared" si="189"/>
        <v/>
      </c>
      <c r="P992" s="16" t="str">
        <f t="shared" si="190"/>
        <v/>
      </c>
      <c r="Q992" s="18" t="str">
        <f t="shared" si="191"/>
        <v/>
      </c>
      <c r="R992" s="19" t="str">
        <f>IF(C992="","",IF(ISNA(MATCH(B992,'Registru oferte'!$B$5:$B$504,0)),"Oferta nu există în registru",IF(N(F992)&lt;=0,"Lipsește cantitatea",IF(AND(ISNUMBER(Q992),Q992&lt;MarjaMin),"Marjă sub minim ("&amp;TEXT(Q992*100,"0")&amp;"%)",""))))</f>
        <v/>
      </c>
      <c r="S992" s="1" t="str">
        <f>IF(B992="","",B992&amp;"|"&amp;COUNTIF($B$5:B992,B992))</f>
        <v/>
      </c>
    </row>
    <row r="993" spans="2:702" x14ac:dyDescent="0.2">
      <c r="B993" s="11"/>
      <c r="C993" s="11"/>
      <c r="D993" s="10" t="str">
        <f t="shared" si="180"/>
        <v/>
      </c>
      <c r="E993" s="15" t="str">
        <f t="shared" si="181"/>
        <v/>
      </c>
      <c r="F993" s="11"/>
      <c r="G993" s="16" t="str">
        <f t="shared" si="182"/>
        <v/>
      </c>
      <c r="H993" s="17"/>
      <c r="I993" s="16" t="str">
        <f t="shared" si="183"/>
        <v/>
      </c>
      <c r="J993" s="16" t="str">
        <f t="shared" si="184"/>
        <v/>
      </c>
      <c r="K993" s="18" t="str">
        <f t="shared" si="185"/>
        <v/>
      </c>
      <c r="L993" s="16" t="str">
        <f t="shared" si="186"/>
        <v/>
      </c>
      <c r="M993" s="16" t="str">
        <f t="shared" si="187"/>
        <v/>
      </c>
      <c r="N993" s="16" t="str">
        <f t="shared" si="188"/>
        <v/>
      </c>
      <c r="O993" s="16" t="str">
        <f t="shared" si="189"/>
        <v/>
      </c>
      <c r="P993" s="16" t="str">
        <f t="shared" si="190"/>
        <v/>
      </c>
      <c r="Q993" s="18" t="str">
        <f t="shared" si="191"/>
        <v/>
      </c>
      <c r="R993" s="19" t="str">
        <f>IF(C993="","",IF(ISNA(MATCH(B993,'Registru oferte'!$B$5:$B$504,0)),"Oferta nu există în registru",IF(N(F993)&lt;=0,"Lipsește cantitatea",IF(AND(ISNUMBER(Q993),Q993&lt;MarjaMin),"Marjă sub minim ("&amp;TEXT(Q993*100,"0")&amp;"%)",""))))</f>
        <v/>
      </c>
      <c r="S993" s="1" t="str">
        <f>IF(B993="","",B993&amp;"|"&amp;COUNTIF($B$5:B993,B993))</f>
        <v/>
      </c>
    </row>
    <row r="994" spans="2:702" x14ac:dyDescent="0.2">
      <c r="B994" s="11"/>
      <c r="C994" s="11"/>
      <c r="D994" s="10" t="str">
        <f t="shared" si="180"/>
        <v/>
      </c>
      <c r="E994" s="15" t="str">
        <f t="shared" si="181"/>
        <v/>
      </c>
      <c r="F994" s="11"/>
      <c r="G994" s="16" t="str">
        <f t="shared" si="182"/>
        <v/>
      </c>
      <c r="H994" s="17"/>
      <c r="I994" s="16" t="str">
        <f t="shared" si="183"/>
        <v/>
      </c>
      <c r="J994" s="16" t="str">
        <f t="shared" si="184"/>
        <v/>
      </c>
      <c r="K994" s="18" t="str">
        <f t="shared" si="185"/>
        <v/>
      </c>
      <c r="L994" s="16" t="str">
        <f t="shared" si="186"/>
        <v/>
      </c>
      <c r="M994" s="16" t="str">
        <f t="shared" si="187"/>
        <v/>
      </c>
      <c r="N994" s="16" t="str">
        <f t="shared" si="188"/>
        <v/>
      </c>
      <c r="O994" s="16" t="str">
        <f t="shared" si="189"/>
        <v/>
      </c>
      <c r="P994" s="16" t="str">
        <f t="shared" si="190"/>
        <v/>
      </c>
      <c r="Q994" s="18" t="str">
        <f t="shared" si="191"/>
        <v/>
      </c>
      <c r="R994" s="19" t="str">
        <f>IF(C994="","",IF(ISNA(MATCH(B994,'Registru oferte'!$B$5:$B$504,0)),"Oferta nu există în registru",IF(N(F994)&lt;=0,"Lipsește cantitatea",IF(AND(ISNUMBER(Q994),Q994&lt;MarjaMin),"Marjă sub minim ("&amp;TEXT(Q994*100,"0")&amp;"%)",""))))</f>
        <v/>
      </c>
      <c r="S994" s="1" t="str">
        <f>IF(B994="","",B994&amp;"|"&amp;COUNTIF($B$5:B994,B994))</f>
        <v/>
      </c>
    </row>
    <row r="995" spans="2:702" x14ac:dyDescent="0.2">
      <c r="B995" s="11"/>
      <c r="C995" s="11"/>
      <c r="D995" s="10" t="str">
        <f t="shared" si="180"/>
        <v/>
      </c>
      <c r="E995" s="15" t="str">
        <f t="shared" si="181"/>
        <v/>
      </c>
      <c r="F995" s="11"/>
      <c r="G995" s="16" t="str">
        <f t="shared" si="182"/>
        <v/>
      </c>
      <c r="H995" s="17"/>
      <c r="I995" s="16" t="str">
        <f t="shared" si="183"/>
        <v/>
      </c>
      <c r="J995" s="16" t="str">
        <f t="shared" si="184"/>
        <v/>
      </c>
      <c r="K995" s="18" t="str">
        <f t="shared" si="185"/>
        <v/>
      </c>
      <c r="L995" s="16" t="str">
        <f t="shared" si="186"/>
        <v/>
      </c>
      <c r="M995" s="16" t="str">
        <f t="shared" si="187"/>
        <v/>
      </c>
      <c r="N995" s="16" t="str">
        <f t="shared" si="188"/>
        <v/>
      </c>
      <c r="O995" s="16" t="str">
        <f t="shared" si="189"/>
        <v/>
      </c>
      <c r="P995" s="16" t="str">
        <f t="shared" si="190"/>
        <v/>
      </c>
      <c r="Q995" s="18" t="str">
        <f t="shared" si="191"/>
        <v/>
      </c>
      <c r="R995" s="19" t="str">
        <f>IF(C995="","",IF(ISNA(MATCH(B995,'Registru oferte'!$B$5:$B$504,0)),"Oferta nu există în registru",IF(N(F995)&lt;=0,"Lipsește cantitatea",IF(AND(ISNUMBER(Q995),Q995&lt;MarjaMin),"Marjă sub minim ("&amp;TEXT(Q995*100,"0")&amp;"%)",""))))</f>
        <v/>
      </c>
      <c r="S995" s="1" t="str">
        <f>IF(B995="","",B995&amp;"|"&amp;COUNTIF($B$5:B995,B995))</f>
        <v/>
      </c>
    </row>
    <row r="996" spans="2:702" x14ac:dyDescent="0.2">
      <c r="B996" s="11"/>
      <c r="C996" s="11"/>
      <c r="D996" s="10" t="str">
        <f t="shared" si="180"/>
        <v/>
      </c>
      <c r="E996" s="15" t="str">
        <f t="shared" si="181"/>
        <v/>
      </c>
      <c r="F996" s="11"/>
      <c r="G996" s="16" t="str">
        <f t="shared" si="182"/>
        <v/>
      </c>
      <c r="H996" s="17"/>
      <c r="I996" s="16" t="str">
        <f t="shared" si="183"/>
        <v/>
      </c>
      <c r="J996" s="16" t="str">
        <f t="shared" si="184"/>
        <v/>
      </c>
      <c r="K996" s="18" t="str">
        <f t="shared" si="185"/>
        <v/>
      </c>
      <c r="L996" s="16" t="str">
        <f t="shared" si="186"/>
        <v/>
      </c>
      <c r="M996" s="16" t="str">
        <f t="shared" si="187"/>
        <v/>
      </c>
      <c r="N996" s="16" t="str">
        <f t="shared" si="188"/>
        <v/>
      </c>
      <c r="O996" s="16" t="str">
        <f t="shared" si="189"/>
        <v/>
      </c>
      <c r="P996" s="16" t="str">
        <f t="shared" si="190"/>
        <v/>
      </c>
      <c r="Q996" s="18" t="str">
        <f t="shared" si="191"/>
        <v/>
      </c>
      <c r="R996" s="19" t="str">
        <f>IF(C996="","",IF(ISNA(MATCH(B996,'Registru oferte'!$B$5:$B$504,0)),"Oferta nu există în registru",IF(N(F996)&lt;=0,"Lipsește cantitatea",IF(AND(ISNUMBER(Q996),Q996&lt;MarjaMin),"Marjă sub minim ("&amp;TEXT(Q996*100,"0")&amp;"%)",""))))</f>
        <v/>
      </c>
      <c r="S996" s="1" t="str">
        <f>IF(B996="","",B996&amp;"|"&amp;COUNTIF($B$5:B996,B996))</f>
        <v/>
      </c>
    </row>
    <row r="997" spans="2:702" x14ac:dyDescent="0.2">
      <c r="B997" s="11"/>
      <c r="C997" s="11"/>
      <c r="D997" s="10" t="str">
        <f t="shared" si="180"/>
        <v/>
      </c>
      <c r="E997" s="15" t="str">
        <f t="shared" si="181"/>
        <v/>
      </c>
      <c r="F997" s="11"/>
      <c r="G997" s="16" t="str">
        <f t="shared" si="182"/>
        <v/>
      </c>
      <c r="H997" s="17"/>
      <c r="I997" s="16" t="str">
        <f t="shared" si="183"/>
        <v/>
      </c>
      <c r="J997" s="16" t="str">
        <f t="shared" si="184"/>
        <v/>
      </c>
      <c r="K997" s="18" t="str">
        <f t="shared" si="185"/>
        <v/>
      </c>
      <c r="L997" s="16" t="str">
        <f t="shared" si="186"/>
        <v/>
      </c>
      <c r="M997" s="16" t="str">
        <f t="shared" si="187"/>
        <v/>
      </c>
      <c r="N997" s="16" t="str">
        <f t="shared" si="188"/>
        <v/>
      </c>
      <c r="O997" s="16" t="str">
        <f t="shared" si="189"/>
        <v/>
      </c>
      <c r="P997" s="16" t="str">
        <f t="shared" si="190"/>
        <v/>
      </c>
      <c r="Q997" s="18" t="str">
        <f t="shared" si="191"/>
        <v/>
      </c>
      <c r="R997" s="19" t="str">
        <f>IF(C997="","",IF(ISNA(MATCH(B997,'Registru oferte'!$B$5:$B$504,0)),"Oferta nu există în registru",IF(N(F997)&lt;=0,"Lipsește cantitatea",IF(AND(ISNUMBER(Q997),Q997&lt;MarjaMin),"Marjă sub minim ("&amp;TEXT(Q997*100,"0")&amp;"%)",""))))</f>
        <v/>
      </c>
      <c r="S997" s="1" t="str">
        <f>IF(B997="","",B997&amp;"|"&amp;COUNTIF($B$5:B997,B997))</f>
        <v/>
      </c>
    </row>
    <row r="998" spans="2:702" x14ac:dyDescent="0.2">
      <c r="B998" s="11"/>
      <c r="C998" s="11"/>
      <c r="D998" s="10" t="str">
        <f t="shared" si="180"/>
        <v/>
      </c>
      <c r="E998" s="15" t="str">
        <f t="shared" si="181"/>
        <v/>
      </c>
      <c r="F998" s="11"/>
      <c r="G998" s="16" t="str">
        <f t="shared" si="182"/>
        <v/>
      </c>
      <c r="H998" s="17"/>
      <c r="I998" s="16" t="str">
        <f t="shared" si="183"/>
        <v/>
      </c>
      <c r="J998" s="16" t="str">
        <f t="shared" si="184"/>
        <v/>
      </c>
      <c r="K998" s="18" t="str">
        <f t="shared" si="185"/>
        <v/>
      </c>
      <c r="L998" s="16" t="str">
        <f t="shared" si="186"/>
        <v/>
      </c>
      <c r="M998" s="16" t="str">
        <f t="shared" si="187"/>
        <v/>
      </c>
      <c r="N998" s="16" t="str">
        <f t="shared" si="188"/>
        <v/>
      </c>
      <c r="O998" s="16" t="str">
        <f t="shared" si="189"/>
        <v/>
      </c>
      <c r="P998" s="16" t="str">
        <f t="shared" si="190"/>
        <v/>
      </c>
      <c r="Q998" s="18" t="str">
        <f t="shared" si="191"/>
        <v/>
      </c>
      <c r="R998" s="19" t="str">
        <f>IF(C998="","",IF(ISNA(MATCH(B998,'Registru oferte'!$B$5:$B$504,0)),"Oferta nu există în registru",IF(N(F998)&lt;=0,"Lipsește cantitatea",IF(AND(ISNUMBER(Q998),Q998&lt;MarjaMin),"Marjă sub minim ("&amp;TEXT(Q998*100,"0")&amp;"%)",""))))</f>
        <v/>
      </c>
      <c r="S998" s="1" t="str">
        <f>IF(B998="","",B998&amp;"|"&amp;COUNTIF($B$5:B998,B998))</f>
        <v/>
      </c>
    </row>
    <row r="999" spans="2:702" x14ac:dyDescent="0.2">
      <c r="B999" s="11"/>
      <c r="C999" s="11"/>
      <c r="D999" s="10" t="str">
        <f t="shared" si="180"/>
        <v/>
      </c>
      <c r="E999" s="15" t="str">
        <f t="shared" si="181"/>
        <v/>
      </c>
      <c r="F999" s="11"/>
      <c r="G999" s="16" t="str">
        <f t="shared" si="182"/>
        <v/>
      </c>
      <c r="H999" s="17"/>
      <c r="I999" s="16" t="str">
        <f t="shared" si="183"/>
        <v/>
      </c>
      <c r="J999" s="16" t="str">
        <f t="shared" si="184"/>
        <v/>
      </c>
      <c r="K999" s="18" t="str">
        <f t="shared" si="185"/>
        <v/>
      </c>
      <c r="L999" s="16" t="str">
        <f t="shared" si="186"/>
        <v/>
      </c>
      <c r="M999" s="16" t="str">
        <f t="shared" si="187"/>
        <v/>
      </c>
      <c r="N999" s="16" t="str">
        <f t="shared" si="188"/>
        <v/>
      </c>
      <c r="O999" s="16" t="str">
        <f t="shared" si="189"/>
        <v/>
      </c>
      <c r="P999" s="16" t="str">
        <f t="shared" si="190"/>
        <v/>
      </c>
      <c r="Q999" s="18" t="str">
        <f t="shared" si="191"/>
        <v/>
      </c>
      <c r="R999" s="19" t="str">
        <f>IF(C999="","",IF(ISNA(MATCH(B999,'Registru oferte'!$B$5:$B$504,0)),"Oferta nu există în registru",IF(N(F999)&lt;=0,"Lipsește cantitatea",IF(AND(ISNUMBER(Q999),Q999&lt;MarjaMin),"Marjă sub minim ("&amp;TEXT(Q999*100,"0")&amp;"%)",""))))</f>
        <v/>
      </c>
      <c r="S999" s="1" t="str">
        <f>IF(B999="","",B999&amp;"|"&amp;COUNTIF($B$5:B999,B999))</f>
        <v/>
      </c>
    </row>
    <row r="1000" spans="2:702" ht="15" x14ac:dyDescent="0.25">
      <c r="B1000" s="11"/>
      <c r="C1000" s="11"/>
      <c r="D1000" s="10" t="str">
        <f t="shared" si="180"/>
        <v/>
      </c>
      <c r="E1000" s="15" t="str">
        <f t="shared" si="181"/>
        <v/>
      </c>
      <c r="F1000" s="11"/>
      <c r="G1000" s="16" t="str">
        <f t="shared" si="182"/>
        <v/>
      </c>
      <c r="H1000" s="17"/>
      <c r="I1000" s="16" t="str">
        <f t="shared" si="183"/>
        <v/>
      </c>
      <c r="J1000" s="16" t="str">
        <f t="shared" si="184"/>
        <v/>
      </c>
      <c r="K1000" s="18" t="str">
        <f t="shared" si="185"/>
        <v/>
      </c>
      <c r="L1000" s="16" t="str">
        <f t="shared" si="186"/>
        <v/>
      </c>
      <c r="M1000" s="16" t="str">
        <f t="shared" si="187"/>
        <v/>
      </c>
      <c r="N1000" s="16" t="str">
        <f t="shared" si="188"/>
        <v/>
      </c>
      <c r="O1000" s="16" t="str">
        <f t="shared" si="189"/>
        <v/>
      </c>
      <c r="P1000" s="16" t="str">
        <f t="shared" si="190"/>
        <v/>
      </c>
      <c r="Q1000" s="18" t="str">
        <f t="shared" si="191"/>
        <v/>
      </c>
      <c r="R1000" s="19" t="str">
        <f>IF(C1000="","",IF(ISNA(MATCH(B1000,'Registru oferte'!$B$5:$B$504,0)),"Oferta nu există în registru",IF(N(F1000)&lt;=0,"Lipsește cantitatea",IF(AND(ISNUMBER(Q1000),Q1000&lt;MarjaMin),"Marjă sub minim ("&amp;TEXT(Q1000*100,"0")&amp;"%)",""))))</f>
        <v/>
      </c>
      <c r="S1000" s="1" t="str">
        <f>IF(B1000="","",B1000&amp;"|"&amp;COUNTIF($B$5:B1000,B1000))</f>
        <v/>
      </c>
      <c r="ZZ1000"/>
    </row>
    <row r="1001" spans="2:702" x14ac:dyDescent="0.2">
      <c r="B1001" s="11"/>
      <c r="C1001" s="11"/>
      <c r="D1001" s="10" t="str">
        <f t="shared" si="180"/>
        <v/>
      </c>
      <c r="E1001" s="15" t="str">
        <f t="shared" si="181"/>
        <v/>
      </c>
      <c r="F1001" s="11"/>
      <c r="G1001" s="16" t="str">
        <f t="shared" si="182"/>
        <v/>
      </c>
      <c r="H1001" s="17"/>
      <c r="I1001" s="16" t="str">
        <f t="shared" si="183"/>
        <v/>
      </c>
      <c r="J1001" s="16" t="str">
        <f t="shared" si="184"/>
        <v/>
      </c>
      <c r="K1001" s="18" t="str">
        <f t="shared" si="185"/>
        <v/>
      </c>
      <c r="L1001" s="16" t="str">
        <f t="shared" si="186"/>
        <v/>
      </c>
      <c r="M1001" s="16" t="str">
        <f t="shared" si="187"/>
        <v/>
      </c>
      <c r="N1001" s="16" t="str">
        <f t="shared" si="188"/>
        <v/>
      </c>
      <c r="O1001" s="16" t="str">
        <f t="shared" si="189"/>
        <v/>
      </c>
      <c r="P1001" s="16" t="str">
        <f t="shared" si="190"/>
        <v/>
      </c>
      <c r="Q1001" s="18" t="str">
        <f t="shared" si="191"/>
        <v/>
      </c>
      <c r="R1001" s="19" t="str">
        <f>IF(C1001="","",IF(ISNA(MATCH(B1001,'Registru oferte'!$B$5:$B$504,0)),"Oferta nu există în registru",IF(N(F1001)&lt;=0,"Lipsește cantitatea",IF(AND(ISNUMBER(Q1001),Q1001&lt;MarjaMin),"Marjă sub minim ("&amp;TEXT(Q1001*100,"0")&amp;"%)",""))))</f>
        <v/>
      </c>
      <c r="S1001" s="1" t="str">
        <f>IF(B1001="","",B1001&amp;"|"&amp;COUNTIF($B$5:B1001,B1001))</f>
        <v/>
      </c>
    </row>
    <row r="1002" spans="2:702" x14ac:dyDescent="0.2">
      <c r="B1002" s="11"/>
      <c r="C1002" s="11"/>
      <c r="D1002" s="10" t="str">
        <f t="shared" si="180"/>
        <v/>
      </c>
      <c r="E1002" s="15" t="str">
        <f t="shared" si="181"/>
        <v/>
      </c>
      <c r="F1002" s="11"/>
      <c r="G1002" s="16" t="str">
        <f t="shared" si="182"/>
        <v/>
      </c>
      <c r="H1002" s="17"/>
      <c r="I1002" s="16" t="str">
        <f t="shared" si="183"/>
        <v/>
      </c>
      <c r="J1002" s="16" t="str">
        <f t="shared" si="184"/>
        <v/>
      </c>
      <c r="K1002" s="18" t="str">
        <f t="shared" si="185"/>
        <v/>
      </c>
      <c r="L1002" s="16" t="str">
        <f t="shared" si="186"/>
        <v/>
      </c>
      <c r="M1002" s="16" t="str">
        <f t="shared" si="187"/>
        <v/>
      </c>
      <c r="N1002" s="16" t="str">
        <f t="shared" si="188"/>
        <v/>
      </c>
      <c r="O1002" s="16" t="str">
        <f t="shared" si="189"/>
        <v/>
      </c>
      <c r="P1002" s="16" t="str">
        <f t="shared" si="190"/>
        <v/>
      </c>
      <c r="Q1002" s="18" t="str">
        <f t="shared" si="191"/>
        <v/>
      </c>
      <c r="R1002" s="19" t="str">
        <f>IF(C1002="","",IF(ISNA(MATCH(B1002,'Registru oferte'!$B$5:$B$504,0)),"Oferta nu există în registru",IF(N(F1002)&lt;=0,"Lipsește cantitatea",IF(AND(ISNUMBER(Q1002),Q1002&lt;MarjaMin),"Marjă sub minim ("&amp;TEXT(Q1002*100,"0")&amp;"%)",""))))</f>
        <v/>
      </c>
      <c r="S1002" s="1" t="str">
        <f>IF(B1002="","",B1002&amp;"|"&amp;COUNTIF($B$5:B1002,B1002))</f>
        <v/>
      </c>
    </row>
    <row r="1003" spans="2:702" x14ac:dyDescent="0.2">
      <c r="B1003" s="11"/>
      <c r="C1003" s="11"/>
      <c r="D1003" s="10" t="str">
        <f t="shared" si="180"/>
        <v/>
      </c>
      <c r="E1003" s="15" t="str">
        <f t="shared" si="181"/>
        <v/>
      </c>
      <c r="F1003" s="11"/>
      <c r="G1003" s="16" t="str">
        <f t="shared" si="182"/>
        <v/>
      </c>
      <c r="H1003" s="17"/>
      <c r="I1003" s="16" t="str">
        <f t="shared" si="183"/>
        <v/>
      </c>
      <c r="J1003" s="16" t="str">
        <f t="shared" si="184"/>
        <v/>
      </c>
      <c r="K1003" s="18" t="str">
        <f t="shared" si="185"/>
        <v/>
      </c>
      <c r="L1003" s="16" t="str">
        <f t="shared" si="186"/>
        <v/>
      </c>
      <c r="M1003" s="16" t="str">
        <f t="shared" si="187"/>
        <v/>
      </c>
      <c r="N1003" s="16" t="str">
        <f t="shared" si="188"/>
        <v/>
      </c>
      <c r="O1003" s="16" t="str">
        <f t="shared" si="189"/>
        <v/>
      </c>
      <c r="P1003" s="16" t="str">
        <f t="shared" si="190"/>
        <v/>
      </c>
      <c r="Q1003" s="18" t="str">
        <f t="shared" si="191"/>
        <v/>
      </c>
      <c r="R1003" s="19" t="str">
        <f>IF(C1003="","",IF(ISNA(MATCH(B1003,'Registru oferte'!$B$5:$B$504,0)),"Oferta nu există în registru",IF(N(F1003)&lt;=0,"Lipsește cantitatea",IF(AND(ISNUMBER(Q1003),Q1003&lt;MarjaMin),"Marjă sub minim ("&amp;TEXT(Q1003*100,"0")&amp;"%)",""))))</f>
        <v/>
      </c>
      <c r="S1003" s="1" t="str">
        <f>IF(B1003="","",B1003&amp;"|"&amp;COUNTIF($B$5:B1003,B1003))</f>
        <v/>
      </c>
    </row>
    <row r="1004" spans="2:702" x14ac:dyDescent="0.2">
      <c r="B1004" s="11"/>
      <c r="C1004" s="11"/>
      <c r="D1004" s="10" t="str">
        <f t="shared" si="180"/>
        <v/>
      </c>
      <c r="E1004" s="15" t="str">
        <f t="shared" si="181"/>
        <v/>
      </c>
      <c r="F1004" s="11"/>
      <c r="G1004" s="16" t="str">
        <f t="shared" si="182"/>
        <v/>
      </c>
      <c r="H1004" s="17"/>
      <c r="I1004" s="16" t="str">
        <f t="shared" si="183"/>
        <v/>
      </c>
      <c r="J1004" s="16" t="str">
        <f t="shared" si="184"/>
        <v/>
      </c>
      <c r="K1004" s="18" t="str">
        <f t="shared" si="185"/>
        <v/>
      </c>
      <c r="L1004" s="16" t="str">
        <f t="shared" si="186"/>
        <v/>
      </c>
      <c r="M1004" s="16" t="str">
        <f t="shared" si="187"/>
        <v/>
      </c>
      <c r="N1004" s="16" t="str">
        <f t="shared" si="188"/>
        <v/>
      </c>
      <c r="O1004" s="16" t="str">
        <f t="shared" si="189"/>
        <v/>
      </c>
      <c r="P1004" s="16" t="str">
        <f t="shared" si="190"/>
        <v/>
      </c>
      <c r="Q1004" s="18" t="str">
        <f t="shared" si="191"/>
        <v/>
      </c>
      <c r="R1004" s="19" t="str">
        <f>IF(C1004="","",IF(ISNA(MATCH(B1004,'Registru oferte'!$B$5:$B$504,0)),"Oferta nu există în registru",IF(N(F1004)&lt;=0,"Lipsește cantitatea",IF(AND(ISNUMBER(Q1004),Q1004&lt;MarjaMin),"Marjă sub minim ("&amp;TEXT(Q1004*100,"0")&amp;"%)",""))))</f>
        <v/>
      </c>
      <c r="S1004" s="1" t="str">
        <f>IF(B1004="","",B1004&amp;"|"&amp;COUNTIF($B$5:B1004,B1004))</f>
        <v/>
      </c>
    </row>
  </sheetData>
  <conditionalFormatting sqref="B5:R1004">
    <cfRule type="expression" dxfId="1" priority="1" stopIfTrue="1">
      <formula>$R5&lt;&gt;""</formula>
    </cfRule>
  </conditionalFormatting>
  <conditionalFormatting sqref="Q5:Q1004">
    <cfRule type="expression" dxfId="0" priority="2" stopIfTrue="1">
      <formula>AND(ISNUMBER($Q5),$Q5&lt;MarjaMin)</formula>
    </cfRule>
  </conditionalFormatting>
  <dataValidations count="1">
    <dataValidation type="list" allowBlank="1" showInputMessage="1" showErrorMessage="1" sqref="C5:C1004" xr:uid="{AAF850F9-0539-4981-AB00-A18292D6C774}">
      <formula1>CodCat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49168-0729-4030-85EB-C601213C841C}">
  <dimension ref="B1:E13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2.7109375" style="1" customWidth="1"/>
    <col min="3" max="3" width="11.7109375" style="1" customWidth="1"/>
    <col min="4" max="4" width="18.7109375" style="1" customWidth="1"/>
    <col min="5" max="5" width="14.7109375" style="1" customWidth="1"/>
    <col min="6" max="16384" width="11.42578125" style="1"/>
  </cols>
  <sheetData>
    <row r="1" spans="2:5" ht="21" x14ac:dyDescent="0.35">
      <c r="B1" s="2" t="s">
        <v>128</v>
      </c>
    </row>
    <row r="2" spans="2:5" x14ac:dyDescent="0.2">
      <c r="B2" s="3" t="s">
        <v>129</v>
      </c>
    </row>
    <row r="4" spans="2:5" x14ac:dyDescent="0.2">
      <c r="B4" s="8" t="s">
        <v>85</v>
      </c>
      <c r="C4" s="8" t="s">
        <v>130</v>
      </c>
      <c r="D4" s="8" t="s">
        <v>58</v>
      </c>
      <c r="E4" s="8" t="s">
        <v>131</v>
      </c>
    </row>
    <row r="5" spans="2:5" x14ac:dyDescent="0.2">
      <c r="B5" s="10" t="s">
        <v>20</v>
      </c>
      <c r="C5" s="15">
        <f ca="1">COUNTIF('Registru oferte'!$S$5:$S$504,B5)</f>
        <v>0</v>
      </c>
      <c r="D5" s="16">
        <f ca="1">SUMIF('Registru oferte'!$S$5:$S$504,B5,'Registru oferte'!$P$5:$P$504)</f>
        <v>0</v>
      </c>
      <c r="E5" s="14" t="str">
        <f ca="1">IFERROR(SUMPRODUCT(('Registru oferte'!$S$5:$S$504=B5)*N(+'Registru oferte'!$P$5:$P$504)*N(+'Registru oferte'!$R$5:$R$504))/D5,"")</f>
        <v/>
      </c>
    </row>
    <row r="6" spans="2:5" x14ac:dyDescent="0.2">
      <c r="B6" s="10" t="s">
        <v>21</v>
      </c>
      <c r="C6" s="15">
        <f ca="1">COUNTIF('Registru oferte'!$S$5:$S$504,B6)</f>
        <v>1</v>
      </c>
      <c r="D6" s="16">
        <f ca="1">SUMIF('Registru oferte'!$S$5:$S$504,B6,'Registru oferte'!$P$5:$P$504)</f>
        <v>16415.7</v>
      </c>
      <c r="E6" s="14">
        <f ca="1">IFERROR(SUMPRODUCT(('Registru oferte'!$S$5:$S$504=B6)*N(+'Registru oferte'!$P$5:$P$504)*N(+'Registru oferte'!$R$5:$R$504))/D6,"")</f>
        <v>0.27752090986068212</v>
      </c>
    </row>
    <row r="7" spans="2:5" x14ac:dyDescent="0.2">
      <c r="B7" s="10" t="s">
        <v>22</v>
      </c>
      <c r="C7" s="15">
        <f ca="1">COUNTIF('Registru oferte'!$S$5:$S$504,B7)</f>
        <v>1</v>
      </c>
      <c r="D7" s="16">
        <f ca="1">SUMIF('Registru oferte'!$S$5:$S$504,B7,'Registru oferte'!$P$5:$P$504)</f>
        <v>2532</v>
      </c>
      <c r="E7" s="14">
        <f ca="1">IFERROR(SUMPRODUCT(('Registru oferte'!$S$5:$S$504=B7)*N(+'Registru oferte'!$P$5:$P$504)*N(+'Registru oferte'!$R$5:$R$504))/D7,"")</f>
        <v>0.37519747235387046</v>
      </c>
    </row>
    <row r="8" spans="2:5" x14ac:dyDescent="0.2">
      <c r="B8" s="10" t="s">
        <v>23</v>
      </c>
      <c r="C8" s="15">
        <f ca="1">COUNTIF('Registru oferte'!$S$5:$S$504,B8)</f>
        <v>1</v>
      </c>
      <c r="D8" s="16">
        <f ca="1">SUMIF('Registru oferte'!$S$5:$S$504,B8,'Registru oferte'!$P$5:$P$504)</f>
        <v>2840</v>
      </c>
      <c r="E8" s="14">
        <f ca="1">IFERROR(SUMPRODUCT(('Registru oferte'!$S$5:$S$504=B8)*N(+'Registru oferte'!$P$5:$P$504)*N(+'Registru oferte'!$R$5:$R$504))/D8,"")</f>
        <v>0.34507042253521125</v>
      </c>
    </row>
    <row r="9" spans="2:5" x14ac:dyDescent="0.2">
      <c r="B9" s="10" t="s">
        <v>132</v>
      </c>
      <c r="C9" s="15">
        <f ca="1">COUNTIF('Registru oferte'!$S$5:$S$504,B9)</f>
        <v>1</v>
      </c>
      <c r="D9" s="16">
        <f ca="1">SUMIF('Registru oferte'!$S$5:$S$504,B9,'Registru oferte'!$P$5:$P$504)</f>
        <v>4050</v>
      </c>
      <c r="E9" s="14">
        <f ca="1">IFERROR(SUMPRODUCT(('Registru oferte'!$S$5:$S$504=B9)*N(+'Registru oferte'!$P$5:$P$504)*N(+'Registru oferte'!$R$5:$R$504))/D9,"")</f>
        <v>0.31358024691358027</v>
      </c>
    </row>
    <row r="10" spans="2:5" x14ac:dyDescent="0.2">
      <c r="B10" s="35" t="s">
        <v>133</v>
      </c>
      <c r="C10" s="36">
        <f ca="1">SUM(C5:C9)</f>
        <v>4</v>
      </c>
      <c r="D10" s="37">
        <f ca="1">SUM(D5:D9)</f>
        <v>25837.7</v>
      </c>
      <c r="E10" s="35"/>
    </row>
    <row r="12" spans="2:5" x14ac:dyDescent="0.2">
      <c r="B12" s="5" t="s">
        <v>134</v>
      </c>
      <c r="C12" s="10"/>
      <c r="D12" s="10"/>
      <c r="E12" s="38">
        <f ca="1">IFERROR(C7/(C7+C8+C9),"")</f>
        <v>0.33333333333333331</v>
      </c>
    </row>
    <row r="13" spans="2:5" x14ac:dyDescent="0.2">
      <c r="B13" s="5" t="s">
        <v>135</v>
      </c>
      <c r="C13" s="10"/>
      <c r="D13" s="10"/>
      <c r="E13" s="39">
        <f ca="1">IFERROR(D7/C7,"")</f>
        <v>2532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A018-5D02-4F2C-B78E-D2A8C1DD70F9}">
  <dimension ref="B1:H20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42.7109375" style="1" customWidth="1"/>
    <col min="4" max="4" width="7.7109375" style="1" customWidth="1"/>
    <col min="5" max="5" width="13.7109375" style="1" customWidth="1"/>
    <col min="6" max="6" width="11.7109375" style="1" customWidth="1"/>
    <col min="7" max="7" width="9.7109375" style="1" customWidth="1"/>
    <col min="8" max="8" width="12.7109375" style="1" customWidth="1"/>
    <col min="9" max="16384" width="11.42578125" style="1"/>
  </cols>
  <sheetData>
    <row r="1" spans="2:8" ht="21" x14ac:dyDescent="0.35">
      <c r="B1" s="2" t="s">
        <v>24</v>
      </c>
    </row>
    <row r="2" spans="2:8" x14ac:dyDescent="0.2">
      <c r="B2" s="3" t="s">
        <v>25</v>
      </c>
    </row>
    <row r="4" spans="2:8" ht="30" customHeight="1" x14ac:dyDescent="0.2">
      <c r="B4" s="8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8" t="s">
        <v>32</v>
      </c>
    </row>
    <row r="5" spans="2:8" x14ac:dyDescent="0.2">
      <c r="B5" s="11" t="s">
        <v>33</v>
      </c>
      <c r="C5" s="12" t="s">
        <v>34</v>
      </c>
      <c r="D5" s="11" t="s">
        <v>35</v>
      </c>
      <c r="E5" s="13">
        <v>9.5</v>
      </c>
      <c r="F5" s="13">
        <v>7.8</v>
      </c>
      <c r="G5" s="9">
        <v>0.21</v>
      </c>
      <c r="H5" s="14">
        <f t="shared" ref="H5:H36" si="0">IF(OR(B5="",N(E5)=0),"",(E5-F5)/E5)</f>
        <v>0.17894736842105266</v>
      </c>
    </row>
    <row r="6" spans="2:8" x14ac:dyDescent="0.2">
      <c r="B6" s="11" t="s">
        <v>36</v>
      </c>
      <c r="C6" s="12" t="s">
        <v>37</v>
      </c>
      <c r="D6" s="11" t="s">
        <v>38</v>
      </c>
      <c r="E6" s="13">
        <v>1450</v>
      </c>
      <c r="F6" s="13">
        <v>1080</v>
      </c>
      <c r="G6" s="9">
        <v>0.21</v>
      </c>
      <c r="H6" s="14">
        <f t="shared" si="0"/>
        <v>0.25517241379310346</v>
      </c>
    </row>
    <row r="7" spans="2:8" x14ac:dyDescent="0.2">
      <c r="B7" s="11" t="s">
        <v>39</v>
      </c>
      <c r="C7" s="12" t="s">
        <v>40</v>
      </c>
      <c r="D7" s="11" t="s">
        <v>38</v>
      </c>
      <c r="E7" s="13">
        <v>185</v>
      </c>
      <c r="F7" s="13">
        <v>152</v>
      </c>
      <c r="G7" s="9">
        <v>0.21</v>
      </c>
      <c r="H7" s="14">
        <f t="shared" si="0"/>
        <v>0.17837837837837839</v>
      </c>
    </row>
    <row r="8" spans="2:8" x14ac:dyDescent="0.2">
      <c r="B8" s="11" t="s">
        <v>41</v>
      </c>
      <c r="C8" s="12" t="s">
        <v>42</v>
      </c>
      <c r="D8" s="11" t="s">
        <v>38</v>
      </c>
      <c r="E8" s="13">
        <v>32</v>
      </c>
      <c r="F8" s="13">
        <v>19</v>
      </c>
      <c r="G8" s="9">
        <v>0.21</v>
      </c>
      <c r="H8" s="14">
        <f t="shared" si="0"/>
        <v>0.40625</v>
      </c>
    </row>
    <row r="9" spans="2:8" x14ac:dyDescent="0.2">
      <c r="B9" s="11" t="s">
        <v>43</v>
      </c>
      <c r="C9" s="12" t="s">
        <v>44</v>
      </c>
      <c r="D9" s="11" t="s">
        <v>45</v>
      </c>
      <c r="E9" s="13">
        <v>95</v>
      </c>
      <c r="F9" s="13">
        <v>55</v>
      </c>
      <c r="G9" s="9">
        <v>0.21</v>
      </c>
      <c r="H9" s="14">
        <f t="shared" si="0"/>
        <v>0.42105263157894735</v>
      </c>
    </row>
    <row r="10" spans="2:8" x14ac:dyDescent="0.2">
      <c r="B10" s="11" t="s">
        <v>46</v>
      </c>
      <c r="C10" s="12" t="s">
        <v>47</v>
      </c>
      <c r="D10" s="11" t="s">
        <v>48</v>
      </c>
      <c r="E10" s="13">
        <v>250</v>
      </c>
      <c r="F10" s="13">
        <v>120</v>
      </c>
      <c r="G10" s="9">
        <v>0.21</v>
      </c>
      <c r="H10" s="14">
        <f t="shared" si="0"/>
        <v>0.52</v>
      </c>
    </row>
    <row r="11" spans="2:8" x14ac:dyDescent="0.2">
      <c r="B11" s="11" t="s">
        <v>49</v>
      </c>
      <c r="C11" s="12" t="s">
        <v>50</v>
      </c>
      <c r="D11" s="11" t="s">
        <v>38</v>
      </c>
      <c r="E11" s="13">
        <v>650</v>
      </c>
      <c r="F11" s="13">
        <v>300</v>
      </c>
      <c r="G11" s="9">
        <v>0.21</v>
      </c>
      <c r="H11" s="14">
        <f t="shared" si="0"/>
        <v>0.53846153846153844</v>
      </c>
    </row>
    <row r="12" spans="2:8" x14ac:dyDescent="0.2">
      <c r="B12" s="11"/>
      <c r="C12" s="12"/>
      <c r="D12" s="11"/>
      <c r="E12" s="13"/>
      <c r="F12" s="13"/>
      <c r="G12" s="9"/>
      <c r="H12" s="14" t="str">
        <f t="shared" si="0"/>
        <v/>
      </c>
    </row>
    <row r="13" spans="2:8" x14ac:dyDescent="0.2">
      <c r="B13" s="11"/>
      <c r="C13" s="12"/>
      <c r="D13" s="11"/>
      <c r="E13" s="13"/>
      <c r="F13" s="13"/>
      <c r="G13" s="9"/>
      <c r="H13" s="14" t="str">
        <f t="shared" si="0"/>
        <v/>
      </c>
    </row>
    <row r="14" spans="2:8" x14ac:dyDescent="0.2">
      <c r="B14" s="11"/>
      <c r="C14" s="12"/>
      <c r="D14" s="11"/>
      <c r="E14" s="13"/>
      <c r="F14" s="13"/>
      <c r="G14" s="9"/>
      <c r="H14" s="14" t="str">
        <f t="shared" si="0"/>
        <v/>
      </c>
    </row>
    <row r="15" spans="2:8" x14ac:dyDescent="0.2">
      <c r="B15" s="11"/>
      <c r="C15" s="12"/>
      <c r="D15" s="11"/>
      <c r="E15" s="13"/>
      <c r="F15" s="13"/>
      <c r="G15" s="9"/>
      <c r="H15" s="14" t="str">
        <f t="shared" si="0"/>
        <v/>
      </c>
    </row>
    <row r="16" spans="2:8" x14ac:dyDescent="0.2">
      <c r="B16" s="11"/>
      <c r="C16" s="12"/>
      <c r="D16" s="11"/>
      <c r="E16" s="13"/>
      <c r="F16" s="13"/>
      <c r="G16" s="9"/>
      <c r="H16" s="14" t="str">
        <f t="shared" si="0"/>
        <v/>
      </c>
    </row>
    <row r="17" spans="2:8" x14ac:dyDescent="0.2">
      <c r="B17" s="11"/>
      <c r="C17" s="12"/>
      <c r="D17" s="11"/>
      <c r="E17" s="13"/>
      <c r="F17" s="13"/>
      <c r="G17" s="9"/>
      <c r="H17" s="14" t="str">
        <f t="shared" si="0"/>
        <v/>
      </c>
    </row>
    <row r="18" spans="2:8" x14ac:dyDescent="0.2">
      <c r="B18" s="11"/>
      <c r="C18" s="12"/>
      <c r="D18" s="11"/>
      <c r="E18" s="13"/>
      <c r="F18" s="13"/>
      <c r="G18" s="9"/>
      <c r="H18" s="14" t="str">
        <f t="shared" si="0"/>
        <v/>
      </c>
    </row>
    <row r="19" spans="2:8" x14ac:dyDescent="0.2">
      <c r="B19" s="11"/>
      <c r="C19" s="12"/>
      <c r="D19" s="11"/>
      <c r="E19" s="13"/>
      <c r="F19" s="13"/>
      <c r="G19" s="9"/>
      <c r="H19" s="14" t="str">
        <f t="shared" si="0"/>
        <v/>
      </c>
    </row>
    <row r="20" spans="2:8" x14ac:dyDescent="0.2">
      <c r="B20" s="11"/>
      <c r="C20" s="12"/>
      <c r="D20" s="11"/>
      <c r="E20" s="13"/>
      <c r="F20" s="13"/>
      <c r="G20" s="9"/>
      <c r="H20" s="14" t="str">
        <f t="shared" si="0"/>
        <v/>
      </c>
    </row>
    <row r="21" spans="2:8" x14ac:dyDescent="0.2">
      <c r="B21" s="11"/>
      <c r="C21" s="12"/>
      <c r="D21" s="11"/>
      <c r="E21" s="13"/>
      <c r="F21" s="13"/>
      <c r="G21" s="9"/>
      <c r="H21" s="14" t="str">
        <f t="shared" si="0"/>
        <v/>
      </c>
    </row>
    <row r="22" spans="2:8" x14ac:dyDescent="0.2">
      <c r="B22" s="11"/>
      <c r="C22" s="12"/>
      <c r="D22" s="11"/>
      <c r="E22" s="13"/>
      <c r="F22" s="13"/>
      <c r="G22" s="9"/>
      <c r="H22" s="14" t="str">
        <f t="shared" si="0"/>
        <v/>
      </c>
    </row>
    <row r="23" spans="2:8" x14ac:dyDescent="0.2">
      <c r="B23" s="11"/>
      <c r="C23" s="12"/>
      <c r="D23" s="11"/>
      <c r="E23" s="13"/>
      <c r="F23" s="13"/>
      <c r="G23" s="9"/>
      <c r="H23" s="14" t="str">
        <f t="shared" si="0"/>
        <v/>
      </c>
    </row>
    <row r="24" spans="2:8" x14ac:dyDescent="0.2">
      <c r="B24" s="11"/>
      <c r="C24" s="12"/>
      <c r="D24" s="11"/>
      <c r="E24" s="13"/>
      <c r="F24" s="13"/>
      <c r="G24" s="9"/>
      <c r="H24" s="14" t="str">
        <f t="shared" si="0"/>
        <v/>
      </c>
    </row>
    <row r="25" spans="2:8" x14ac:dyDescent="0.2">
      <c r="B25" s="11"/>
      <c r="C25" s="12"/>
      <c r="D25" s="11"/>
      <c r="E25" s="13"/>
      <c r="F25" s="13"/>
      <c r="G25" s="9"/>
      <c r="H25" s="14" t="str">
        <f t="shared" si="0"/>
        <v/>
      </c>
    </row>
    <row r="26" spans="2:8" x14ac:dyDescent="0.2">
      <c r="B26" s="11"/>
      <c r="C26" s="12"/>
      <c r="D26" s="11"/>
      <c r="E26" s="13"/>
      <c r="F26" s="13"/>
      <c r="G26" s="9"/>
      <c r="H26" s="14" t="str">
        <f t="shared" si="0"/>
        <v/>
      </c>
    </row>
    <row r="27" spans="2:8" x14ac:dyDescent="0.2">
      <c r="B27" s="11"/>
      <c r="C27" s="12"/>
      <c r="D27" s="11"/>
      <c r="E27" s="13"/>
      <c r="F27" s="13"/>
      <c r="G27" s="9"/>
      <c r="H27" s="14" t="str">
        <f t="shared" si="0"/>
        <v/>
      </c>
    </row>
    <row r="28" spans="2:8" x14ac:dyDescent="0.2">
      <c r="B28" s="11"/>
      <c r="C28" s="12"/>
      <c r="D28" s="11"/>
      <c r="E28" s="13"/>
      <c r="F28" s="13"/>
      <c r="G28" s="9"/>
      <c r="H28" s="14" t="str">
        <f t="shared" si="0"/>
        <v/>
      </c>
    </row>
    <row r="29" spans="2:8" x14ac:dyDescent="0.2">
      <c r="B29" s="11"/>
      <c r="C29" s="12"/>
      <c r="D29" s="11"/>
      <c r="E29" s="13"/>
      <c r="F29" s="13"/>
      <c r="G29" s="9"/>
      <c r="H29" s="14" t="str">
        <f t="shared" si="0"/>
        <v/>
      </c>
    </row>
    <row r="30" spans="2:8" x14ac:dyDescent="0.2">
      <c r="B30" s="11"/>
      <c r="C30" s="12"/>
      <c r="D30" s="11"/>
      <c r="E30" s="13"/>
      <c r="F30" s="13"/>
      <c r="G30" s="9"/>
      <c r="H30" s="14" t="str">
        <f t="shared" si="0"/>
        <v/>
      </c>
    </row>
    <row r="31" spans="2:8" x14ac:dyDescent="0.2">
      <c r="B31" s="11"/>
      <c r="C31" s="12"/>
      <c r="D31" s="11"/>
      <c r="E31" s="13"/>
      <c r="F31" s="13"/>
      <c r="G31" s="9"/>
      <c r="H31" s="14" t="str">
        <f t="shared" si="0"/>
        <v/>
      </c>
    </row>
    <row r="32" spans="2:8" x14ac:dyDescent="0.2">
      <c r="B32" s="11"/>
      <c r="C32" s="12"/>
      <c r="D32" s="11"/>
      <c r="E32" s="13"/>
      <c r="F32" s="13"/>
      <c r="G32" s="9"/>
      <c r="H32" s="14" t="str">
        <f t="shared" si="0"/>
        <v/>
      </c>
    </row>
    <row r="33" spans="2:8" x14ac:dyDescent="0.2">
      <c r="B33" s="11"/>
      <c r="C33" s="12"/>
      <c r="D33" s="11"/>
      <c r="E33" s="13"/>
      <c r="F33" s="13"/>
      <c r="G33" s="9"/>
      <c r="H33" s="14" t="str">
        <f t="shared" si="0"/>
        <v/>
      </c>
    </row>
    <row r="34" spans="2:8" x14ac:dyDescent="0.2">
      <c r="B34" s="11"/>
      <c r="C34" s="12"/>
      <c r="D34" s="11"/>
      <c r="E34" s="13"/>
      <c r="F34" s="13"/>
      <c r="G34" s="9"/>
      <c r="H34" s="14" t="str">
        <f t="shared" si="0"/>
        <v/>
      </c>
    </row>
    <row r="35" spans="2:8" x14ac:dyDescent="0.2">
      <c r="B35" s="11"/>
      <c r="C35" s="12"/>
      <c r="D35" s="11"/>
      <c r="E35" s="13"/>
      <c r="F35" s="13"/>
      <c r="G35" s="9"/>
      <c r="H35" s="14" t="str">
        <f t="shared" si="0"/>
        <v/>
      </c>
    </row>
    <row r="36" spans="2:8" x14ac:dyDescent="0.2">
      <c r="B36" s="11"/>
      <c r="C36" s="12"/>
      <c r="D36" s="11"/>
      <c r="E36" s="13"/>
      <c r="F36" s="13"/>
      <c r="G36" s="9"/>
      <c r="H36" s="14" t="str">
        <f t="shared" si="0"/>
        <v/>
      </c>
    </row>
    <row r="37" spans="2:8" x14ac:dyDescent="0.2">
      <c r="B37" s="11"/>
      <c r="C37" s="12"/>
      <c r="D37" s="11"/>
      <c r="E37" s="13"/>
      <c r="F37" s="13"/>
      <c r="G37" s="9"/>
      <c r="H37" s="14" t="str">
        <f t="shared" ref="H37:H68" si="1">IF(OR(B37="",N(E37)=0),"",(E37-F37)/E37)</f>
        <v/>
      </c>
    </row>
    <row r="38" spans="2:8" x14ac:dyDescent="0.2">
      <c r="B38" s="11"/>
      <c r="C38" s="12"/>
      <c r="D38" s="11"/>
      <c r="E38" s="13"/>
      <c r="F38" s="13"/>
      <c r="G38" s="9"/>
      <c r="H38" s="14" t="str">
        <f t="shared" si="1"/>
        <v/>
      </c>
    </row>
    <row r="39" spans="2:8" x14ac:dyDescent="0.2">
      <c r="B39" s="11"/>
      <c r="C39" s="12"/>
      <c r="D39" s="11"/>
      <c r="E39" s="13"/>
      <c r="F39" s="13"/>
      <c r="G39" s="9"/>
      <c r="H39" s="14" t="str">
        <f t="shared" si="1"/>
        <v/>
      </c>
    </row>
    <row r="40" spans="2:8" x14ac:dyDescent="0.2">
      <c r="B40" s="11"/>
      <c r="C40" s="12"/>
      <c r="D40" s="11"/>
      <c r="E40" s="13"/>
      <c r="F40" s="13"/>
      <c r="G40" s="9"/>
      <c r="H40" s="14" t="str">
        <f t="shared" si="1"/>
        <v/>
      </c>
    </row>
    <row r="41" spans="2:8" x14ac:dyDescent="0.2">
      <c r="B41" s="11"/>
      <c r="C41" s="12"/>
      <c r="D41" s="11"/>
      <c r="E41" s="13"/>
      <c r="F41" s="13"/>
      <c r="G41" s="9"/>
      <c r="H41" s="14" t="str">
        <f t="shared" si="1"/>
        <v/>
      </c>
    </row>
    <row r="42" spans="2:8" x14ac:dyDescent="0.2">
      <c r="B42" s="11"/>
      <c r="C42" s="12"/>
      <c r="D42" s="11"/>
      <c r="E42" s="13"/>
      <c r="F42" s="13"/>
      <c r="G42" s="9"/>
      <c r="H42" s="14" t="str">
        <f t="shared" si="1"/>
        <v/>
      </c>
    </row>
    <row r="43" spans="2:8" x14ac:dyDescent="0.2">
      <c r="B43" s="11"/>
      <c r="C43" s="12"/>
      <c r="D43" s="11"/>
      <c r="E43" s="13"/>
      <c r="F43" s="13"/>
      <c r="G43" s="9"/>
      <c r="H43" s="14" t="str">
        <f t="shared" si="1"/>
        <v/>
      </c>
    </row>
    <row r="44" spans="2:8" x14ac:dyDescent="0.2">
      <c r="B44" s="11"/>
      <c r="C44" s="12"/>
      <c r="D44" s="11"/>
      <c r="E44" s="13"/>
      <c r="F44" s="13"/>
      <c r="G44" s="9"/>
      <c r="H44" s="14" t="str">
        <f t="shared" si="1"/>
        <v/>
      </c>
    </row>
    <row r="45" spans="2:8" x14ac:dyDescent="0.2">
      <c r="B45" s="11"/>
      <c r="C45" s="12"/>
      <c r="D45" s="11"/>
      <c r="E45" s="13"/>
      <c r="F45" s="13"/>
      <c r="G45" s="9"/>
      <c r="H45" s="14" t="str">
        <f t="shared" si="1"/>
        <v/>
      </c>
    </row>
    <row r="46" spans="2:8" x14ac:dyDescent="0.2">
      <c r="B46" s="11"/>
      <c r="C46" s="12"/>
      <c r="D46" s="11"/>
      <c r="E46" s="13"/>
      <c r="F46" s="13"/>
      <c r="G46" s="9"/>
      <c r="H46" s="14" t="str">
        <f t="shared" si="1"/>
        <v/>
      </c>
    </row>
    <row r="47" spans="2:8" x14ac:dyDescent="0.2">
      <c r="B47" s="11"/>
      <c r="C47" s="12"/>
      <c r="D47" s="11"/>
      <c r="E47" s="13"/>
      <c r="F47" s="13"/>
      <c r="G47" s="9"/>
      <c r="H47" s="14" t="str">
        <f t="shared" si="1"/>
        <v/>
      </c>
    </row>
    <row r="48" spans="2:8" x14ac:dyDescent="0.2">
      <c r="B48" s="11"/>
      <c r="C48" s="12"/>
      <c r="D48" s="11"/>
      <c r="E48" s="13"/>
      <c r="F48" s="13"/>
      <c r="G48" s="9"/>
      <c r="H48" s="14" t="str">
        <f t="shared" si="1"/>
        <v/>
      </c>
    </row>
    <row r="49" spans="2:8" x14ac:dyDescent="0.2">
      <c r="B49" s="11"/>
      <c r="C49" s="12"/>
      <c r="D49" s="11"/>
      <c r="E49" s="13"/>
      <c r="F49" s="13"/>
      <c r="G49" s="9"/>
      <c r="H49" s="14" t="str">
        <f t="shared" si="1"/>
        <v/>
      </c>
    </row>
    <row r="50" spans="2:8" x14ac:dyDescent="0.2">
      <c r="B50" s="11"/>
      <c r="C50" s="12"/>
      <c r="D50" s="11"/>
      <c r="E50" s="13"/>
      <c r="F50" s="13"/>
      <c r="G50" s="9"/>
      <c r="H50" s="14" t="str">
        <f t="shared" si="1"/>
        <v/>
      </c>
    </row>
    <row r="51" spans="2:8" x14ac:dyDescent="0.2">
      <c r="B51" s="11"/>
      <c r="C51" s="12"/>
      <c r="D51" s="11"/>
      <c r="E51" s="13"/>
      <c r="F51" s="13"/>
      <c r="G51" s="9"/>
      <c r="H51" s="14" t="str">
        <f t="shared" si="1"/>
        <v/>
      </c>
    </row>
    <row r="52" spans="2:8" x14ac:dyDescent="0.2">
      <c r="B52" s="11"/>
      <c r="C52" s="12"/>
      <c r="D52" s="11"/>
      <c r="E52" s="13"/>
      <c r="F52" s="13"/>
      <c r="G52" s="9"/>
      <c r="H52" s="14" t="str">
        <f t="shared" si="1"/>
        <v/>
      </c>
    </row>
    <row r="53" spans="2:8" x14ac:dyDescent="0.2">
      <c r="B53" s="11"/>
      <c r="C53" s="12"/>
      <c r="D53" s="11"/>
      <c r="E53" s="13"/>
      <c r="F53" s="13"/>
      <c r="G53" s="9"/>
      <c r="H53" s="14" t="str">
        <f t="shared" si="1"/>
        <v/>
      </c>
    </row>
    <row r="54" spans="2:8" x14ac:dyDescent="0.2">
      <c r="B54" s="11"/>
      <c r="C54" s="12"/>
      <c r="D54" s="11"/>
      <c r="E54" s="13"/>
      <c r="F54" s="13"/>
      <c r="G54" s="9"/>
      <c r="H54" s="14" t="str">
        <f t="shared" si="1"/>
        <v/>
      </c>
    </row>
    <row r="55" spans="2:8" x14ac:dyDescent="0.2">
      <c r="B55" s="11"/>
      <c r="C55" s="12"/>
      <c r="D55" s="11"/>
      <c r="E55" s="13"/>
      <c r="F55" s="13"/>
      <c r="G55" s="9"/>
      <c r="H55" s="14" t="str">
        <f t="shared" si="1"/>
        <v/>
      </c>
    </row>
    <row r="56" spans="2:8" x14ac:dyDescent="0.2">
      <c r="B56" s="11"/>
      <c r="C56" s="12"/>
      <c r="D56" s="11"/>
      <c r="E56" s="13"/>
      <c r="F56" s="13"/>
      <c r="G56" s="9"/>
      <c r="H56" s="14" t="str">
        <f t="shared" si="1"/>
        <v/>
      </c>
    </row>
    <row r="57" spans="2:8" x14ac:dyDescent="0.2">
      <c r="B57" s="11"/>
      <c r="C57" s="12"/>
      <c r="D57" s="11"/>
      <c r="E57" s="13"/>
      <c r="F57" s="13"/>
      <c r="G57" s="9"/>
      <c r="H57" s="14" t="str">
        <f t="shared" si="1"/>
        <v/>
      </c>
    </row>
    <row r="58" spans="2:8" x14ac:dyDescent="0.2">
      <c r="B58" s="11"/>
      <c r="C58" s="12"/>
      <c r="D58" s="11"/>
      <c r="E58" s="13"/>
      <c r="F58" s="13"/>
      <c r="G58" s="9"/>
      <c r="H58" s="14" t="str">
        <f t="shared" si="1"/>
        <v/>
      </c>
    </row>
    <row r="59" spans="2:8" x14ac:dyDescent="0.2">
      <c r="B59" s="11"/>
      <c r="C59" s="12"/>
      <c r="D59" s="11"/>
      <c r="E59" s="13"/>
      <c r="F59" s="13"/>
      <c r="G59" s="9"/>
      <c r="H59" s="14" t="str">
        <f t="shared" si="1"/>
        <v/>
      </c>
    </row>
    <row r="60" spans="2:8" x14ac:dyDescent="0.2">
      <c r="B60" s="11"/>
      <c r="C60" s="12"/>
      <c r="D60" s="11"/>
      <c r="E60" s="13"/>
      <c r="F60" s="13"/>
      <c r="G60" s="9"/>
      <c r="H60" s="14" t="str">
        <f t="shared" si="1"/>
        <v/>
      </c>
    </row>
    <row r="61" spans="2:8" x14ac:dyDescent="0.2">
      <c r="B61" s="11"/>
      <c r="C61" s="12"/>
      <c r="D61" s="11"/>
      <c r="E61" s="13"/>
      <c r="F61" s="13"/>
      <c r="G61" s="9"/>
      <c r="H61" s="14" t="str">
        <f t="shared" si="1"/>
        <v/>
      </c>
    </row>
    <row r="62" spans="2:8" x14ac:dyDescent="0.2">
      <c r="B62" s="11"/>
      <c r="C62" s="12"/>
      <c r="D62" s="11"/>
      <c r="E62" s="13"/>
      <c r="F62" s="13"/>
      <c r="G62" s="9"/>
      <c r="H62" s="14" t="str">
        <f t="shared" si="1"/>
        <v/>
      </c>
    </row>
    <row r="63" spans="2:8" x14ac:dyDescent="0.2">
      <c r="B63" s="11"/>
      <c r="C63" s="12"/>
      <c r="D63" s="11"/>
      <c r="E63" s="13"/>
      <c r="F63" s="13"/>
      <c r="G63" s="9"/>
      <c r="H63" s="14" t="str">
        <f t="shared" si="1"/>
        <v/>
      </c>
    </row>
    <row r="64" spans="2:8" x14ac:dyDescent="0.2">
      <c r="B64" s="11"/>
      <c r="C64" s="12"/>
      <c r="D64" s="11"/>
      <c r="E64" s="13"/>
      <c r="F64" s="13"/>
      <c r="G64" s="9"/>
      <c r="H64" s="14" t="str">
        <f t="shared" si="1"/>
        <v/>
      </c>
    </row>
    <row r="65" spans="2:8" x14ac:dyDescent="0.2">
      <c r="B65" s="11"/>
      <c r="C65" s="12"/>
      <c r="D65" s="11"/>
      <c r="E65" s="13"/>
      <c r="F65" s="13"/>
      <c r="G65" s="9"/>
      <c r="H65" s="14" t="str">
        <f t="shared" si="1"/>
        <v/>
      </c>
    </row>
    <row r="66" spans="2:8" x14ac:dyDescent="0.2">
      <c r="B66" s="11"/>
      <c r="C66" s="12"/>
      <c r="D66" s="11"/>
      <c r="E66" s="13"/>
      <c r="F66" s="13"/>
      <c r="G66" s="9"/>
      <c r="H66" s="14" t="str">
        <f t="shared" si="1"/>
        <v/>
      </c>
    </row>
    <row r="67" spans="2:8" x14ac:dyDescent="0.2">
      <c r="B67" s="11"/>
      <c r="C67" s="12"/>
      <c r="D67" s="11"/>
      <c r="E67" s="13"/>
      <c r="F67" s="13"/>
      <c r="G67" s="9"/>
      <c r="H67" s="14" t="str">
        <f t="shared" si="1"/>
        <v/>
      </c>
    </row>
    <row r="68" spans="2:8" x14ac:dyDescent="0.2">
      <c r="B68" s="11"/>
      <c r="C68" s="12"/>
      <c r="D68" s="11"/>
      <c r="E68" s="13"/>
      <c r="F68" s="13"/>
      <c r="G68" s="9"/>
      <c r="H68" s="14" t="str">
        <f t="shared" si="1"/>
        <v/>
      </c>
    </row>
    <row r="69" spans="2:8" x14ac:dyDescent="0.2">
      <c r="B69" s="11"/>
      <c r="C69" s="12"/>
      <c r="D69" s="11"/>
      <c r="E69" s="13"/>
      <c r="F69" s="13"/>
      <c r="G69" s="9"/>
      <c r="H69" s="14" t="str">
        <f t="shared" ref="H69:H100" si="2">IF(OR(B69="",N(E69)=0),"",(E69-F69)/E69)</f>
        <v/>
      </c>
    </row>
    <row r="70" spans="2:8" x14ac:dyDescent="0.2">
      <c r="B70" s="11"/>
      <c r="C70" s="12"/>
      <c r="D70" s="11"/>
      <c r="E70" s="13"/>
      <c r="F70" s="13"/>
      <c r="G70" s="9"/>
      <c r="H70" s="14" t="str">
        <f t="shared" si="2"/>
        <v/>
      </c>
    </row>
    <row r="71" spans="2:8" x14ac:dyDescent="0.2">
      <c r="B71" s="11"/>
      <c r="C71" s="12"/>
      <c r="D71" s="11"/>
      <c r="E71" s="13"/>
      <c r="F71" s="13"/>
      <c r="G71" s="9"/>
      <c r="H71" s="14" t="str">
        <f t="shared" si="2"/>
        <v/>
      </c>
    </row>
    <row r="72" spans="2:8" x14ac:dyDescent="0.2">
      <c r="B72" s="11"/>
      <c r="C72" s="12"/>
      <c r="D72" s="11"/>
      <c r="E72" s="13"/>
      <c r="F72" s="13"/>
      <c r="G72" s="9"/>
      <c r="H72" s="14" t="str">
        <f t="shared" si="2"/>
        <v/>
      </c>
    </row>
    <row r="73" spans="2:8" x14ac:dyDescent="0.2">
      <c r="B73" s="11"/>
      <c r="C73" s="12"/>
      <c r="D73" s="11"/>
      <c r="E73" s="13"/>
      <c r="F73" s="13"/>
      <c r="G73" s="9"/>
      <c r="H73" s="14" t="str">
        <f t="shared" si="2"/>
        <v/>
      </c>
    </row>
    <row r="74" spans="2:8" x14ac:dyDescent="0.2">
      <c r="B74" s="11"/>
      <c r="C74" s="12"/>
      <c r="D74" s="11"/>
      <c r="E74" s="13"/>
      <c r="F74" s="13"/>
      <c r="G74" s="9"/>
      <c r="H74" s="14" t="str">
        <f t="shared" si="2"/>
        <v/>
      </c>
    </row>
    <row r="75" spans="2:8" x14ac:dyDescent="0.2">
      <c r="B75" s="11"/>
      <c r="C75" s="12"/>
      <c r="D75" s="11"/>
      <c r="E75" s="13"/>
      <c r="F75" s="13"/>
      <c r="G75" s="9"/>
      <c r="H75" s="14" t="str">
        <f t="shared" si="2"/>
        <v/>
      </c>
    </row>
    <row r="76" spans="2:8" x14ac:dyDescent="0.2">
      <c r="B76" s="11"/>
      <c r="C76" s="12"/>
      <c r="D76" s="11"/>
      <c r="E76" s="13"/>
      <c r="F76" s="13"/>
      <c r="G76" s="9"/>
      <c r="H76" s="14" t="str">
        <f t="shared" si="2"/>
        <v/>
      </c>
    </row>
    <row r="77" spans="2:8" x14ac:dyDescent="0.2">
      <c r="B77" s="11"/>
      <c r="C77" s="12"/>
      <c r="D77" s="11"/>
      <c r="E77" s="13"/>
      <c r="F77" s="13"/>
      <c r="G77" s="9"/>
      <c r="H77" s="14" t="str">
        <f t="shared" si="2"/>
        <v/>
      </c>
    </row>
    <row r="78" spans="2:8" x14ac:dyDescent="0.2">
      <c r="B78" s="11"/>
      <c r="C78" s="12"/>
      <c r="D78" s="11"/>
      <c r="E78" s="13"/>
      <c r="F78" s="13"/>
      <c r="G78" s="9"/>
      <c r="H78" s="14" t="str">
        <f t="shared" si="2"/>
        <v/>
      </c>
    </row>
    <row r="79" spans="2:8" x14ac:dyDescent="0.2">
      <c r="B79" s="11"/>
      <c r="C79" s="12"/>
      <c r="D79" s="11"/>
      <c r="E79" s="13"/>
      <c r="F79" s="13"/>
      <c r="G79" s="9"/>
      <c r="H79" s="14" t="str">
        <f t="shared" si="2"/>
        <v/>
      </c>
    </row>
    <row r="80" spans="2:8" x14ac:dyDescent="0.2">
      <c r="B80" s="11"/>
      <c r="C80" s="12"/>
      <c r="D80" s="11"/>
      <c r="E80" s="13"/>
      <c r="F80" s="13"/>
      <c r="G80" s="9"/>
      <c r="H80" s="14" t="str">
        <f t="shared" si="2"/>
        <v/>
      </c>
    </row>
    <row r="81" spans="2:8" x14ac:dyDescent="0.2">
      <c r="B81" s="11"/>
      <c r="C81" s="12"/>
      <c r="D81" s="11"/>
      <c r="E81" s="13"/>
      <c r="F81" s="13"/>
      <c r="G81" s="9"/>
      <c r="H81" s="14" t="str">
        <f t="shared" si="2"/>
        <v/>
      </c>
    </row>
    <row r="82" spans="2:8" x14ac:dyDescent="0.2">
      <c r="B82" s="11"/>
      <c r="C82" s="12"/>
      <c r="D82" s="11"/>
      <c r="E82" s="13"/>
      <c r="F82" s="13"/>
      <c r="G82" s="9"/>
      <c r="H82" s="14" t="str">
        <f t="shared" si="2"/>
        <v/>
      </c>
    </row>
    <row r="83" spans="2:8" x14ac:dyDescent="0.2">
      <c r="B83" s="11"/>
      <c r="C83" s="12"/>
      <c r="D83" s="11"/>
      <c r="E83" s="13"/>
      <c r="F83" s="13"/>
      <c r="G83" s="9"/>
      <c r="H83" s="14" t="str">
        <f t="shared" si="2"/>
        <v/>
      </c>
    </row>
    <row r="84" spans="2:8" x14ac:dyDescent="0.2">
      <c r="B84" s="11"/>
      <c r="C84" s="12"/>
      <c r="D84" s="11"/>
      <c r="E84" s="13"/>
      <c r="F84" s="13"/>
      <c r="G84" s="9"/>
      <c r="H84" s="14" t="str">
        <f t="shared" si="2"/>
        <v/>
      </c>
    </row>
    <row r="85" spans="2:8" x14ac:dyDescent="0.2">
      <c r="B85" s="11"/>
      <c r="C85" s="12"/>
      <c r="D85" s="11"/>
      <c r="E85" s="13"/>
      <c r="F85" s="13"/>
      <c r="G85" s="9"/>
      <c r="H85" s="14" t="str">
        <f t="shared" si="2"/>
        <v/>
      </c>
    </row>
    <row r="86" spans="2:8" x14ac:dyDescent="0.2">
      <c r="B86" s="11"/>
      <c r="C86" s="12"/>
      <c r="D86" s="11"/>
      <c r="E86" s="13"/>
      <c r="F86" s="13"/>
      <c r="G86" s="9"/>
      <c r="H86" s="14" t="str">
        <f t="shared" si="2"/>
        <v/>
      </c>
    </row>
    <row r="87" spans="2:8" x14ac:dyDescent="0.2">
      <c r="B87" s="11"/>
      <c r="C87" s="12"/>
      <c r="D87" s="11"/>
      <c r="E87" s="13"/>
      <c r="F87" s="13"/>
      <c r="G87" s="9"/>
      <c r="H87" s="14" t="str">
        <f t="shared" si="2"/>
        <v/>
      </c>
    </row>
    <row r="88" spans="2:8" x14ac:dyDescent="0.2">
      <c r="B88" s="11"/>
      <c r="C88" s="12"/>
      <c r="D88" s="11"/>
      <c r="E88" s="13"/>
      <c r="F88" s="13"/>
      <c r="G88" s="9"/>
      <c r="H88" s="14" t="str">
        <f t="shared" si="2"/>
        <v/>
      </c>
    </row>
    <row r="89" spans="2:8" x14ac:dyDescent="0.2">
      <c r="B89" s="11"/>
      <c r="C89" s="12"/>
      <c r="D89" s="11"/>
      <c r="E89" s="13"/>
      <c r="F89" s="13"/>
      <c r="G89" s="9"/>
      <c r="H89" s="14" t="str">
        <f t="shared" si="2"/>
        <v/>
      </c>
    </row>
    <row r="90" spans="2:8" x14ac:dyDescent="0.2">
      <c r="B90" s="11"/>
      <c r="C90" s="12"/>
      <c r="D90" s="11"/>
      <c r="E90" s="13"/>
      <c r="F90" s="13"/>
      <c r="G90" s="9"/>
      <c r="H90" s="14" t="str">
        <f t="shared" si="2"/>
        <v/>
      </c>
    </row>
    <row r="91" spans="2:8" x14ac:dyDescent="0.2">
      <c r="B91" s="11"/>
      <c r="C91" s="12"/>
      <c r="D91" s="11"/>
      <c r="E91" s="13"/>
      <c r="F91" s="13"/>
      <c r="G91" s="9"/>
      <c r="H91" s="14" t="str">
        <f t="shared" si="2"/>
        <v/>
      </c>
    </row>
    <row r="92" spans="2:8" x14ac:dyDescent="0.2">
      <c r="B92" s="11"/>
      <c r="C92" s="12"/>
      <c r="D92" s="11"/>
      <c r="E92" s="13"/>
      <c r="F92" s="13"/>
      <c r="G92" s="9"/>
      <c r="H92" s="14" t="str">
        <f t="shared" si="2"/>
        <v/>
      </c>
    </row>
    <row r="93" spans="2:8" x14ac:dyDescent="0.2">
      <c r="B93" s="11"/>
      <c r="C93" s="12"/>
      <c r="D93" s="11"/>
      <c r="E93" s="13"/>
      <c r="F93" s="13"/>
      <c r="G93" s="9"/>
      <c r="H93" s="14" t="str">
        <f t="shared" si="2"/>
        <v/>
      </c>
    </row>
    <row r="94" spans="2:8" x14ac:dyDescent="0.2">
      <c r="B94" s="11"/>
      <c r="C94" s="12"/>
      <c r="D94" s="11"/>
      <c r="E94" s="13"/>
      <c r="F94" s="13"/>
      <c r="G94" s="9"/>
      <c r="H94" s="14" t="str">
        <f t="shared" si="2"/>
        <v/>
      </c>
    </row>
    <row r="95" spans="2:8" x14ac:dyDescent="0.2">
      <c r="B95" s="11"/>
      <c r="C95" s="12"/>
      <c r="D95" s="11"/>
      <c r="E95" s="13"/>
      <c r="F95" s="13"/>
      <c r="G95" s="9"/>
      <c r="H95" s="14" t="str">
        <f t="shared" si="2"/>
        <v/>
      </c>
    </row>
    <row r="96" spans="2:8" x14ac:dyDescent="0.2">
      <c r="B96" s="11"/>
      <c r="C96" s="12"/>
      <c r="D96" s="11"/>
      <c r="E96" s="13"/>
      <c r="F96" s="13"/>
      <c r="G96" s="9"/>
      <c r="H96" s="14" t="str">
        <f t="shared" si="2"/>
        <v/>
      </c>
    </row>
    <row r="97" spans="2:8" x14ac:dyDescent="0.2">
      <c r="B97" s="11"/>
      <c r="C97" s="12"/>
      <c r="D97" s="11"/>
      <c r="E97" s="13"/>
      <c r="F97" s="13"/>
      <c r="G97" s="9"/>
      <c r="H97" s="14" t="str">
        <f t="shared" si="2"/>
        <v/>
      </c>
    </row>
    <row r="98" spans="2:8" x14ac:dyDescent="0.2">
      <c r="B98" s="11"/>
      <c r="C98" s="12"/>
      <c r="D98" s="11"/>
      <c r="E98" s="13"/>
      <c r="F98" s="13"/>
      <c r="G98" s="9"/>
      <c r="H98" s="14" t="str">
        <f t="shared" si="2"/>
        <v/>
      </c>
    </row>
    <row r="99" spans="2:8" x14ac:dyDescent="0.2">
      <c r="B99" s="11"/>
      <c r="C99" s="12"/>
      <c r="D99" s="11"/>
      <c r="E99" s="13"/>
      <c r="F99" s="13"/>
      <c r="G99" s="9"/>
      <c r="H99" s="14" t="str">
        <f t="shared" si="2"/>
        <v/>
      </c>
    </row>
    <row r="100" spans="2:8" x14ac:dyDescent="0.2">
      <c r="B100" s="11"/>
      <c r="C100" s="12"/>
      <c r="D100" s="11"/>
      <c r="E100" s="13"/>
      <c r="F100" s="13"/>
      <c r="G100" s="9"/>
      <c r="H100" s="14" t="str">
        <f t="shared" si="2"/>
        <v/>
      </c>
    </row>
    <row r="101" spans="2:8" x14ac:dyDescent="0.2">
      <c r="B101" s="11"/>
      <c r="C101" s="12"/>
      <c r="D101" s="11"/>
      <c r="E101" s="13"/>
      <c r="F101" s="13"/>
      <c r="G101" s="9"/>
      <c r="H101" s="14" t="str">
        <f t="shared" ref="H101:H132" si="3">IF(OR(B101="",N(E101)=0),"",(E101-F101)/E101)</f>
        <v/>
      </c>
    </row>
    <row r="102" spans="2:8" x14ac:dyDescent="0.2">
      <c r="B102" s="11"/>
      <c r="C102" s="12"/>
      <c r="D102" s="11"/>
      <c r="E102" s="13"/>
      <c r="F102" s="13"/>
      <c r="G102" s="9"/>
      <c r="H102" s="14" t="str">
        <f t="shared" si="3"/>
        <v/>
      </c>
    </row>
    <row r="103" spans="2:8" x14ac:dyDescent="0.2">
      <c r="B103" s="11"/>
      <c r="C103" s="12"/>
      <c r="D103" s="11"/>
      <c r="E103" s="13"/>
      <c r="F103" s="13"/>
      <c r="G103" s="9"/>
      <c r="H103" s="14" t="str">
        <f t="shared" si="3"/>
        <v/>
      </c>
    </row>
    <row r="104" spans="2:8" x14ac:dyDescent="0.2">
      <c r="B104" s="11"/>
      <c r="C104" s="12"/>
      <c r="D104" s="11"/>
      <c r="E104" s="13"/>
      <c r="F104" s="13"/>
      <c r="G104" s="9"/>
      <c r="H104" s="14" t="str">
        <f t="shared" si="3"/>
        <v/>
      </c>
    </row>
    <row r="105" spans="2:8" x14ac:dyDescent="0.2">
      <c r="B105" s="11"/>
      <c r="C105" s="12"/>
      <c r="D105" s="11"/>
      <c r="E105" s="13"/>
      <c r="F105" s="13"/>
      <c r="G105" s="9"/>
      <c r="H105" s="14" t="str">
        <f t="shared" si="3"/>
        <v/>
      </c>
    </row>
    <row r="106" spans="2:8" x14ac:dyDescent="0.2">
      <c r="B106" s="11"/>
      <c r="C106" s="12"/>
      <c r="D106" s="11"/>
      <c r="E106" s="13"/>
      <c r="F106" s="13"/>
      <c r="G106" s="9"/>
      <c r="H106" s="14" t="str">
        <f t="shared" si="3"/>
        <v/>
      </c>
    </row>
    <row r="107" spans="2:8" x14ac:dyDescent="0.2">
      <c r="B107" s="11"/>
      <c r="C107" s="12"/>
      <c r="D107" s="11"/>
      <c r="E107" s="13"/>
      <c r="F107" s="13"/>
      <c r="G107" s="9"/>
      <c r="H107" s="14" t="str">
        <f t="shared" si="3"/>
        <v/>
      </c>
    </row>
    <row r="108" spans="2:8" x14ac:dyDescent="0.2">
      <c r="B108" s="11"/>
      <c r="C108" s="12"/>
      <c r="D108" s="11"/>
      <c r="E108" s="13"/>
      <c r="F108" s="13"/>
      <c r="G108" s="9"/>
      <c r="H108" s="14" t="str">
        <f t="shared" si="3"/>
        <v/>
      </c>
    </row>
    <row r="109" spans="2:8" x14ac:dyDescent="0.2">
      <c r="B109" s="11"/>
      <c r="C109" s="12"/>
      <c r="D109" s="11"/>
      <c r="E109" s="13"/>
      <c r="F109" s="13"/>
      <c r="G109" s="9"/>
      <c r="H109" s="14" t="str">
        <f t="shared" si="3"/>
        <v/>
      </c>
    </row>
    <row r="110" spans="2:8" x14ac:dyDescent="0.2">
      <c r="B110" s="11"/>
      <c r="C110" s="12"/>
      <c r="D110" s="11"/>
      <c r="E110" s="13"/>
      <c r="F110" s="13"/>
      <c r="G110" s="9"/>
      <c r="H110" s="14" t="str">
        <f t="shared" si="3"/>
        <v/>
      </c>
    </row>
    <row r="111" spans="2:8" x14ac:dyDescent="0.2">
      <c r="B111" s="11"/>
      <c r="C111" s="12"/>
      <c r="D111" s="11"/>
      <c r="E111" s="13"/>
      <c r="F111" s="13"/>
      <c r="G111" s="9"/>
      <c r="H111" s="14" t="str">
        <f t="shared" si="3"/>
        <v/>
      </c>
    </row>
    <row r="112" spans="2:8" x14ac:dyDescent="0.2">
      <c r="B112" s="11"/>
      <c r="C112" s="12"/>
      <c r="D112" s="11"/>
      <c r="E112" s="13"/>
      <c r="F112" s="13"/>
      <c r="G112" s="9"/>
      <c r="H112" s="14" t="str">
        <f t="shared" si="3"/>
        <v/>
      </c>
    </row>
    <row r="113" spans="2:8" x14ac:dyDescent="0.2">
      <c r="B113" s="11"/>
      <c r="C113" s="12"/>
      <c r="D113" s="11"/>
      <c r="E113" s="13"/>
      <c r="F113" s="13"/>
      <c r="G113" s="9"/>
      <c r="H113" s="14" t="str">
        <f t="shared" si="3"/>
        <v/>
      </c>
    </row>
    <row r="114" spans="2:8" x14ac:dyDescent="0.2">
      <c r="B114" s="11"/>
      <c r="C114" s="12"/>
      <c r="D114" s="11"/>
      <c r="E114" s="13"/>
      <c r="F114" s="13"/>
      <c r="G114" s="9"/>
      <c r="H114" s="14" t="str">
        <f t="shared" si="3"/>
        <v/>
      </c>
    </row>
    <row r="115" spans="2:8" x14ac:dyDescent="0.2">
      <c r="B115" s="11"/>
      <c r="C115" s="12"/>
      <c r="D115" s="11"/>
      <c r="E115" s="13"/>
      <c r="F115" s="13"/>
      <c r="G115" s="9"/>
      <c r="H115" s="14" t="str">
        <f t="shared" si="3"/>
        <v/>
      </c>
    </row>
    <row r="116" spans="2:8" x14ac:dyDescent="0.2">
      <c r="B116" s="11"/>
      <c r="C116" s="12"/>
      <c r="D116" s="11"/>
      <c r="E116" s="13"/>
      <c r="F116" s="13"/>
      <c r="G116" s="9"/>
      <c r="H116" s="14" t="str">
        <f t="shared" si="3"/>
        <v/>
      </c>
    </row>
    <row r="117" spans="2:8" x14ac:dyDescent="0.2">
      <c r="B117" s="11"/>
      <c r="C117" s="12"/>
      <c r="D117" s="11"/>
      <c r="E117" s="13"/>
      <c r="F117" s="13"/>
      <c r="G117" s="9"/>
      <c r="H117" s="14" t="str">
        <f t="shared" si="3"/>
        <v/>
      </c>
    </row>
    <row r="118" spans="2:8" x14ac:dyDescent="0.2">
      <c r="B118" s="11"/>
      <c r="C118" s="12"/>
      <c r="D118" s="11"/>
      <c r="E118" s="13"/>
      <c r="F118" s="13"/>
      <c r="G118" s="9"/>
      <c r="H118" s="14" t="str">
        <f t="shared" si="3"/>
        <v/>
      </c>
    </row>
    <row r="119" spans="2:8" x14ac:dyDescent="0.2">
      <c r="B119" s="11"/>
      <c r="C119" s="12"/>
      <c r="D119" s="11"/>
      <c r="E119" s="13"/>
      <c r="F119" s="13"/>
      <c r="G119" s="9"/>
      <c r="H119" s="14" t="str">
        <f t="shared" si="3"/>
        <v/>
      </c>
    </row>
    <row r="120" spans="2:8" x14ac:dyDescent="0.2">
      <c r="B120" s="11"/>
      <c r="C120" s="12"/>
      <c r="D120" s="11"/>
      <c r="E120" s="13"/>
      <c r="F120" s="13"/>
      <c r="G120" s="9"/>
      <c r="H120" s="14" t="str">
        <f t="shared" si="3"/>
        <v/>
      </c>
    </row>
    <row r="121" spans="2:8" x14ac:dyDescent="0.2">
      <c r="B121" s="11"/>
      <c r="C121" s="12"/>
      <c r="D121" s="11"/>
      <c r="E121" s="13"/>
      <c r="F121" s="13"/>
      <c r="G121" s="9"/>
      <c r="H121" s="14" t="str">
        <f t="shared" si="3"/>
        <v/>
      </c>
    </row>
    <row r="122" spans="2:8" x14ac:dyDescent="0.2">
      <c r="B122" s="11"/>
      <c r="C122" s="12"/>
      <c r="D122" s="11"/>
      <c r="E122" s="13"/>
      <c r="F122" s="13"/>
      <c r="G122" s="9"/>
      <c r="H122" s="14" t="str">
        <f t="shared" si="3"/>
        <v/>
      </c>
    </row>
    <row r="123" spans="2:8" x14ac:dyDescent="0.2">
      <c r="B123" s="11"/>
      <c r="C123" s="12"/>
      <c r="D123" s="11"/>
      <c r="E123" s="13"/>
      <c r="F123" s="13"/>
      <c r="G123" s="9"/>
      <c r="H123" s="14" t="str">
        <f t="shared" si="3"/>
        <v/>
      </c>
    </row>
    <row r="124" spans="2:8" x14ac:dyDescent="0.2">
      <c r="B124" s="11"/>
      <c r="C124" s="12"/>
      <c r="D124" s="11"/>
      <c r="E124" s="13"/>
      <c r="F124" s="13"/>
      <c r="G124" s="9"/>
      <c r="H124" s="14" t="str">
        <f t="shared" si="3"/>
        <v/>
      </c>
    </row>
    <row r="125" spans="2:8" x14ac:dyDescent="0.2">
      <c r="B125" s="11"/>
      <c r="C125" s="12"/>
      <c r="D125" s="11"/>
      <c r="E125" s="13"/>
      <c r="F125" s="13"/>
      <c r="G125" s="9"/>
      <c r="H125" s="14" t="str">
        <f t="shared" si="3"/>
        <v/>
      </c>
    </row>
    <row r="126" spans="2:8" x14ac:dyDescent="0.2">
      <c r="B126" s="11"/>
      <c r="C126" s="12"/>
      <c r="D126" s="11"/>
      <c r="E126" s="13"/>
      <c r="F126" s="13"/>
      <c r="G126" s="9"/>
      <c r="H126" s="14" t="str">
        <f t="shared" si="3"/>
        <v/>
      </c>
    </row>
    <row r="127" spans="2:8" x14ac:dyDescent="0.2">
      <c r="B127" s="11"/>
      <c r="C127" s="12"/>
      <c r="D127" s="11"/>
      <c r="E127" s="13"/>
      <c r="F127" s="13"/>
      <c r="G127" s="9"/>
      <c r="H127" s="14" t="str">
        <f t="shared" si="3"/>
        <v/>
      </c>
    </row>
    <row r="128" spans="2:8" x14ac:dyDescent="0.2">
      <c r="B128" s="11"/>
      <c r="C128" s="12"/>
      <c r="D128" s="11"/>
      <c r="E128" s="13"/>
      <c r="F128" s="13"/>
      <c r="G128" s="9"/>
      <c r="H128" s="14" t="str">
        <f t="shared" si="3"/>
        <v/>
      </c>
    </row>
    <row r="129" spans="2:8" x14ac:dyDescent="0.2">
      <c r="B129" s="11"/>
      <c r="C129" s="12"/>
      <c r="D129" s="11"/>
      <c r="E129" s="13"/>
      <c r="F129" s="13"/>
      <c r="G129" s="9"/>
      <c r="H129" s="14" t="str">
        <f t="shared" si="3"/>
        <v/>
      </c>
    </row>
    <row r="130" spans="2:8" x14ac:dyDescent="0.2">
      <c r="B130" s="11"/>
      <c r="C130" s="12"/>
      <c r="D130" s="11"/>
      <c r="E130" s="13"/>
      <c r="F130" s="13"/>
      <c r="G130" s="9"/>
      <c r="H130" s="14" t="str">
        <f t="shared" si="3"/>
        <v/>
      </c>
    </row>
    <row r="131" spans="2:8" x14ac:dyDescent="0.2">
      <c r="B131" s="11"/>
      <c r="C131" s="12"/>
      <c r="D131" s="11"/>
      <c r="E131" s="13"/>
      <c r="F131" s="13"/>
      <c r="G131" s="9"/>
      <c r="H131" s="14" t="str">
        <f t="shared" si="3"/>
        <v/>
      </c>
    </row>
    <row r="132" spans="2:8" x14ac:dyDescent="0.2">
      <c r="B132" s="11"/>
      <c r="C132" s="12"/>
      <c r="D132" s="11"/>
      <c r="E132" s="13"/>
      <c r="F132" s="13"/>
      <c r="G132" s="9"/>
      <c r="H132" s="14" t="str">
        <f t="shared" si="3"/>
        <v/>
      </c>
    </row>
    <row r="133" spans="2:8" x14ac:dyDescent="0.2">
      <c r="B133" s="11"/>
      <c r="C133" s="12"/>
      <c r="D133" s="11"/>
      <c r="E133" s="13"/>
      <c r="F133" s="13"/>
      <c r="G133" s="9"/>
      <c r="H133" s="14" t="str">
        <f t="shared" ref="H133:H164" si="4">IF(OR(B133="",N(E133)=0),"",(E133-F133)/E133)</f>
        <v/>
      </c>
    </row>
    <row r="134" spans="2:8" x14ac:dyDescent="0.2">
      <c r="B134" s="11"/>
      <c r="C134" s="12"/>
      <c r="D134" s="11"/>
      <c r="E134" s="13"/>
      <c r="F134" s="13"/>
      <c r="G134" s="9"/>
      <c r="H134" s="14" t="str">
        <f t="shared" si="4"/>
        <v/>
      </c>
    </row>
    <row r="135" spans="2:8" x14ac:dyDescent="0.2">
      <c r="B135" s="11"/>
      <c r="C135" s="12"/>
      <c r="D135" s="11"/>
      <c r="E135" s="13"/>
      <c r="F135" s="13"/>
      <c r="G135" s="9"/>
      <c r="H135" s="14" t="str">
        <f t="shared" si="4"/>
        <v/>
      </c>
    </row>
    <row r="136" spans="2:8" x14ac:dyDescent="0.2">
      <c r="B136" s="11"/>
      <c r="C136" s="12"/>
      <c r="D136" s="11"/>
      <c r="E136" s="13"/>
      <c r="F136" s="13"/>
      <c r="G136" s="9"/>
      <c r="H136" s="14" t="str">
        <f t="shared" si="4"/>
        <v/>
      </c>
    </row>
    <row r="137" spans="2:8" x14ac:dyDescent="0.2">
      <c r="B137" s="11"/>
      <c r="C137" s="12"/>
      <c r="D137" s="11"/>
      <c r="E137" s="13"/>
      <c r="F137" s="13"/>
      <c r="G137" s="9"/>
      <c r="H137" s="14" t="str">
        <f t="shared" si="4"/>
        <v/>
      </c>
    </row>
    <row r="138" spans="2:8" x14ac:dyDescent="0.2">
      <c r="B138" s="11"/>
      <c r="C138" s="12"/>
      <c r="D138" s="11"/>
      <c r="E138" s="13"/>
      <c r="F138" s="13"/>
      <c r="G138" s="9"/>
      <c r="H138" s="14" t="str">
        <f t="shared" si="4"/>
        <v/>
      </c>
    </row>
    <row r="139" spans="2:8" x14ac:dyDescent="0.2">
      <c r="B139" s="11"/>
      <c r="C139" s="12"/>
      <c r="D139" s="11"/>
      <c r="E139" s="13"/>
      <c r="F139" s="13"/>
      <c r="G139" s="9"/>
      <c r="H139" s="14" t="str">
        <f t="shared" si="4"/>
        <v/>
      </c>
    </row>
    <row r="140" spans="2:8" x14ac:dyDescent="0.2">
      <c r="B140" s="11"/>
      <c r="C140" s="12"/>
      <c r="D140" s="11"/>
      <c r="E140" s="13"/>
      <c r="F140" s="13"/>
      <c r="G140" s="9"/>
      <c r="H140" s="14" t="str">
        <f t="shared" si="4"/>
        <v/>
      </c>
    </row>
    <row r="141" spans="2:8" x14ac:dyDescent="0.2">
      <c r="B141" s="11"/>
      <c r="C141" s="12"/>
      <c r="D141" s="11"/>
      <c r="E141" s="13"/>
      <c r="F141" s="13"/>
      <c r="G141" s="9"/>
      <c r="H141" s="14" t="str">
        <f t="shared" si="4"/>
        <v/>
      </c>
    </row>
    <row r="142" spans="2:8" x14ac:dyDescent="0.2">
      <c r="B142" s="11"/>
      <c r="C142" s="12"/>
      <c r="D142" s="11"/>
      <c r="E142" s="13"/>
      <c r="F142" s="13"/>
      <c r="G142" s="9"/>
      <c r="H142" s="14" t="str">
        <f t="shared" si="4"/>
        <v/>
      </c>
    </row>
    <row r="143" spans="2:8" x14ac:dyDescent="0.2">
      <c r="B143" s="11"/>
      <c r="C143" s="12"/>
      <c r="D143" s="11"/>
      <c r="E143" s="13"/>
      <c r="F143" s="13"/>
      <c r="G143" s="9"/>
      <c r="H143" s="14" t="str">
        <f t="shared" si="4"/>
        <v/>
      </c>
    </row>
    <row r="144" spans="2:8" x14ac:dyDescent="0.2">
      <c r="B144" s="11"/>
      <c r="C144" s="12"/>
      <c r="D144" s="11"/>
      <c r="E144" s="13"/>
      <c r="F144" s="13"/>
      <c r="G144" s="9"/>
      <c r="H144" s="14" t="str">
        <f t="shared" si="4"/>
        <v/>
      </c>
    </row>
    <row r="145" spans="2:8" x14ac:dyDescent="0.2">
      <c r="B145" s="11"/>
      <c r="C145" s="12"/>
      <c r="D145" s="11"/>
      <c r="E145" s="13"/>
      <c r="F145" s="13"/>
      <c r="G145" s="9"/>
      <c r="H145" s="14" t="str">
        <f t="shared" si="4"/>
        <v/>
      </c>
    </row>
    <row r="146" spans="2:8" x14ac:dyDescent="0.2">
      <c r="B146" s="11"/>
      <c r="C146" s="12"/>
      <c r="D146" s="11"/>
      <c r="E146" s="13"/>
      <c r="F146" s="13"/>
      <c r="G146" s="9"/>
      <c r="H146" s="14" t="str">
        <f t="shared" si="4"/>
        <v/>
      </c>
    </row>
    <row r="147" spans="2:8" x14ac:dyDescent="0.2">
      <c r="B147" s="11"/>
      <c r="C147" s="12"/>
      <c r="D147" s="11"/>
      <c r="E147" s="13"/>
      <c r="F147" s="13"/>
      <c r="G147" s="9"/>
      <c r="H147" s="14" t="str">
        <f t="shared" si="4"/>
        <v/>
      </c>
    </row>
    <row r="148" spans="2:8" x14ac:dyDescent="0.2">
      <c r="B148" s="11"/>
      <c r="C148" s="12"/>
      <c r="D148" s="11"/>
      <c r="E148" s="13"/>
      <c r="F148" s="13"/>
      <c r="G148" s="9"/>
      <c r="H148" s="14" t="str">
        <f t="shared" si="4"/>
        <v/>
      </c>
    </row>
    <row r="149" spans="2:8" x14ac:dyDescent="0.2">
      <c r="B149" s="11"/>
      <c r="C149" s="12"/>
      <c r="D149" s="11"/>
      <c r="E149" s="13"/>
      <c r="F149" s="13"/>
      <c r="G149" s="9"/>
      <c r="H149" s="14" t="str">
        <f t="shared" si="4"/>
        <v/>
      </c>
    </row>
    <row r="150" spans="2:8" x14ac:dyDescent="0.2">
      <c r="B150" s="11"/>
      <c r="C150" s="12"/>
      <c r="D150" s="11"/>
      <c r="E150" s="13"/>
      <c r="F150" s="13"/>
      <c r="G150" s="9"/>
      <c r="H150" s="14" t="str">
        <f t="shared" si="4"/>
        <v/>
      </c>
    </row>
    <row r="151" spans="2:8" x14ac:dyDescent="0.2">
      <c r="B151" s="11"/>
      <c r="C151" s="12"/>
      <c r="D151" s="11"/>
      <c r="E151" s="13"/>
      <c r="F151" s="13"/>
      <c r="G151" s="9"/>
      <c r="H151" s="14" t="str">
        <f t="shared" si="4"/>
        <v/>
      </c>
    </row>
    <row r="152" spans="2:8" x14ac:dyDescent="0.2">
      <c r="B152" s="11"/>
      <c r="C152" s="12"/>
      <c r="D152" s="11"/>
      <c r="E152" s="13"/>
      <c r="F152" s="13"/>
      <c r="G152" s="9"/>
      <c r="H152" s="14" t="str">
        <f t="shared" si="4"/>
        <v/>
      </c>
    </row>
    <row r="153" spans="2:8" x14ac:dyDescent="0.2">
      <c r="B153" s="11"/>
      <c r="C153" s="12"/>
      <c r="D153" s="11"/>
      <c r="E153" s="13"/>
      <c r="F153" s="13"/>
      <c r="G153" s="9"/>
      <c r="H153" s="14" t="str">
        <f t="shared" si="4"/>
        <v/>
      </c>
    </row>
    <row r="154" spans="2:8" x14ac:dyDescent="0.2">
      <c r="B154" s="11"/>
      <c r="C154" s="12"/>
      <c r="D154" s="11"/>
      <c r="E154" s="13"/>
      <c r="F154" s="13"/>
      <c r="G154" s="9"/>
      <c r="H154" s="14" t="str">
        <f t="shared" si="4"/>
        <v/>
      </c>
    </row>
    <row r="155" spans="2:8" x14ac:dyDescent="0.2">
      <c r="B155" s="11"/>
      <c r="C155" s="12"/>
      <c r="D155" s="11"/>
      <c r="E155" s="13"/>
      <c r="F155" s="13"/>
      <c r="G155" s="9"/>
      <c r="H155" s="14" t="str">
        <f t="shared" si="4"/>
        <v/>
      </c>
    </row>
    <row r="156" spans="2:8" x14ac:dyDescent="0.2">
      <c r="B156" s="11"/>
      <c r="C156" s="12"/>
      <c r="D156" s="11"/>
      <c r="E156" s="13"/>
      <c r="F156" s="13"/>
      <c r="G156" s="9"/>
      <c r="H156" s="14" t="str">
        <f t="shared" si="4"/>
        <v/>
      </c>
    </row>
    <row r="157" spans="2:8" x14ac:dyDescent="0.2">
      <c r="B157" s="11"/>
      <c r="C157" s="12"/>
      <c r="D157" s="11"/>
      <c r="E157" s="13"/>
      <c r="F157" s="13"/>
      <c r="G157" s="9"/>
      <c r="H157" s="14" t="str">
        <f t="shared" si="4"/>
        <v/>
      </c>
    </row>
    <row r="158" spans="2:8" x14ac:dyDescent="0.2">
      <c r="B158" s="11"/>
      <c r="C158" s="12"/>
      <c r="D158" s="11"/>
      <c r="E158" s="13"/>
      <c r="F158" s="13"/>
      <c r="G158" s="9"/>
      <c r="H158" s="14" t="str">
        <f t="shared" si="4"/>
        <v/>
      </c>
    </row>
    <row r="159" spans="2:8" x14ac:dyDescent="0.2">
      <c r="B159" s="11"/>
      <c r="C159" s="12"/>
      <c r="D159" s="11"/>
      <c r="E159" s="13"/>
      <c r="F159" s="13"/>
      <c r="G159" s="9"/>
      <c r="H159" s="14" t="str">
        <f t="shared" si="4"/>
        <v/>
      </c>
    </row>
    <row r="160" spans="2:8" x14ac:dyDescent="0.2">
      <c r="B160" s="11"/>
      <c r="C160" s="12"/>
      <c r="D160" s="11"/>
      <c r="E160" s="13"/>
      <c r="F160" s="13"/>
      <c r="G160" s="9"/>
      <c r="H160" s="14" t="str">
        <f t="shared" si="4"/>
        <v/>
      </c>
    </row>
    <row r="161" spans="2:8" x14ac:dyDescent="0.2">
      <c r="B161" s="11"/>
      <c r="C161" s="12"/>
      <c r="D161" s="11"/>
      <c r="E161" s="13"/>
      <c r="F161" s="13"/>
      <c r="G161" s="9"/>
      <c r="H161" s="14" t="str">
        <f t="shared" si="4"/>
        <v/>
      </c>
    </row>
    <row r="162" spans="2:8" x14ac:dyDescent="0.2">
      <c r="B162" s="11"/>
      <c r="C162" s="12"/>
      <c r="D162" s="11"/>
      <c r="E162" s="13"/>
      <c r="F162" s="13"/>
      <c r="G162" s="9"/>
      <c r="H162" s="14" t="str">
        <f t="shared" si="4"/>
        <v/>
      </c>
    </row>
    <row r="163" spans="2:8" x14ac:dyDescent="0.2">
      <c r="B163" s="11"/>
      <c r="C163" s="12"/>
      <c r="D163" s="11"/>
      <c r="E163" s="13"/>
      <c r="F163" s="13"/>
      <c r="G163" s="9"/>
      <c r="H163" s="14" t="str">
        <f t="shared" si="4"/>
        <v/>
      </c>
    </row>
    <row r="164" spans="2:8" x14ac:dyDescent="0.2">
      <c r="B164" s="11"/>
      <c r="C164" s="12"/>
      <c r="D164" s="11"/>
      <c r="E164" s="13"/>
      <c r="F164" s="13"/>
      <c r="G164" s="9"/>
      <c r="H164" s="14" t="str">
        <f t="shared" si="4"/>
        <v/>
      </c>
    </row>
    <row r="165" spans="2:8" x14ac:dyDescent="0.2">
      <c r="B165" s="11"/>
      <c r="C165" s="12"/>
      <c r="D165" s="11"/>
      <c r="E165" s="13"/>
      <c r="F165" s="13"/>
      <c r="G165" s="9"/>
      <c r="H165" s="14" t="str">
        <f t="shared" ref="H165:H196" si="5">IF(OR(B165="",N(E165)=0),"",(E165-F165)/E165)</f>
        <v/>
      </c>
    </row>
    <row r="166" spans="2:8" x14ac:dyDescent="0.2">
      <c r="B166" s="11"/>
      <c r="C166" s="12"/>
      <c r="D166" s="11"/>
      <c r="E166" s="13"/>
      <c r="F166" s="13"/>
      <c r="G166" s="9"/>
      <c r="H166" s="14" t="str">
        <f t="shared" si="5"/>
        <v/>
      </c>
    </row>
    <row r="167" spans="2:8" x14ac:dyDescent="0.2">
      <c r="B167" s="11"/>
      <c r="C167" s="12"/>
      <c r="D167" s="11"/>
      <c r="E167" s="13"/>
      <c r="F167" s="13"/>
      <c r="G167" s="9"/>
      <c r="H167" s="14" t="str">
        <f t="shared" si="5"/>
        <v/>
      </c>
    </row>
    <row r="168" spans="2:8" x14ac:dyDescent="0.2">
      <c r="B168" s="11"/>
      <c r="C168" s="12"/>
      <c r="D168" s="11"/>
      <c r="E168" s="13"/>
      <c r="F168" s="13"/>
      <c r="G168" s="9"/>
      <c r="H168" s="14" t="str">
        <f t="shared" si="5"/>
        <v/>
      </c>
    </row>
    <row r="169" spans="2:8" x14ac:dyDescent="0.2">
      <c r="B169" s="11"/>
      <c r="C169" s="12"/>
      <c r="D169" s="11"/>
      <c r="E169" s="13"/>
      <c r="F169" s="13"/>
      <c r="G169" s="9"/>
      <c r="H169" s="14" t="str">
        <f t="shared" si="5"/>
        <v/>
      </c>
    </row>
    <row r="170" spans="2:8" x14ac:dyDescent="0.2">
      <c r="B170" s="11"/>
      <c r="C170" s="12"/>
      <c r="D170" s="11"/>
      <c r="E170" s="13"/>
      <c r="F170" s="13"/>
      <c r="G170" s="9"/>
      <c r="H170" s="14" t="str">
        <f t="shared" si="5"/>
        <v/>
      </c>
    </row>
    <row r="171" spans="2:8" x14ac:dyDescent="0.2">
      <c r="B171" s="11"/>
      <c r="C171" s="12"/>
      <c r="D171" s="11"/>
      <c r="E171" s="13"/>
      <c r="F171" s="13"/>
      <c r="G171" s="9"/>
      <c r="H171" s="14" t="str">
        <f t="shared" si="5"/>
        <v/>
      </c>
    </row>
    <row r="172" spans="2:8" x14ac:dyDescent="0.2">
      <c r="B172" s="11"/>
      <c r="C172" s="12"/>
      <c r="D172" s="11"/>
      <c r="E172" s="13"/>
      <c r="F172" s="13"/>
      <c r="G172" s="9"/>
      <c r="H172" s="14" t="str">
        <f t="shared" si="5"/>
        <v/>
      </c>
    </row>
    <row r="173" spans="2:8" x14ac:dyDescent="0.2">
      <c r="B173" s="11"/>
      <c r="C173" s="12"/>
      <c r="D173" s="11"/>
      <c r="E173" s="13"/>
      <c r="F173" s="13"/>
      <c r="G173" s="9"/>
      <c r="H173" s="14" t="str">
        <f t="shared" si="5"/>
        <v/>
      </c>
    </row>
    <row r="174" spans="2:8" x14ac:dyDescent="0.2">
      <c r="B174" s="11"/>
      <c r="C174" s="12"/>
      <c r="D174" s="11"/>
      <c r="E174" s="13"/>
      <c r="F174" s="13"/>
      <c r="G174" s="9"/>
      <c r="H174" s="14" t="str">
        <f t="shared" si="5"/>
        <v/>
      </c>
    </row>
    <row r="175" spans="2:8" x14ac:dyDescent="0.2">
      <c r="B175" s="11"/>
      <c r="C175" s="12"/>
      <c r="D175" s="11"/>
      <c r="E175" s="13"/>
      <c r="F175" s="13"/>
      <c r="G175" s="9"/>
      <c r="H175" s="14" t="str">
        <f t="shared" si="5"/>
        <v/>
      </c>
    </row>
    <row r="176" spans="2:8" x14ac:dyDescent="0.2">
      <c r="B176" s="11"/>
      <c r="C176" s="12"/>
      <c r="D176" s="11"/>
      <c r="E176" s="13"/>
      <c r="F176" s="13"/>
      <c r="G176" s="9"/>
      <c r="H176" s="14" t="str">
        <f t="shared" si="5"/>
        <v/>
      </c>
    </row>
    <row r="177" spans="2:8" x14ac:dyDescent="0.2">
      <c r="B177" s="11"/>
      <c r="C177" s="12"/>
      <c r="D177" s="11"/>
      <c r="E177" s="13"/>
      <c r="F177" s="13"/>
      <c r="G177" s="9"/>
      <c r="H177" s="14" t="str">
        <f t="shared" si="5"/>
        <v/>
      </c>
    </row>
    <row r="178" spans="2:8" x14ac:dyDescent="0.2">
      <c r="B178" s="11"/>
      <c r="C178" s="12"/>
      <c r="D178" s="11"/>
      <c r="E178" s="13"/>
      <c r="F178" s="13"/>
      <c r="G178" s="9"/>
      <c r="H178" s="14" t="str">
        <f t="shared" si="5"/>
        <v/>
      </c>
    </row>
    <row r="179" spans="2:8" x14ac:dyDescent="0.2">
      <c r="B179" s="11"/>
      <c r="C179" s="12"/>
      <c r="D179" s="11"/>
      <c r="E179" s="13"/>
      <c r="F179" s="13"/>
      <c r="G179" s="9"/>
      <c r="H179" s="14" t="str">
        <f t="shared" si="5"/>
        <v/>
      </c>
    </row>
    <row r="180" spans="2:8" x14ac:dyDescent="0.2">
      <c r="B180" s="11"/>
      <c r="C180" s="12"/>
      <c r="D180" s="11"/>
      <c r="E180" s="13"/>
      <c r="F180" s="13"/>
      <c r="G180" s="9"/>
      <c r="H180" s="14" t="str">
        <f t="shared" si="5"/>
        <v/>
      </c>
    </row>
    <row r="181" spans="2:8" x14ac:dyDescent="0.2">
      <c r="B181" s="11"/>
      <c r="C181" s="12"/>
      <c r="D181" s="11"/>
      <c r="E181" s="13"/>
      <c r="F181" s="13"/>
      <c r="G181" s="9"/>
      <c r="H181" s="14" t="str">
        <f t="shared" si="5"/>
        <v/>
      </c>
    </row>
    <row r="182" spans="2:8" x14ac:dyDescent="0.2">
      <c r="B182" s="11"/>
      <c r="C182" s="12"/>
      <c r="D182" s="11"/>
      <c r="E182" s="13"/>
      <c r="F182" s="13"/>
      <c r="G182" s="9"/>
      <c r="H182" s="14" t="str">
        <f t="shared" si="5"/>
        <v/>
      </c>
    </row>
    <row r="183" spans="2:8" x14ac:dyDescent="0.2">
      <c r="B183" s="11"/>
      <c r="C183" s="12"/>
      <c r="D183" s="11"/>
      <c r="E183" s="13"/>
      <c r="F183" s="13"/>
      <c r="G183" s="9"/>
      <c r="H183" s="14" t="str">
        <f t="shared" si="5"/>
        <v/>
      </c>
    </row>
    <row r="184" spans="2:8" x14ac:dyDescent="0.2">
      <c r="B184" s="11"/>
      <c r="C184" s="12"/>
      <c r="D184" s="11"/>
      <c r="E184" s="13"/>
      <c r="F184" s="13"/>
      <c r="G184" s="9"/>
      <c r="H184" s="14" t="str">
        <f t="shared" si="5"/>
        <v/>
      </c>
    </row>
    <row r="185" spans="2:8" x14ac:dyDescent="0.2">
      <c r="B185" s="11"/>
      <c r="C185" s="12"/>
      <c r="D185" s="11"/>
      <c r="E185" s="13"/>
      <c r="F185" s="13"/>
      <c r="G185" s="9"/>
      <c r="H185" s="14" t="str">
        <f t="shared" si="5"/>
        <v/>
      </c>
    </row>
    <row r="186" spans="2:8" x14ac:dyDescent="0.2">
      <c r="B186" s="11"/>
      <c r="C186" s="12"/>
      <c r="D186" s="11"/>
      <c r="E186" s="13"/>
      <c r="F186" s="13"/>
      <c r="G186" s="9"/>
      <c r="H186" s="14" t="str">
        <f t="shared" si="5"/>
        <v/>
      </c>
    </row>
    <row r="187" spans="2:8" x14ac:dyDescent="0.2">
      <c r="B187" s="11"/>
      <c r="C187" s="12"/>
      <c r="D187" s="11"/>
      <c r="E187" s="13"/>
      <c r="F187" s="13"/>
      <c r="G187" s="9"/>
      <c r="H187" s="14" t="str">
        <f t="shared" si="5"/>
        <v/>
      </c>
    </row>
    <row r="188" spans="2:8" x14ac:dyDescent="0.2">
      <c r="B188" s="11"/>
      <c r="C188" s="12"/>
      <c r="D188" s="11"/>
      <c r="E188" s="13"/>
      <c r="F188" s="13"/>
      <c r="G188" s="9"/>
      <c r="H188" s="14" t="str">
        <f t="shared" si="5"/>
        <v/>
      </c>
    </row>
    <row r="189" spans="2:8" x14ac:dyDescent="0.2">
      <c r="B189" s="11"/>
      <c r="C189" s="12"/>
      <c r="D189" s="11"/>
      <c r="E189" s="13"/>
      <c r="F189" s="13"/>
      <c r="G189" s="9"/>
      <c r="H189" s="14" t="str">
        <f t="shared" si="5"/>
        <v/>
      </c>
    </row>
    <row r="190" spans="2:8" x14ac:dyDescent="0.2">
      <c r="B190" s="11"/>
      <c r="C190" s="12"/>
      <c r="D190" s="11"/>
      <c r="E190" s="13"/>
      <c r="F190" s="13"/>
      <c r="G190" s="9"/>
      <c r="H190" s="14" t="str">
        <f t="shared" si="5"/>
        <v/>
      </c>
    </row>
    <row r="191" spans="2:8" x14ac:dyDescent="0.2">
      <c r="B191" s="11"/>
      <c r="C191" s="12"/>
      <c r="D191" s="11"/>
      <c r="E191" s="13"/>
      <c r="F191" s="13"/>
      <c r="G191" s="9"/>
      <c r="H191" s="14" t="str">
        <f t="shared" si="5"/>
        <v/>
      </c>
    </row>
    <row r="192" spans="2:8" x14ac:dyDescent="0.2">
      <c r="B192" s="11"/>
      <c r="C192" s="12"/>
      <c r="D192" s="11"/>
      <c r="E192" s="13"/>
      <c r="F192" s="13"/>
      <c r="G192" s="9"/>
      <c r="H192" s="14" t="str">
        <f t="shared" si="5"/>
        <v/>
      </c>
    </row>
    <row r="193" spans="2:8" x14ac:dyDescent="0.2">
      <c r="B193" s="11"/>
      <c r="C193" s="12"/>
      <c r="D193" s="11"/>
      <c r="E193" s="13"/>
      <c r="F193" s="13"/>
      <c r="G193" s="9"/>
      <c r="H193" s="14" t="str">
        <f t="shared" si="5"/>
        <v/>
      </c>
    </row>
    <row r="194" spans="2:8" x14ac:dyDescent="0.2">
      <c r="B194" s="11"/>
      <c r="C194" s="12"/>
      <c r="D194" s="11"/>
      <c r="E194" s="13"/>
      <c r="F194" s="13"/>
      <c r="G194" s="9"/>
      <c r="H194" s="14" t="str">
        <f t="shared" si="5"/>
        <v/>
      </c>
    </row>
    <row r="195" spans="2:8" x14ac:dyDescent="0.2">
      <c r="B195" s="11"/>
      <c r="C195" s="12"/>
      <c r="D195" s="11"/>
      <c r="E195" s="13"/>
      <c r="F195" s="13"/>
      <c r="G195" s="9"/>
      <c r="H195" s="14" t="str">
        <f t="shared" si="5"/>
        <v/>
      </c>
    </row>
    <row r="196" spans="2:8" x14ac:dyDescent="0.2">
      <c r="B196" s="11"/>
      <c r="C196" s="12"/>
      <c r="D196" s="11"/>
      <c r="E196" s="13"/>
      <c r="F196" s="13"/>
      <c r="G196" s="9"/>
      <c r="H196" s="14" t="str">
        <f t="shared" si="5"/>
        <v/>
      </c>
    </row>
    <row r="197" spans="2:8" x14ac:dyDescent="0.2">
      <c r="B197" s="11"/>
      <c r="C197" s="12"/>
      <c r="D197" s="11"/>
      <c r="E197" s="13"/>
      <c r="F197" s="13"/>
      <c r="G197" s="9"/>
      <c r="H197" s="14" t="str">
        <f t="shared" ref="H197:H204" si="6">IF(OR(B197="",N(E197)=0),"",(E197-F197)/E197)</f>
        <v/>
      </c>
    </row>
    <row r="198" spans="2:8" x14ac:dyDescent="0.2">
      <c r="B198" s="11"/>
      <c r="C198" s="12"/>
      <c r="D198" s="11"/>
      <c r="E198" s="13"/>
      <c r="F198" s="13"/>
      <c r="G198" s="9"/>
      <c r="H198" s="14" t="str">
        <f t="shared" si="6"/>
        <v/>
      </c>
    </row>
    <row r="199" spans="2:8" x14ac:dyDescent="0.2">
      <c r="B199" s="11"/>
      <c r="C199" s="12"/>
      <c r="D199" s="11"/>
      <c r="E199" s="13"/>
      <c r="F199" s="13"/>
      <c r="G199" s="9"/>
      <c r="H199" s="14" t="str">
        <f t="shared" si="6"/>
        <v/>
      </c>
    </row>
    <row r="200" spans="2:8" x14ac:dyDescent="0.2">
      <c r="B200" s="11"/>
      <c r="C200" s="12"/>
      <c r="D200" s="11"/>
      <c r="E200" s="13"/>
      <c r="F200" s="13"/>
      <c r="G200" s="9"/>
      <c r="H200" s="14" t="str">
        <f t="shared" si="6"/>
        <v/>
      </c>
    </row>
    <row r="201" spans="2:8" x14ac:dyDescent="0.2">
      <c r="B201" s="11"/>
      <c r="C201" s="12"/>
      <c r="D201" s="11"/>
      <c r="E201" s="13"/>
      <c r="F201" s="13"/>
      <c r="G201" s="9"/>
      <c r="H201" s="14" t="str">
        <f t="shared" si="6"/>
        <v/>
      </c>
    </row>
    <row r="202" spans="2:8" x14ac:dyDescent="0.2">
      <c r="B202" s="11"/>
      <c r="C202" s="12"/>
      <c r="D202" s="11"/>
      <c r="E202" s="13"/>
      <c r="F202" s="13"/>
      <c r="G202" s="9"/>
      <c r="H202" s="14" t="str">
        <f t="shared" si="6"/>
        <v/>
      </c>
    </row>
    <row r="203" spans="2:8" x14ac:dyDescent="0.2">
      <c r="B203" s="11"/>
      <c r="C203" s="12"/>
      <c r="D203" s="11"/>
      <c r="E203" s="13"/>
      <c r="F203" s="13"/>
      <c r="G203" s="9"/>
      <c r="H203" s="14" t="str">
        <f t="shared" si="6"/>
        <v/>
      </c>
    </row>
    <row r="204" spans="2:8" x14ac:dyDescent="0.2">
      <c r="B204" s="11"/>
      <c r="C204" s="12"/>
      <c r="D204" s="11"/>
      <c r="E204" s="13"/>
      <c r="F204" s="13"/>
      <c r="G204" s="9"/>
      <c r="H204" s="14" t="str">
        <f t="shared" si="6"/>
        <v/>
      </c>
    </row>
  </sheetData>
  <dataValidations count="1">
    <dataValidation type="list" allowBlank="1" showInputMessage="1" showErrorMessage="1" sqref="G5:G204" xr:uid="{F3766D15-0F0D-4838-A44A-859A06379595}">
      <formula1>CoteTVA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08CC6-D572-4977-A679-714AACF993BF}">
  <dimension ref="B1:G16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8.7109375" style="1" customWidth="1"/>
    <col min="3" max="3" width="40.7109375" style="1" customWidth="1"/>
    <col min="4" max="4" width="3.7109375" style="1" customWidth="1"/>
    <col min="5" max="5" width="10.7109375" style="1" customWidth="1"/>
    <col min="6" max="6" width="3.7109375" style="1" customWidth="1"/>
    <col min="7" max="7" width="14.7109375" style="1" customWidth="1"/>
    <col min="8" max="16384" width="11.42578125" style="1"/>
  </cols>
  <sheetData>
    <row r="1" spans="2:7" ht="21" x14ac:dyDescent="0.35">
      <c r="B1" s="2" t="s">
        <v>0</v>
      </c>
    </row>
    <row r="2" spans="2:7" x14ac:dyDescent="0.2">
      <c r="B2" s="3" t="s">
        <v>1</v>
      </c>
    </row>
    <row r="3" spans="2:7" x14ac:dyDescent="0.2">
      <c r="E3" s="8" t="s">
        <v>18</v>
      </c>
      <c r="G3" s="8" t="s">
        <v>19</v>
      </c>
    </row>
    <row r="4" spans="2:7" x14ac:dyDescent="0.2">
      <c r="B4" s="5" t="s">
        <v>2</v>
      </c>
      <c r="C4" s="6" t="s">
        <v>3</v>
      </c>
      <c r="E4" s="9">
        <v>0.21</v>
      </c>
      <c r="G4" s="10" t="s">
        <v>20</v>
      </c>
    </row>
    <row r="5" spans="2:7" x14ac:dyDescent="0.2">
      <c r="B5" s="5" t="s">
        <v>4</v>
      </c>
      <c r="C5" s="6" t="s">
        <v>5</v>
      </c>
      <c r="E5" s="9">
        <v>0.11</v>
      </c>
      <c r="G5" s="10" t="s">
        <v>21</v>
      </c>
    </row>
    <row r="6" spans="2:7" x14ac:dyDescent="0.2">
      <c r="B6" s="5" t="s">
        <v>6</v>
      </c>
      <c r="C6" s="6" t="s">
        <v>7</v>
      </c>
      <c r="E6" s="9">
        <v>0</v>
      </c>
      <c r="G6" s="10" t="s">
        <v>22</v>
      </c>
    </row>
    <row r="7" spans="2:7" x14ac:dyDescent="0.2">
      <c r="B7" s="5" t="s">
        <v>8</v>
      </c>
      <c r="C7" s="6" t="s">
        <v>9</v>
      </c>
      <c r="E7" s="9"/>
      <c r="G7" s="10" t="s">
        <v>23</v>
      </c>
    </row>
    <row r="8" spans="2:7" x14ac:dyDescent="0.2">
      <c r="B8" s="5" t="s">
        <v>10</v>
      </c>
      <c r="C8" s="6" t="s">
        <v>11</v>
      </c>
      <c r="E8" s="9"/>
    </row>
    <row r="9" spans="2:7" x14ac:dyDescent="0.2">
      <c r="B9" s="5" t="s">
        <v>12</v>
      </c>
      <c r="C9" s="6" t="s">
        <v>13</v>
      </c>
    </row>
    <row r="10" spans="2:7" x14ac:dyDescent="0.2">
      <c r="B10" s="5" t="s">
        <v>14</v>
      </c>
      <c r="C10" s="6" t="s">
        <v>15</v>
      </c>
    </row>
    <row r="11" spans="2:7" x14ac:dyDescent="0.2">
      <c r="B11" s="5" t="s">
        <v>16</v>
      </c>
      <c r="C11" s="7">
        <v>0.15</v>
      </c>
    </row>
    <row r="12" spans="2:7" x14ac:dyDescent="0.2">
      <c r="B12" s="5" t="s">
        <v>17</v>
      </c>
      <c r="C12" s="6">
        <v>30</v>
      </c>
    </row>
    <row r="14" spans="2:7" x14ac:dyDescent="0.2">
      <c r="B14" s="54" t="s">
        <v>136</v>
      </c>
    </row>
    <row r="15" spans="2:7" x14ac:dyDescent="0.2">
      <c r="B15" s="55" t="s">
        <v>137</v>
      </c>
    </row>
    <row r="16" spans="2:7" x14ac:dyDescent="0.2">
      <c r="B16" s="56" t="s">
        <v>138</v>
      </c>
    </row>
  </sheetData>
  <hyperlinks>
    <hyperlink ref="B16" r:id="rId1" tooltip="Instrucțiuni și alte modele gratuite" xr:uid="{327B8E90-B9ED-4830-AEB5-C6CA90E902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16</vt:i4>
      </vt:variant>
    </vt:vector>
  </HeadingPairs>
  <TitlesOfParts>
    <vt:vector size="22" baseType="lpstr">
      <vt:lpstr>Ofertă</vt:lpstr>
      <vt:lpstr>Registru oferte</vt:lpstr>
      <vt:lpstr>Linii ofertă</vt:lpstr>
      <vt:lpstr>Sumar oferte</vt:lpstr>
      <vt:lpstr>Produse și servicii</vt:lpstr>
      <vt:lpstr>Setări</vt:lpstr>
      <vt:lpstr>Adresa</vt:lpstr>
      <vt:lpstr>Ofertă!Área_de_impresión</vt:lpstr>
      <vt:lpstr>CodCat</vt:lpstr>
      <vt:lpstr>Contact</vt:lpstr>
      <vt:lpstr>CoteTVA</vt:lpstr>
      <vt:lpstr>CUI</vt:lpstr>
      <vt:lpstr>Firma</vt:lpstr>
      <vt:lpstr>IBAN</vt:lpstr>
      <vt:lpstr>Intocmit</vt:lpstr>
      <vt:lpstr>ListaStatus</vt:lpstr>
      <vt:lpstr>MarjaMin</vt:lpstr>
      <vt:lpstr>NrOf</vt:lpstr>
      <vt:lpstr>RandOf</vt:lpstr>
      <vt:lpstr>RegCom</vt:lpstr>
      <vt:lpstr>TabCat</vt:lpstr>
      <vt:lpstr>ValImpl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ofertă de preț Excel</dc:title>
  <dc:subject>Model Excel gratuit în limba română</dc:subject>
  <dc:creator>Ray Moreno · modelexcel.ro</dc:creator>
  <cp:keywords>modelexcel.ro, model Excel, Model ofertă de preț Excel</cp:keywords>
  <dc:description>© 2026 Ray Moreno – modelexcel.ro. Model gratuit: îl poți folosi și adapta în activitatea ta. Nu este permisă revânzarea lui sau publicarea pe alte site-uri. https://modelexcel.ro/model-oferta-de-pret-excel/</dc:description>
  <cp:lastModifiedBy>Ray Moreno · modelexcel.ro</cp:lastModifiedBy>
  <dcterms:created xsi:type="dcterms:W3CDTF">2026-10-11T16:08:12Z</dcterms:created>
  <dcterms:modified xsi:type="dcterms:W3CDTF">2026-10-13T17:31:56Z</dcterms:modified>
  <cp:category>Model Excel</cp:category>
</cp:coreProperties>
</file>