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E404F571-3AD0-46D2-A10B-1961084C57B4}" xr6:coauthVersionLast="47" xr6:coauthVersionMax="47" xr10:uidLastSave="{00000000-0000-0000-0000-000000000000}"/>
  <bookViews>
    <workbookView xWindow="-28920" yWindow="-120" windowWidth="29040" windowHeight="15720" xr2:uid="{3EA7EFFD-21E9-4C96-BE07-4D5DA9D307E9}"/>
  </bookViews>
  <sheets>
    <sheet name="Rezumat" sheetId="1" r:id="rId1"/>
    <sheet name="Investiție și finanțare" sheetId="2" r:id="rId2"/>
    <sheet name="Venituri" sheetId="3" r:id="rId3"/>
    <sheet name="Costuri fixe" sheetId="4" r:id="rId4"/>
    <sheet name="Proiecție 36 de luni" sheetId="5" r:id="rId5"/>
    <sheet name="Scenarii" sheetId="6" r:id="rId6"/>
    <sheet name="Setări" sheetId="7" r:id="rId7"/>
  </sheets>
  <definedNames>
    <definedName name="Activ">Setări!$C$5</definedName>
    <definedName name="AmortLunara">'Investiție și finanțare'!$E$19</definedName>
    <definedName name="AniCredit">'Investiție și finanțare'!$H$8</definedName>
    <definedName name="_xlnm.Print_Area" localSheetId="0">Rezumat!$A$1:$M$35</definedName>
    <definedName name="CAM">Setări!$C$10</definedName>
    <definedName name="Capital">'Investiție și finanțare'!$H$5</definedName>
    <definedName name="ComCard">Setări!$C$11</definedName>
    <definedName name="CostDirPct">Venituri!$F$13</definedName>
    <definedName name="CotaMicro">Setări!$C$8</definedName>
    <definedName name="CotaProfit">Setări!$C$9</definedName>
    <definedName name="Credit">'Investiție și finanțare'!$H$6</definedName>
    <definedName name="Cresc2">Setări!$C$12</definedName>
    <definedName name="Cresc3">Setări!$C$13</definedName>
    <definedName name="Dobanda">'Investiție și finanțare'!$H$7</definedName>
    <definedName name="FactScen">Setări!$H$15</definedName>
    <definedName name="Firma">Setări!$C$4</definedName>
    <definedName name="FixeLuna">'Costuri fixe'!$C$18</definedName>
    <definedName name="Inflatie">Setări!$C$14</definedName>
    <definedName name="ListaRegim">Setări!$E$10:$E$11</definedName>
    <definedName name="ListaScen">Setări!$E$5:$E$7</definedName>
    <definedName name="PE_An1">'Proiecție 36 de luni'!$AO$5</definedName>
    <definedName name="Rampa">Setări!$H$5:$I$10</definedName>
    <definedName name="Regim">Setări!$C$7</definedName>
    <definedName name="Scenariu">Setări!$C$15</definedName>
    <definedName name="Sezon">Setări!$L$5:$L$16</definedName>
    <definedName name="SoldInitial">'Investiție și finanțare'!$H$13</definedName>
    <definedName name="Start">Setări!$C$6</definedName>
    <definedName name="TabelScen">Setări!$E$5:$F$7</definedName>
    <definedName name="TotalInv">'Investiție și finanțare'!$C$19</definedName>
    <definedName name="VanzCap">Venituri!$E$13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" i="1" l="1"/>
  <c r="AM24" i="5"/>
  <c r="AM19" i="5"/>
  <c r="AM8" i="5"/>
  <c r="AM7" i="5"/>
  <c r="AL24" i="5"/>
  <c r="AL21" i="5"/>
  <c r="AL19" i="5"/>
  <c r="AL8" i="5"/>
  <c r="AL7" i="5"/>
  <c r="AL10" i="5" s="1"/>
  <c r="AK24" i="5"/>
  <c r="AK21" i="5"/>
  <c r="AK19" i="5"/>
  <c r="AK8" i="5"/>
  <c r="AK7" i="5"/>
  <c r="AK10" i="5" s="1"/>
  <c r="AJ24" i="5"/>
  <c r="AJ21" i="5"/>
  <c r="AJ19" i="5"/>
  <c r="AJ8" i="5"/>
  <c r="AJ7" i="5"/>
  <c r="AJ10" i="5" s="1"/>
  <c r="AI24" i="5"/>
  <c r="AI21" i="5"/>
  <c r="AI19" i="5"/>
  <c r="AI8" i="5"/>
  <c r="AI7" i="5"/>
  <c r="AI10" i="5" s="1"/>
  <c r="AH24" i="5"/>
  <c r="AH21" i="5"/>
  <c r="AH19" i="5"/>
  <c r="AH8" i="5"/>
  <c r="AH7" i="5"/>
  <c r="AH10" i="5" s="1"/>
  <c r="AG24" i="5"/>
  <c r="AG21" i="5"/>
  <c r="AG19" i="5"/>
  <c r="AG8" i="5"/>
  <c r="AG7" i="5"/>
  <c r="AG10" i="5" s="1"/>
  <c r="AF24" i="5"/>
  <c r="AF21" i="5"/>
  <c r="AF19" i="5"/>
  <c r="AF8" i="5"/>
  <c r="AF7" i="5"/>
  <c r="AF10" i="5" s="1"/>
  <c r="AE24" i="5"/>
  <c r="AE21" i="5"/>
  <c r="AE19" i="5"/>
  <c r="AE8" i="5"/>
  <c r="AE7" i="5"/>
  <c r="AE10" i="5" s="1"/>
  <c r="AD24" i="5"/>
  <c r="AD21" i="5"/>
  <c r="AD19" i="5"/>
  <c r="AD8" i="5"/>
  <c r="AD7" i="5"/>
  <c r="AD10" i="5" s="1"/>
  <c r="AC24" i="5"/>
  <c r="AC21" i="5"/>
  <c r="AC19" i="5"/>
  <c r="AC8" i="5"/>
  <c r="AC7" i="5"/>
  <c r="AC10" i="5" s="1"/>
  <c r="AB24" i="5"/>
  <c r="AB21" i="5"/>
  <c r="AB19" i="5"/>
  <c r="AB8" i="5"/>
  <c r="AB7" i="5"/>
  <c r="AB10" i="5" s="1"/>
  <c r="AA24" i="5"/>
  <c r="AA19" i="5"/>
  <c r="AA8" i="5"/>
  <c r="AA7" i="5"/>
  <c r="Z24" i="5"/>
  <c r="Z21" i="5"/>
  <c r="Z19" i="5"/>
  <c r="Z8" i="5"/>
  <c r="Z7" i="5"/>
  <c r="Z10" i="5" s="1"/>
  <c r="Y24" i="5"/>
  <c r="Y21" i="5"/>
  <c r="Y19" i="5"/>
  <c r="Y8" i="5"/>
  <c r="Y7" i="5"/>
  <c r="Y10" i="5" s="1"/>
  <c r="X24" i="5"/>
  <c r="X21" i="5"/>
  <c r="X19" i="5"/>
  <c r="X8" i="5"/>
  <c r="X7" i="5"/>
  <c r="X10" i="5" s="1"/>
  <c r="W24" i="5"/>
  <c r="W21" i="5"/>
  <c r="W19" i="5"/>
  <c r="W8" i="5"/>
  <c r="W7" i="5"/>
  <c r="W10" i="5" s="1"/>
  <c r="V24" i="5"/>
  <c r="V21" i="5"/>
  <c r="V19" i="5"/>
  <c r="V8" i="5"/>
  <c r="V7" i="5"/>
  <c r="V10" i="5" s="1"/>
  <c r="U24" i="5"/>
  <c r="U21" i="5"/>
  <c r="U19" i="5"/>
  <c r="U8" i="5"/>
  <c r="U7" i="5"/>
  <c r="U10" i="5" s="1"/>
  <c r="T24" i="5"/>
  <c r="T21" i="5"/>
  <c r="T19" i="5"/>
  <c r="T8" i="5"/>
  <c r="T7" i="5"/>
  <c r="T10" i="5" s="1"/>
  <c r="S24" i="5"/>
  <c r="S21" i="5"/>
  <c r="S19" i="5"/>
  <c r="S8" i="5"/>
  <c r="S7" i="5"/>
  <c r="S10" i="5" s="1"/>
  <c r="R24" i="5"/>
  <c r="R21" i="5"/>
  <c r="R19" i="5"/>
  <c r="R8" i="5"/>
  <c r="R7" i="5"/>
  <c r="R10" i="5" s="1"/>
  <c r="Q24" i="5"/>
  <c r="Q21" i="5"/>
  <c r="Q19" i="5"/>
  <c r="Q8" i="5"/>
  <c r="Q7" i="5"/>
  <c r="Q10" i="5" s="1"/>
  <c r="P24" i="5"/>
  <c r="P21" i="5"/>
  <c r="P19" i="5"/>
  <c r="P8" i="5"/>
  <c r="P7" i="5"/>
  <c r="P10" i="5" s="1"/>
  <c r="O24" i="5"/>
  <c r="O19" i="5"/>
  <c r="O8" i="5"/>
  <c r="O7" i="5"/>
  <c r="N24" i="5"/>
  <c r="N21" i="5"/>
  <c r="N19" i="5"/>
  <c r="N8" i="5"/>
  <c r="N7" i="5"/>
  <c r="N10" i="5" s="1"/>
  <c r="M24" i="5"/>
  <c r="M21" i="5"/>
  <c r="M19" i="5"/>
  <c r="M8" i="5"/>
  <c r="M7" i="5"/>
  <c r="M10" i="5" s="1"/>
  <c r="L24" i="5"/>
  <c r="L21" i="5"/>
  <c r="L19" i="5"/>
  <c r="L8" i="5"/>
  <c r="L7" i="5"/>
  <c r="L10" i="5" s="1"/>
  <c r="K24" i="5"/>
  <c r="K21" i="5"/>
  <c r="K19" i="5"/>
  <c r="K8" i="5"/>
  <c r="K7" i="5"/>
  <c r="K10" i="5" s="1"/>
  <c r="J24" i="5"/>
  <c r="J21" i="5"/>
  <c r="J19" i="5"/>
  <c r="J8" i="5"/>
  <c r="J7" i="5"/>
  <c r="J10" i="5" s="1"/>
  <c r="I24" i="5"/>
  <c r="I21" i="5"/>
  <c r="I19" i="5"/>
  <c r="I8" i="5"/>
  <c r="I7" i="5"/>
  <c r="I10" i="5" s="1"/>
  <c r="H24" i="5"/>
  <c r="H21" i="5"/>
  <c r="H19" i="5"/>
  <c r="H8" i="5"/>
  <c r="H7" i="5"/>
  <c r="H10" i="5" s="1"/>
  <c r="G24" i="5"/>
  <c r="G21" i="5"/>
  <c r="G19" i="5"/>
  <c r="G8" i="5"/>
  <c r="G7" i="5"/>
  <c r="G10" i="5" s="1"/>
  <c r="F24" i="5"/>
  <c r="F21" i="5"/>
  <c r="F19" i="5"/>
  <c r="F8" i="5"/>
  <c r="F7" i="5"/>
  <c r="F10" i="5" s="1"/>
  <c r="E24" i="5"/>
  <c r="E21" i="5"/>
  <c r="E19" i="5"/>
  <c r="E8" i="5"/>
  <c r="E7" i="5"/>
  <c r="E10" i="5" s="1"/>
  <c r="D24" i="5"/>
  <c r="D21" i="5"/>
  <c r="D19" i="5"/>
  <c r="D8" i="5"/>
  <c r="D7" i="5"/>
  <c r="B3" i="5"/>
  <c r="C17" i="4"/>
  <c r="C18" i="4" s="1"/>
  <c r="G12" i="3"/>
  <c r="E12" i="3"/>
  <c r="G11" i="3"/>
  <c r="E11" i="3"/>
  <c r="G10" i="3"/>
  <c r="E10" i="3"/>
  <c r="E9" i="3"/>
  <c r="G9" i="3" s="1"/>
  <c r="E8" i="3"/>
  <c r="G8" i="3" s="1"/>
  <c r="E7" i="3"/>
  <c r="G7" i="3" s="1"/>
  <c r="E6" i="3"/>
  <c r="G6" i="3" s="1"/>
  <c r="E5" i="3"/>
  <c r="H12" i="2"/>
  <c r="H11" i="2"/>
  <c r="C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19" i="2" s="1"/>
  <c r="H15" i="7"/>
  <c r="C6" i="7"/>
  <c r="AM10" i="5" l="1"/>
  <c r="AA10" i="5"/>
  <c r="O10" i="5"/>
  <c r="AP24" i="5"/>
  <c r="AP19" i="5"/>
  <c r="AP18" i="5"/>
  <c r="AP16" i="5"/>
  <c r="AO24" i="5"/>
  <c r="AO19" i="5"/>
  <c r="AO18" i="5"/>
  <c r="AQ24" i="5"/>
  <c r="AQ19" i="5"/>
  <c r="D10" i="5"/>
  <c r="AQ16" i="5"/>
  <c r="R16" i="5"/>
  <c r="S16" i="5"/>
  <c r="T16" i="5"/>
  <c r="U16" i="5"/>
  <c r="V16" i="5"/>
  <c r="W16" i="5"/>
  <c r="X16" i="5"/>
  <c r="Y16" i="5"/>
  <c r="Z16" i="5"/>
  <c r="AA16" i="5"/>
  <c r="E16" i="5"/>
  <c r="AB16" i="5"/>
  <c r="AC16" i="5"/>
  <c r="AD16" i="5"/>
  <c r="AE16" i="5"/>
  <c r="AF16" i="5"/>
  <c r="F16" i="5"/>
  <c r="AG16" i="5"/>
  <c r="AH16" i="5"/>
  <c r="AI16" i="5"/>
  <c r="AJ16" i="5"/>
  <c r="AK16" i="5"/>
  <c r="AL16" i="5"/>
  <c r="AM16" i="5"/>
  <c r="D16" i="5"/>
  <c r="AO16" i="5" s="1"/>
  <c r="H16" i="5"/>
  <c r="I16" i="5"/>
  <c r="J16" i="5"/>
  <c r="K16" i="5"/>
  <c r="G16" i="5"/>
  <c r="L16" i="5"/>
  <c r="M16" i="5"/>
  <c r="N16" i="5"/>
  <c r="O16" i="5"/>
  <c r="P16" i="5"/>
  <c r="Q16" i="5"/>
  <c r="E13" i="3"/>
  <c r="G5" i="3"/>
  <c r="G13" i="3" s="1"/>
  <c r="H13" i="2"/>
  <c r="B5" i="1"/>
  <c r="D18" i="5"/>
  <c r="F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E18" i="5"/>
  <c r="AB18" i="5"/>
  <c r="AQ18" i="5" s="1"/>
  <c r="AC18" i="5"/>
  <c r="AD18" i="5"/>
  <c r="AE18" i="5"/>
  <c r="AF18" i="5"/>
  <c r="AG18" i="5"/>
  <c r="AH18" i="5"/>
  <c r="AI18" i="5"/>
  <c r="AJ18" i="5"/>
  <c r="AK18" i="5"/>
  <c r="AL18" i="5"/>
  <c r="AM18" i="5"/>
  <c r="G18" i="5"/>
  <c r="H18" i="5"/>
  <c r="I18" i="5"/>
  <c r="J18" i="5"/>
  <c r="K18" i="5"/>
  <c r="X5" i="5"/>
  <c r="X9" i="5" s="1"/>
  <c r="W5" i="5"/>
  <c r="W9" i="5" s="1"/>
  <c r="G5" i="5"/>
  <c r="G9" i="5" s="1"/>
  <c r="F5" i="5"/>
  <c r="F9" i="5" s="1"/>
  <c r="Z5" i="5"/>
  <c r="Z9" i="5" s="1"/>
  <c r="AM5" i="5"/>
  <c r="AM9" i="5" s="1"/>
  <c r="V5" i="5"/>
  <c r="V9" i="5" s="1"/>
  <c r="U5" i="5"/>
  <c r="U9" i="5" s="1"/>
  <c r="B2" i="1"/>
  <c r="AF5" i="5"/>
  <c r="AF9" i="5" s="1"/>
  <c r="S5" i="5"/>
  <c r="S9" i="5" s="1"/>
  <c r="R5" i="5"/>
  <c r="R9" i="5" s="1"/>
  <c r="AE5" i="5"/>
  <c r="AE9" i="5" s="1"/>
  <c r="Q5" i="5"/>
  <c r="Q9" i="5" s="1"/>
  <c r="AK5" i="5"/>
  <c r="AK9" i="5" s="1"/>
  <c r="P5" i="5"/>
  <c r="P9" i="5" s="1"/>
  <c r="AD5" i="5"/>
  <c r="AD9" i="5" s="1"/>
  <c r="Y5" i="5"/>
  <c r="Y9" i="5" s="1"/>
  <c r="O5" i="5"/>
  <c r="O9" i="5" s="1"/>
  <c r="AC5" i="5"/>
  <c r="AC9" i="5" s="1"/>
  <c r="N5" i="5"/>
  <c r="N9" i="5" s="1"/>
  <c r="AH5" i="5"/>
  <c r="AH9" i="5" s="1"/>
  <c r="M5" i="5"/>
  <c r="M9" i="5" s="1"/>
  <c r="D5" i="5"/>
  <c r="D9" i="5" s="1"/>
  <c r="E5" i="5"/>
  <c r="E9" i="5" s="1"/>
  <c r="AL5" i="5"/>
  <c r="AL9" i="5" s="1"/>
  <c r="AB5" i="5"/>
  <c r="AB9" i="5" s="1"/>
  <c r="L5" i="5"/>
  <c r="L9" i="5" s="1"/>
  <c r="AI5" i="5"/>
  <c r="AI9" i="5" s="1"/>
  <c r="K5" i="5"/>
  <c r="K9" i="5" s="1"/>
  <c r="AJ5" i="5"/>
  <c r="AJ9" i="5" s="1"/>
  <c r="J5" i="5"/>
  <c r="J9" i="5" s="1"/>
  <c r="AA5" i="5"/>
  <c r="AA9" i="5" s="1"/>
  <c r="I5" i="5"/>
  <c r="I9" i="5" s="1"/>
  <c r="AG5" i="5"/>
  <c r="AG9" i="5" s="1"/>
  <c r="H5" i="5"/>
  <c r="H9" i="5" s="1"/>
  <c r="T5" i="5"/>
  <c r="T9" i="5" s="1"/>
  <c r="F12" i="5" l="1"/>
  <c r="W12" i="5"/>
  <c r="X12" i="5"/>
  <c r="Y12" i="5"/>
  <c r="Z12" i="5"/>
  <c r="AA12" i="5"/>
  <c r="F13" i="3"/>
  <c r="C13" i="6" s="1"/>
  <c r="B8" i="1" s="1"/>
  <c r="AB12" i="5"/>
  <c r="AC12" i="5"/>
  <c r="AD12" i="5"/>
  <c r="AE12" i="5"/>
  <c r="AF12" i="5"/>
  <c r="AG12" i="5"/>
  <c r="AH12" i="5"/>
  <c r="AI12" i="5"/>
  <c r="AJ12" i="5"/>
  <c r="AK12" i="5"/>
  <c r="AL12" i="5"/>
  <c r="AM12" i="5"/>
  <c r="G12" i="5"/>
  <c r="H12" i="5"/>
  <c r="I12" i="5"/>
  <c r="J12" i="5"/>
  <c r="K12" i="5"/>
  <c r="L12" i="5"/>
  <c r="D12" i="5"/>
  <c r="E12" i="5"/>
  <c r="M12" i="5"/>
  <c r="N12" i="5"/>
  <c r="O12" i="5"/>
  <c r="P12" i="5"/>
  <c r="Q12" i="5"/>
  <c r="R12" i="5"/>
  <c r="S12" i="5"/>
  <c r="T12" i="5"/>
  <c r="U12" i="5"/>
  <c r="V12" i="5"/>
  <c r="F13" i="5" l="1"/>
  <c r="F15" i="5" s="1"/>
  <c r="F17" i="5" s="1"/>
  <c r="F20" i="5" s="1"/>
  <c r="F22" i="5" s="1"/>
  <c r="F25" i="5" s="1"/>
  <c r="F14" i="5"/>
  <c r="W13" i="5"/>
  <c r="W15" i="5" s="1"/>
  <c r="W17" i="5" s="1"/>
  <c r="W20" i="5" s="1"/>
  <c r="W22" i="5" s="1"/>
  <c r="W25" i="5" s="1"/>
  <c r="W14" i="5"/>
  <c r="X13" i="5"/>
  <c r="X15" i="5" s="1"/>
  <c r="X17" i="5" s="1"/>
  <c r="X20" i="5" s="1"/>
  <c r="X22" i="5" s="1"/>
  <c r="X25" i="5" s="1"/>
  <c r="X14" i="5"/>
  <c r="Y13" i="5"/>
  <c r="Y15" i="5" s="1"/>
  <c r="Y17" i="5" s="1"/>
  <c r="Y20" i="5" s="1"/>
  <c r="Y22" i="5" s="1"/>
  <c r="Y25" i="5" s="1"/>
  <c r="Y14" i="5"/>
  <c r="Z13" i="5"/>
  <c r="Z15" i="5" s="1"/>
  <c r="Z17" i="5" s="1"/>
  <c r="Z20" i="5" s="1"/>
  <c r="Z22" i="5" s="1"/>
  <c r="Z25" i="5" s="1"/>
  <c r="Z14" i="5"/>
  <c r="AA13" i="5"/>
  <c r="AA15" i="5" s="1"/>
  <c r="AA17" i="5" s="1"/>
  <c r="AA20" i="5" s="1"/>
  <c r="AA14" i="5"/>
  <c r="AQ12" i="5"/>
  <c r="AB13" i="5"/>
  <c r="AB14" i="5"/>
  <c r="AQ14" i="5" s="1"/>
  <c r="AC13" i="5"/>
  <c r="AC15" i="5" s="1"/>
  <c r="AC17" i="5" s="1"/>
  <c r="AC20" i="5" s="1"/>
  <c r="AC22" i="5" s="1"/>
  <c r="AC25" i="5" s="1"/>
  <c r="AC14" i="5"/>
  <c r="AD13" i="5"/>
  <c r="AD14" i="5"/>
  <c r="AD15" i="5"/>
  <c r="AD17" i="5" s="1"/>
  <c r="AD20" i="5" s="1"/>
  <c r="AD22" i="5" s="1"/>
  <c r="AD25" i="5" s="1"/>
  <c r="AE13" i="5"/>
  <c r="AE14" i="5"/>
  <c r="AE15" i="5"/>
  <c r="AE17" i="5" s="1"/>
  <c r="AE20" i="5" s="1"/>
  <c r="AE22" i="5" s="1"/>
  <c r="AE25" i="5" s="1"/>
  <c r="AF13" i="5"/>
  <c r="AF14" i="5"/>
  <c r="AF15" i="5"/>
  <c r="AF17" i="5" s="1"/>
  <c r="AF20" i="5" s="1"/>
  <c r="AF22" i="5" s="1"/>
  <c r="AF25" i="5" s="1"/>
  <c r="AG13" i="5"/>
  <c r="AG14" i="5"/>
  <c r="AG15" i="5"/>
  <c r="AG17" i="5" s="1"/>
  <c r="AG20" i="5" s="1"/>
  <c r="AG22" i="5" s="1"/>
  <c r="AG25" i="5" s="1"/>
  <c r="AH13" i="5"/>
  <c r="AH14" i="5"/>
  <c r="AH15" i="5"/>
  <c r="AH17" i="5" s="1"/>
  <c r="AH20" i="5" s="1"/>
  <c r="AH22" i="5" s="1"/>
  <c r="AH25" i="5" s="1"/>
  <c r="AI13" i="5"/>
  <c r="AI14" i="5"/>
  <c r="AI15" i="5"/>
  <c r="AI17" i="5" s="1"/>
  <c r="AI20" i="5" s="1"/>
  <c r="AI22" i="5" s="1"/>
  <c r="AI25" i="5" s="1"/>
  <c r="AJ13" i="5"/>
  <c r="AJ14" i="5"/>
  <c r="AJ15" i="5"/>
  <c r="AJ17" i="5" s="1"/>
  <c r="AJ20" i="5" s="1"/>
  <c r="AJ22" i="5" s="1"/>
  <c r="AJ25" i="5" s="1"/>
  <c r="AK13" i="5"/>
  <c r="AK14" i="5"/>
  <c r="AK15" i="5"/>
  <c r="AK17" i="5" s="1"/>
  <c r="AK20" i="5" s="1"/>
  <c r="AK22" i="5" s="1"/>
  <c r="AK25" i="5" s="1"/>
  <c r="AL13" i="5"/>
  <c r="AL14" i="5"/>
  <c r="AL15" i="5"/>
  <c r="AL17" i="5" s="1"/>
  <c r="AL20" i="5" s="1"/>
  <c r="AL22" i="5" s="1"/>
  <c r="AL25" i="5" s="1"/>
  <c r="AM13" i="5"/>
  <c r="AM14" i="5"/>
  <c r="AM15" i="5"/>
  <c r="AM17" i="5" s="1"/>
  <c r="AM20" i="5" s="1"/>
  <c r="G14" i="5"/>
  <c r="G13" i="5"/>
  <c r="G15" i="5" s="1"/>
  <c r="G17" i="5" s="1"/>
  <c r="G20" i="5" s="1"/>
  <c r="G22" i="5" s="1"/>
  <c r="G25" i="5" s="1"/>
  <c r="H13" i="5"/>
  <c r="H14" i="5"/>
  <c r="H15" i="5"/>
  <c r="H17" i="5" s="1"/>
  <c r="H20" i="5" s="1"/>
  <c r="H22" i="5" s="1"/>
  <c r="H25" i="5" s="1"/>
  <c r="I13" i="5"/>
  <c r="I14" i="5"/>
  <c r="I15" i="5"/>
  <c r="I17" i="5" s="1"/>
  <c r="I20" i="5" s="1"/>
  <c r="I22" i="5" s="1"/>
  <c r="I25" i="5" s="1"/>
  <c r="J13" i="5"/>
  <c r="J14" i="5"/>
  <c r="J15" i="5"/>
  <c r="J17" i="5" s="1"/>
  <c r="J20" i="5" s="1"/>
  <c r="J22" i="5" s="1"/>
  <c r="J25" i="5" s="1"/>
  <c r="K13" i="5"/>
  <c r="K15" i="5" s="1"/>
  <c r="K17" i="5" s="1"/>
  <c r="K20" i="5" s="1"/>
  <c r="K22" i="5" s="1"/>
  <c r="K25" i="5" s="1"/>
  <c r="K14" i="5"/>
  <c r="L13" i="5"/>
  <c r="L14" i="5"/>
  <c r="L15" i="5"/>
  <c r="L17" i="5" s="1"/>
  <c r="L20" i="5" s="1"/>
  <c r="L22" i="5" s="1"/>
  <c r="L25" i="5" s="1"/>
  <c r="AO12" i="5"/>
  <c r="D14" i="5"/>
  <c r="D13" i="5"/>
  <c r="D15" i="5" s="1"/>
  <c r="E14" i="5"/>
  <c r="E13" i="5"/>
  <c r="E15" i="5" s="1"/>
  <c r="E17" i="5" s="1"/>
  <c r="E20" i="5" s="1"/>
  <c r="E22" i="5" s="1"/>
  <c r="E25" i="5" s="1"/>
  <c r="M13" i="5"/>
  <c r="M14" i="5"/>
  <c r="M15" i="5" s="1"/>
  <c r="M17" i="5" s="1"/>
  <c r="M20" i="5" s="1"/>
  <c r="M22" i="5" s="1"/>
  <c r="M25" i="5" s="1"/>
  <c r="N13" i="5"/>
  <c r="N14" i="5"/>
  <c r="N15" i="5"/>
  <c r="N17" i="5" s="1"/>
  <c r="N20" i="5" s="1"/>
  <c r="N22" i="5" s="1"/>
  <c r="N25" i="5" s="1"/>
  <c r="O13" i="5"/>
  <c r="O14" i="5"/>
  <c r="O15" i="5"/>
  <c r="O17" i="5" s="1"/>
  <c r="O20" i="5" s="1"/>
  <c r="AP12" i="5"/>
  <c r="P13" i="5"/>
  <c r="P14" i="5"/>
  <c r="P15" i="5" s="1"/>
  <c r="Q13" i="5"/>
  <c r="Q15" i="5" s="1"/>
  <c r="Q17" i="5" s="1"/>
  <c r="Q20" i="5" s="1"/>
  <c r="Q22" i="5" s="1"/>
  <c r="Q25" i="5" s="1"/>
  <c r="Q14" i="5"/>
  <c r="R13" i="5"/>
  <c r="R15" i="5" s="1"/>
  <c r="R17" i="5" s="1"/>
  <c r="R20" i="5" s="1"/>
  <c r="R22" i="5" s="1"/>
  <c r="R25" i="5" s="1"/>
  <c r="R14" i="5"/>
  <c r="S13" i="5"/>
  <c r="S15" i="5" s="1"/>
  <c r="S17" i="5" s="1"/>
  <c r="S20" i="5" s="1"/>
  <c r="S22" i="5" s="1"/>
  <c r="S25" i="5" s="1"/>
  <c r="S14" i="5"/>
  <c r="T13" i="5"/>
  <c r="T15" i="5" s="1"/>
  <c r="T17" i="5" s="1"/>
  <c r="T20" i="5" s="1"/>
  <c r="T22" i="5" s="1"/>
  <c r="T25" i="5" s="1"/>
  <c r="T14" i="5"/>
  <c r="U13" i="5"/>
  <c r="U15" i="5" s="1"/>
  <c r="U17" i="5" s="1"/>
  <c r="U20" i="5" s="1"/>
  <c r="U22" i="5" s="1"/>
  <c r="U25" i="5" s="1"/>
  <c r="U14" i="5"/>
  <c r="V13" i="5"/>
  <c r="V15" i="5" s="1"/>
  <c r="V17" i="5" s="1"/>
  <c r="V20" i="5" s="1"/>
  <c r="V22" i="5" s="1"/>
  <c r="V25" i="5" s="1"/>
  <c r="V14" i="5"/>
  <c r="E10" i="6" l="1"/>
  <c r="E7" i="6"/>
  <c r="D10" i="6"/>
  <c r="D7" i="6"/>
  <c r="C10" i="6"/>
  <c r="C7" i="6"/>
  <c r="D5" i="1"/>
  <c r="B14" i="6"/>
  <c r="E8" i="6"/>
  <c r="E5" i="6"/>
  <c r="D8" i="6"/>
  <c r="D5" i="6"/>
  <c r="C5" i="6"/>
  <c r="AO15" i="5"/>
  <c r="D17" i="5"/>
  <c r="E6" i="6"/>
  <c r="D6" i="6"/>
  <c r="C6" i="6"/>
  <c r="AP15" i="5"/>
  <c r="P17" i="5"/>
  <c r="AO13" i="5"/>
  <c r="C8" i="6" s="1"/>
  <c r="AO14" i="5"/>
  <c r="AP13" i="5"/>
  <c r="AP14" i="5"/>
  <c r="E9" i="6" s="1"/>
  <c r="AQ13" i="5"/>
  <c r="AB15" i="5"/>
  <c r="AO17" i="5" l="1"/>
  <c r="D20" i="5"/>
  <c r="AP17" i="5"/>
  <c r="P20" i="5"/>
  <c r="AB17" i="5"/>
  <c r="AQ15" i="5"/>
  <c r="E11" i="6"/>
  <c r="D9" i="6"/>
  <c r="D11" i="6" s="1"/>
  <c r="C9" i="6"/>
  <c r="C11" i="6" s="1"/>
  <c r="AO20" i="5" l="1"/>
  <c r="O21" i="5"/>
  <c r="J5" i="1"/>
  <c r="D22" i="5"/>
  <c r="AP20" i="5"/>
  <c r="AA21" i="5"/>
  <c r="P22" i="5"/>
  <c r="AQ17" i="5"/>
  <c r="AB20" i="5"/>
  <c r="O22" i="5" l="1"/>
  <c r="O25" i="5" s="1"/>
  <c r="AO21" i="5"/>
  <c r="AO22" i="5"/>
  <c r="F5" i="1" s="1"/>
  <c r="D27" i="5"/>
  <c r="D25" i="5"/>
  <c r="AA22" i="5"/>
  <c r="AA25" i="5" s="1"/>
  <c r="AP21" i="5"/>
  <c r="AP22" i="5"/>
  <c r="P25" i="5"/>
  <c r="AP25" i="5" s="1"/>
  <c r="AQ20" i="5"/>
  <c r="AM21" i="5"/>
  <c r="AB22" i="5"/>
  <c r="E27" i="5" l="1"/>
  <c r="D26" i="5"/>
  <c r="AO25" i="5"/>
  <c r="AM22" i="5"/>
  <c r="AQ21" i="5"/>
  <c r="AB25" i="5"/>
  <c r="AQ25" i="5" s="1"/>
  <c r="E26" i="5" l="1"/>
  <c r="F27" i="5"/>
  <c r="G27" i="5" s="1"/>
  <c r="H27" i="5" s="1"/>
  <c r="I27" i="5" s="1"/>
  <c r="J27" i="5" s="1"/>
  <c r="K27" i="5" s="1"/>
  <c r="L27" i="5" s="1"/>
  <c r="M27" i="5" s="1"/>
  <c r="N27" i="5" s="1"/>
  <c r="O27" i="5" s="1"/>
  <c r="P27" i="5" s="1"/>
  <c r="Q27" i="5" s="1"/>
  <c r="R27" i="5" s="1"/>
  <c r="S27" i="5" s="1"/>
  <c r="T27" i="5" s="1"/>
  <c r="U27" i="5" s="1"/>
  <c r="V27" i="5" s="1"/>
  <c r="W27" i="5" s="1"/>
  <c r="X27" i="5" s="1"/>
  <c r="Y27" i="5" s="1"/>
  <c r="Z27" i="5" s="1"/>
  <c r="AA27" i="5" s="1"/>
  <c r="AB27" i="5" s="1"/>
  <c r="AC27" i="5" s="1"/>
  <c r="AD27" i="5" s="1"/>
  <c r="AE27" i="5" s="1"/>
  <c r="AF27" i="5" s="1"/>
  <c r="AG27" i="5" s="1"/>
  <c r="AH27" i="5" s="1"/>
  <c r="AI27" i="5" s="1"/>
  <c r="AJ27" i="5" s="1"/>
  <c r="AK27" i="5" s="1"/>
  <c r="AL27" i="5" s="1"/>
  <c r="AM27" i="5" s="1"/>
  <c r="L5" i="1"/>
  <c r="AM25" i="5"/>
  <c r="AQ22" i="5"/>
  <c r="H5" i="1" s="1"/>
  <c r="F26" i="5" l="1"/>
  <c r="G26" i="5" s="1"/>
  <c r="H26" i="5" s="1"/>
  <c r="I26" i="5" s="1"/>
  <c r="J26" i="5" s="1"/>
  <c r="K26" i="5" s="1"/>
  <c r="L26" i="5" s="1"/>
  <c r="M26" i="5" s="1"/>
  <c r="N26" i="5" s="1"/>
  <c r="O26" i="5" s="1"/>
  <c r="AO26" i="5" l="1"/>
  <c r="P26" i="5"/>
  <c r="Q26" i="5" l="1"/>
  <c r="R26" i="5" s="1"/>
  <c r="S26" i="5" s="1"/>
  <c r="T26" i="5" s="1"/>
  <c r="U26" i="5" s="1"/>
  <c r="V26" i="5" s="1"/>
  <c r="W26" i="5" s="1"/>
  <c r="X26" i="5" s="1"/>
  <c r="Y26" i="5" s="1"/>
  <c r="Z26" i="5" s="1"/>
  <c r="AA26" i="5" s="1"/>
  <c r="AB26" i="5" l="1"/>
  <c r="AP26" i="5"/>
  <c r="B7" i="1" l="1"/>
  <c r="AC26" i="5"/>
  <c r="AD26" i="5" s="1"/>
  <c r="AE26" i="5" s="1"/>
  <c r="AF26" i="5" s="1"/>
  <c r="AG26" i="5" s="1"/>
  <c r="AH26" i="5" s="1"/>
  <c r="AI26" i="5" s="1"/>
  <c r="AJ26" i="5" s="1"/>
  <c r="AK26" i="5" s="1"/>
  <c r="AL26" i="5" s="1"/>
  <c r="AM26" i="5" s="1"/>
  <c r="AQ26" i="5" s="1"/>
</calcChain>
</file>

<file path=xl/sharedStrings.xml><?xml version="1.0" encoding="utf-8"?>
<sst xmlns="http://schemas.openxmlformats.org/spreadsheetml/2006/main" count="161" uniqueCount="151">
  <si>
    <t>Setări</t>
  </si>
  <si>
    <t>Ipotezele planului. Schimbă scenariul activ ca să vezi tot planul în varianta pesimistă sau optimistă.</t>
  </si>
  <si>
    <t>Firma / proiectul</t>
  </si>
  <si>
    <t>Cafeneaua din Colț SRL</t>
  </si>
  <si>
    <t>Activitatea</t>
  </si>
  <si>
    <t>Cafenea de cartier cu cafea de specialitate, patiserie și sandvișuri</t>
  </si>
  <si>
    <t>Prima lună de activitate</t>
  </si>
  <si>
    <t>Regimul fiscal</t>
  </si>
  <si>
    <t>Impozit pe profit (16%)</t>
  </si>
  <si>
    <t>Cota impozitului pe veniturile microîntreprinderilor</t>
  </si>
  <si>
    <t>Cota impozitului pe profit</t>
  </si>
  <si>
    <t>Contribuția asiguratorie pentru muncă (CAM)</t>
  </si>
  <si>
    <t>Comisioane plăți cu cardul (% din vânzări)</t>
  </si>
  <si>
    <t>Creșterea vânzărilor în anul 2</t>
  </si>
  <si>
    <t>Creșterea vânzărilor în anul 3</t>
  </si>
  <si>
    <t>Creșterea anuală a costurilor fixe (inflație)</t>
  </si>
  <si>
    <t>Scenariul activ</t>
  </si>
  <si>
    <t>Realist</t>
  </si>
  <si>
    <t>Scenariu</t>
  </si>
  <si>
    <t>Vânzări față de realist</t>
  </si>
  <si>
    <t>Pesimist</t>
  </si>
  <si>
    <t>Optimist</t>
  </si>
  <si>
    <t>Regim fiscal</t>
  </si>
  <si>
    <t>Microîntreprindere (1% din venituri)</t>
  </si>
  <si>
    <t>Luna de activitate</t>
  </si>
  <si>
    <t>Pornire (% din capacitate)</t>
  </si>
  <si>
    <t>Luna</t>
  </si>
  <si>
    <t>Sezonalitate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</si>
  <si>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</si>
  <si>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</si>
  <si>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</si>
  <si>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</si>
  <si>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</si>
  <si>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</si>
  <si>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</si>
  <si>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</si>
  <si>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</si>
  <si>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</si>
  <si>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</si>
  <si>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</si>
  <si>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Sezonalitatea arată cât vinzi într-o lună față de o lună medie (100%). Pornirea arată cât din capacitate atingi în primele 6 luni.</t>
  </si>
  <si>
    <t>Impozitul micro se aplică firmelor cu venituri de cel mult 100.000 euro (Codul fiscal, art. 47 și 51, în 2026). Verifică regimul cu contabilul.</t>
  </si>
  <si>
    <t>Investiția inițială și finanțarea</t>
  </si>
  <si>
    <t>Ce trebuie cumpărat înainte de deschidere și de unde vin banii. Echipamentele se amortizează pe durata lor de folosință.</t>
  </si>
  <si>
    <t>Element</t>
  </si>
  <si>
    <t>Valoare (fără TVA)</t>
  </si>
  <si>
    <t>Se amortizează în (ani)</t>
  </si>
  <si>
    <t>Amortizare lunară</t>
  </si>
  <si>
    <t>Espressor profesional cu 2 grupuri</t>
  </si>
  <si>
    <t>Râșnițe de cafea (2 buc.)</t>
  </si>
  <si>
    <t>Mobilier și amenajarea spațiului</t>
  </si>
  <si>
    <t>Vitrină frigorifică și frigidere</t>
  </si>
  <si>
    <t>Casă de marcat, POS și laptop</t>
  </si>
  <si>
    <t>Proiect, avize și autorizații</t>
  </si>
  <si>
    <t>Stoc inițial de marfă</t>
  </si>
  <si>
    <t>Campanie de lansare</t>
  </si>
  <si>
    <t>Total investiție</t>
  </si>
  <si>
    <t>Surse de finanțare</t>
  </si>
  <si>
    <t>Valoare</t>
  </si>
  <si>
    <t>Capital propriu (aport asociați)</t>
  </si>
  <si>
    <t>Credit bancar</t>
  </si>
  <si>
    <t>Dobânda anuală a creditului</t>
  </si>
  <si>
    <t>Durata creditului (ani)</t>
  </si>
  <si>
    <t>Rata lunară a creditului</t>
  </si>
  <si>
    <t>Total surse</t>
  </si>
  <si>
    <t>Numerar disponibil după investiție (fond de rulment)</t>
  </si>
  <si>
    <t>Fondul de rulment acoperă lunile de pornire, când vânzările sunt mici. Dacă soldul de numerar din proiecție scade sub zero, ai nevoie de mai mulți bani la început.</t>
  </si>
  <si>
    <t>Produse și vânzări</t>
  </si>
  <si>
    <t>Prețul mediu fără TVA, cantitatea vândută pe lună la capacitate normală și costul direct (marfă, materii prime, ambalaje) ca procent din preț.</t>
  </si>
  <si>
    <t>Produs / serviciu</t>
  </si>
  <si>
    <t>Preț mediu (fără TVA)</t>
  </si>
  <si>
    <t>Cantitate pe lună la capacitate</t>
  </si>
  <si>
    <t>Vânzări pe lună la capacitate</t>
  </si>
  <si>
    <t>Cost direct (% din preț)</t>
  </si>
  <si>
    <t>Marja brută pe lună</t>
  </si>
  <si>
    <t>Cafea (espresso, cappuccino, flat white)</t>
  </si>
  <si>
    <t>Băuturi reci și limonade</t>
  </si>
  <si>
    <t>Patiserie</t>
  </si>
  <si>
    <t>Sandvișuri și salate</t>
  </si>
  <si>
    <t>Cafea boabe la pachet</t>
  </si>
  <si>
    <t>Total</t>
  </si>
  <si>
    <t>Ca să fii realist: cantitățile pornesc de la câți clienți pot intra efectiv pe zi (de exemplu, 80 de clienți × 30 de zile × 1 cafea = 2.400 de cafele) și de la prețurile concurenței din zonă.</t>
  </si>
  <si>
    <t>Costurile fixe lunare</t>
  </si>
  <si>
    <t>Costurile care nu depind de vânzări. La salarii treci salariul brut; contribuția asiguratorie pentru muncă (CAM) se adaugă automat.</t>
  </si>
  <si>
    <t>Cost</t>
  </si>
  <si>
    <t>Valoare pe lună (anul 1)</t>
  </si>
  <si>
    <t>Observații</t>
  </si>
  <si>
    <t>Chirie</t>
  </si>
  <si>
    <t>60 mp, zonă rezidențială</t>
  </si>
  <si>
    <t>Salarii brute</t>
  </si>
  <si>
    <t>2 bariști × 4.500 lei + 1 manager × 6.000 lei</t>
  </si>
  <si>
    <t>Utilități (energie, apă, internet)</t>
  </si>
  <si>
    <t>Contabilitate</t>
  </si>
  <si>
    <t>Marketing și social media</t>
  </si>
  <si>
    <t>Asigurări, curățenie și diverse</t>
  </si>
  <si>
    <t>Întreținere echipamente</t>
  </si>
  <si>
    <t>CAM la salarii (calculat)</t>
  </si>
  <si>
    <t>Total costuri fixe pe lună (anul 1)</t>
  </si>
  <si>
    <t>Proiecția pe 36 de luni</t>
  </si>
  <si>
    <t>Venituri, costuri, profit și numerar lună de lună, pentru scenariul activ din Setări.</t>
  </si>
  <si>
    <t>Nr. lunii</t>
  </si>
  <si>
    <t>Anul</t>
  </si>
  <si>
    <t>Pornire</t>
  </si>
  <si>
    <t>Creștere față de anul 1</t>
  </si>
  <si>
    <t>VÂNZĂRI</t>
  </si>
  <si>
    <t>Costuri directe</t>
  </si>
  <si>
    <t>Comisioane card</t>
  </si>
  <si>
    <t>Marja de contribuție</t>
  </si>
  <si>
    <t>Costuri fixe</t>
  </si>
  <si>
    <t>Rezultat operațional (EBITDA)</t>
  </si>
  <si>
    <t>Amortizare</t>
  </si>
  <si>
    <t>Dobândă credit</t>
  </si>
  <si>
    <t>Profit brut</t>
  </si>
  <si>
    <t>Impozit (micro: lunar; pe profit: la sfârșitul anului)</t>
  </si>
  <si>
    <t>PROFIT NET</t>
  </si>
  <si>
    <t>Rambursare credit (principal)</t>
  </si>
  <si>
    <t>Flux de numerar al lunii</t>
  </si>
  <si>
    <t>SOLD DE NUMERAR</t>
  </si>
  <si>
    <t>Profit net + amortizare cumulat</t>
  </si>
  <si>
    <t>Anul 1</t>
  </si>
  <si>
    <t>Anul 2</t>
  </si>
  <si>
    <t>Anul 3</t>
  </si>
  <si>
    <t>Comparația scenariilor</t>
  </si>
  <si>
    <t>Același plan, cu vânzări cu 20% mai mici (pesimist) sau mai mari (optimist). Costurile fixe, amortizarea și dobânda rămân aceleași.</t>
  </si>
  <si>
    <t>Indicator</t>
  </si>
  <si>
    <t>Vânzări anul 1</t>
  </si>
  <si>
    <t>Vânzări anul 2</t>
  </si>
  <si>
    <t>Vânzări anul 3</t>
  </si>
  <si>
    <t>Profit net anul 1</t>
  </si>
  <si>
    <t>Profit net anul 2</t>
  </si>
  <si>
    <t>Profit net anul 3</t>
  </si>
  <si>
    <t>Profit net cumulat în 3 ani</t>
  </si>
  <si>
    <t>Vânzările lunare necesare pentru echilibru (anul 1)</t>
  </si>
  <si>
    <t>Investiție inițială</t>
  </si>
  <si>
    <t>Prima lună cu profit</t>
  </si>
  <si>
    <t>Recuperarea investiției</t>
  </si>
  <si>
    <t>Ideea de afaceri</t>
  </si>
  <si>
    <t>Cafenea de cartier de 60 mp, cu cafea de specialitate, patiserie proaspătă și sandvișuri, deschisă zilnic între 7 și 20.</t>
  </si>
  <si>
    <t>Clienții țintă</t>
  </si>
  <si>
    <t>Locuitorii din cartier (aproximativ 8.000 de apartamente pe o rază de 500 m) și angajații din cele două clădiri de birouri din apropiere.</t>
  </si>
  <si>
    <t>Concurența</t>
  </si>
  <si>
    <t>Două cafenele de lanț la 800 m și un chioșc de cafea la metrou. Avantajul nostru: calitatea cafelei și locul de stat.</t>
  </si>
  <si>
    <t>Marketing</t>
  </si>
  <si>
    <t>Lansare cu degustare gratuită, card de fidelitate, Instagram și recenzii Google; parteneriate cu birourile pentru comenzi de grup.</t>
  </si>
  <si>
    <t>Echipa</t>
  </si>
  <si>
    <t>Un manager cu experiență în HoReCa și doi bariști; asociatul se ocupă de achiziții și administrare.</t>
  </si>
  <si>
    <t>Riscuri principale</t>
  </si>
  <si>
    <t>Vânzări mai mici la pornire, creșterea chiriei și a prețului cafelei boabe, plecarea unui barist.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</si>
  <si>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</si>
  <si>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</si>
  <si>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modelexcel.ro/model-plan-de-afaceri-excel/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</si>
</sst>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$-418]mmm\ yy"/>
  </numFmts>
  <fonts count="16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006064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b/>
      <sz val="10"/>
      <color rgb="FF5D6B64"/>
      <name val="Calibri"/>
      <family val="2"/>
    </font>
    <font>
      <sz val="10"/>
      <color rgb="FF5D6B64"/>
      <name val="Calibri"/>
      <family val="2"/>
    </font>
    <font>
      <b/>
      <sz val="12"/>
      <color rgb="FF006064"/>
      <name val="Calibri"/>
      <family val="2"/>
    </font>
    <font>
      <b/>
      <sz val="14"/>
      <color rgb="FF006064"/>
      <name val="Calibri"/>
      <family val="2"/>
    </font>
    <font>
      <b/>
      <sz val="10"/>
      <color rgb="FF006064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7FDFC"/>
        <bgColor indexed="64"/>
      </patternFill>
    </fill>
    <fill>
      <patternFill patternType="solid">
        <fgColor rgb="FF006064"/>
        <bgColor indexed="64"/>
      </patternFill>
    </fill>
    <fill>
      <patternFill patternType="solid">
        <fgColor rgb="FFE0F7F2"/>
        <bgColor indexed="64"/>
      </patternFill>
    </fill>
  </fills>
  <borders count="6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006064"/>
      </left>
      <right/>
      <top style="thin">
        <color rgb="FF006064"/>
      </top>
      <bottom/>
      <diagonal/>
    </border>
    <border>
      <left/>
      <right style="thin">
        <color rgb="FF006064"/>
      </right>
      <top style="thin">
        <color rgb="FF006064"/>
      </top>
      <bottom/>
      <diagonal/>
    </border>
    <border>
      <left style="thin">
        <color rgb="FF006064"/>
      </left>
      <right/>
      <top/>
      <bottom style="thin">
        <color rgb="FF006064"/>
      </bottom>
      <diagonal/>
    </border>
    <border>
      <left/>
      <right style="thin">
        <color rgb="FF006064"/>
      </right>
      <top/>
      <bottom style="thin">
        <color rgb="FF0060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left"/>
    </xf>
    <xf numFmtId="10" fontId="1" fillId="2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9" fontId="1" fillId="2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6" fillId="0" borderId="0" xfId="0" applyFont="1"/>
    <xf numFmtId="0" fontId="1" fillId="2" borderId="1" xfId="0" applyFont="1" applyFill="1" applyBorder="1"/>
    <xf numFmtId="3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4" fontId="1" fillId="0" borderId="1" xfId="0" applyNumberFormat="1" applyFont="1" applyBorder="1"/>
    <xf numFmtId="0" fontId="4" fillId="4" borderId="1" xfId="0" applyFont="1" applyFill="1" applyBorder="1"/>
    <xf numFmtId="3" fontId="4" fillId="4" borderId="1" xfId="0" applyNumberFormat="1" applyFont="1" applyFill="1" applyBorder="1"/>
    <xf numFmtId="4" fontId="4" fillId="4" borderId="1" xfId="0" applyNumberFormat="1" applyFont="1" applyFill="1" applyBorder="1"/>
    <xf numFmtId="164" fontId="1" fillId="2" borderId="1" xfId="0" applyNumberFormat="1" applyFont="1" applyFill="1" applyBorder="1"/>
    <xf numFmtId="0" fontId="4" fillId="0" borderId="1" xfId="0" applyFont="1" applyBorder="1"/>
    <xf numFmtId="4" fontId="4" fillId="0" borderId="1" xfId="0" applyNumberFormat="1" applyFont="1" applyBorder="1"/>
    <xf numFmtId="0" fontId="1" fillId="0" borderId="1" xfId="0" applyFont="1" applyBorder="1" applyAlignment="1">
      <alignment wrapText="1"/>
    </xf>
    <xf numFmtId="0" fontId="4" fillId="4" borderId="1" xfId="0" applyFont="1" applyFill="1" applyBorder="1" applyAlignment="1">
      <alignment wrapText="1"/>
    </xf>
    <xf numFmtId="4" fontId="1" fillId="2" borderId="1" xfId="0" applyNumberFormat="1" applyFont="1" applyFill="1" applyBorder="1"/>
    <xf numFmtId="3" fontId="1" fillId="0" borderId="1" xfId="0" applyNumberFormat="1" applyFont="1" applyBorder="1"/>
    <xf numFmtId="9" fontId="4" fillId="4" borderId="1" xfId="0" applyNumberFormat="1" applyFont="1" applyFill="1" applyBorder="1"/>
    <xf numFmtId="0" fontId="8" fillId="0" borderId="0" xfId="0" applyFont="1"/>
    <xf numFmtId="165" fontId="4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9" fontId="8" fillId="0" borderId="1" xfId="0" applyNumberFormat="1" applyFont="1" applyBorder="1"/>
    <xf numFmtId="3" fontId="5" fillId="3" borderId="1" xfId="0" applyNumberFormat="1" applyFont="1" applyFill="1" applyBorder="1" applyAlignment="1">
      <alignment horizontal="center"/>
    </xf>
    <xf numFmtId="3" fontId="9" fillId="0" borderId="0" xfId="0" applyNumberFormat="1" applyFont="1"/>
    <xf numFmtId="0" fontId="11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8" fillId="0" borderId="0" xfId="0" applyFont="1"/>
    <xf numFmtId="0" fontId="1" fillId="0" borderId="0" xfId="0" applyFont="1"/>
    <xf numFmtId="0" fontId="8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3" fontId="10" fillId="4" borderId="4" xfId="0" applyNumberFormat="1" applyFont="1" applyFill="1" applyBorder="1" applyAlignment="1">
      <alignment horizontal="center" wrapText="1"/>
    </xf>
    <xf numFmtId="3" fontId="1" fillId="4" borderId="5" xfId="0" applyNumberFormat="1" applyFont="1" applyFill="1" applyBorder="1" applyAlignment="1">
      <alignment horizontal="center" wrapText="1"/>
    </xf>
    <xf numFmtId="0" fontId="10" fillId="4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4">
    <dxf>
      <font>
        <b/>
        <i val="0"/>
        <color rgb="FFB4322A"/>
      </font>
    </dxf>
    <dxf>
      <font>
        <color rgb="FFB4322A"/>
      </font>
    </dxf>
    <dxf>
      <font>
        <color rgb="FFB4322A"/>
      </font>
    </dxf>
    <dxf>
      <font>
        <color rgb="FFB4322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/>
              <a:t>Vânzări lunare și sold de numerar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Vânzări</c:v>
          </c:tx>
          <c:spPr>
            <a:solidFill>
              <a:srgbClr val="006064"/>
            </a:solidFill>
          </c:spPr>
          <c:invertIfNegative val="0"/>
          <c:cat>
            <c:numRef>
              <c:f>'Proiecție 36 de luni'!$D$5:$AM$5</c:f>
              <c:numCache>
                <c:formatCode>[$-418]mmm\ yy</c:formatCode>
                <c:ptCount val="36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  <c:pt idx="12">
                  <c:v>46753</c:v>
                </c:pt>
                <c:pt idx="13">
                  <c:v>46784</c:v>
                </c:pt>
                <c:pt idx="14">
                  <c:v>46813</c:v>
                </c:pt>
                <c:pt idx="15">
                  <c:v>46844</c:v>
                </c:pt>
                <c:pt idx="16">
                  <c:v>46874</c:v>
                </c:pt>
                <c:pt idx="17">
                  <c:v>46905</c:v>
                </c:pt>
                <c:pt idx="18">
                  <c:v>46935</c:v>
                </c:pt>
                <c:pt idx="19">
                  <c:v>46966</c:v>
                </c:pt>
                <c:pt idx="20">
                  <c:v>46997</c:v>
                </c:pt>
                <c:pt idx="21">
                  <c:v>47027</c:v>
                </c:pt>
                <c:pt idx="22">
                  <c:v>47058</c:v>
                </c:pt>
                <c:pt idx="23">
                  <c:v>47088</c:v>
                </c:pt>
                <c:pt idx="24">
                  <c:v>47119</c:v>
                </c:pt>
                <c:pt idx="25">
                  <c:v>47150</c:v>
                </c:pt>
                <c:pt idx="26">
                  <c:v>47178</c:v>
                </c:pt>
                <c:pt idx="27">
                  <c:v>47209</c:v>
                </c:pt>
                <c:pt idx="28">
                  <c:v>47239</c:v>
                </c:pt>
                <c:pt idx="29">
                  <c:v>47270</c:v>
                </c:pt>
                <c:pt idx="30">
                  <c:v>47300</c:v>
                </c:pt>
                <c:pt idx="31">
                  <c:v>47331</c:v>
                </c:pt>
                <c:pt idx="32">
                  <c:v>47362</c:v>
                </c:pt>
                <c:pt idx="33">
                  <c:v>47392</c:v>
                </c:pt>
                <c:pt idx="34">
                  <c:v>47423</c:v>
                </c:pt>
                <c:pt idx="35">
                  <c:v>47453</c:v>
                </c:pt>
              </c:numCache>
            </c:numRef>
          </c:cat>
          <c:val>
            <c:numRef>
              <c:f>'Proiecție 36 de luni'!$D$12:$AM$12</c:f>
              <c:numCache>
                <c:formatCode>#,##0</c:formatCode>
                <c:ptCount val="36"/>
                <c:pt idx="0">
                  <c:v>22100</c:v>
                </c:pt>
                <c:pt idx="1">
                  <c:v>26520</c:v>
                </c:pt>
                <c:pt idx="2">
                  <c:v>34580</c:v>
                </c:pt>
                <c:pt idx="3">
                  <c:v>41600</c:v>
                </c:pt>
                <c:pt idx="4">
                  <c:v>49140</c:v>
                </c:pt>
                <c:pt idx="5">
                  <c:v>54600</c:v>
                </c:pt>
                <c:pt idx="6">
                  <c:v>46800</c:v>
                </c:pt>
                <c:pt idx="7">
                  <c:v>44200</c:v>
                </c:pt>
                <c:pt idx="8">
                  <c:v>54600</c:v>
                </c:pt>
                <c:pt idx="9">
                  <c:v>57200</c:v>
                </c:pt>
                <c:pt idx="10">
                  <c:v>57200</c:v>
                </c:pt>
                <c:pt idx="11">
                  <c:v>59800</c:v>
                </c:pt>
                <c:pt idx="12">
                  <c:v>48620</c:v>
                </c:pt>
                <c:pt idx="13">
                  <c:v>48620</c:v>
                </c:pt>
                <c:pt idx="14">
                  <c:v>54340</c:v>
                </c:pt>
                <c:pt idx="15">
                  <c:v>57200</c:v>
                </c:pt>
                <c:pt idx="16">
                  <c:v>60060</c:v>
                </c:pt>
                <c:pt idx="17">
                  <c:v>60060</c:v>
                </c:pt>
                <c:pt idx="18">
                  <c:v>51480</c:v>
                </c:pt>
                <c:pt idx="19">
                  <c:v>48620</c:v>
                </c:pt>
                <c:pt idx="20">
                  <c:v>60060</c:v>
                </c:pt>
                <c:pt idx="21">
                  <c:v>62920</c:v>
                </c:pt>
                <c:pt idx="22">
                  <c:v>62920</c:v>
                </c:pt>
                <c:pt idx="23">
                  <c:v>65780</c:v>
                </c:pt>
                <c:pt idx="24">
                  <c:v>52509.599999999999</c:v>
                </c:pt>
                <c:pt idx="25">
                  <c:v>52509.599999999999</c:v>
                </c:pt>
                <c:pt idx="26">
                  <c:v>58687.199999999997</c:v>
                </c:pt>
                <c:pt idx="27">
                  <c:v>61776</c:v>
                </c:pt>
                <c:pt idx="28">
                  <c:v>64864.800000000003</c:v>
                </c:pt>
                <c:pt idx="29">
                  <c:v>64864.800000000003</c:v>
                </c:pt>
                <c:pt idx="30">
                  <c:v>55598.400000000001</c:v>
                </c:pt>
                <c:pt idx="31">
                  <c:v>52509.599999999999</c:v>
                </c:pt>
                <c:pt idx="32">
                  <c:v>64864.800000000003</c:v>
                </c:pt>
                <c:pt idx="33">
                  <c:v>67953.600000000006</c:v>
                </c:pt>
                <c:pt idx="34">
                  <c:v>67953.600000000006</c:v>
                </c:pt>
                <c:pt idx="35">
                  <c:v>71042.399999999994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C6-4B78-93D9-64946F77B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2837632"/>
        <c:axId val="582840152"/>
      </c:barChart>
      <c:lineChart>
        <c:grouping val="standard"/>
        <c:varyColors val="0"/>
        <c:ser>
          <c:idx val="1"/>
          <c:order val="1"/>
          <c:tx>
            <c:v>Sold de numerar</c:v>
          </c:tx>
          <c:spPr>
            <a:ln>
              <a:solidFill>
                <a:srgbClr val="C06000"/>
              </a:solidFill>
            </a:ln>
          </c:spPr>
          <c:marker>
            <c:symbol val="none"/>
          </c:marker>
          <c:val>
            <c:numRef>
              <c:f>'Proiecție 36 de luni'!$D$26:$AM$26</c:f>
              <c:numCache>
                <c:formatCode>#,##0</c:formatCode>
                <c:ptCount val="36"/>
                <c:pt idx="0">
                  <c:v>5184.67</c:v>
                </c:pt>
                <c:pt idx="1">
                  <c:v>-6778.989999999998</c:v>
                </c:pt>
                <c:pt idx="2">
                  <c:v>-13542.56</c:v>
                </c:pt>
                <c:pt idx="3">
                  <c:v>-15777.019999999999</c:v>
                </c:pt>
                <c:pt idx="4">
                  <c:v>-13146.879999999996</c:v>
                </c:pt>
                <c:pt idx="5">
                  <c:v>-6994.0899999999992</c:v>
                </c:pt>
                <c:pt idx="6">
                  <c:v>-5873.6500000000005</c:v>
                </c:pt>
                <c:pt idx="7">
                  <c:v>-6430.6599999999989</c:v>
                </c:pt>
                <c:pt idx="8">
                  <c:v>-277.87000000000171</c:v>
                </c:pt>
                <c:pt idx="9">
                  <c:v>7552.37</c:v>
                </c:pt>
                <c:pt idx="10">
                  <c:v>15382.619999999999</c:v>
                </c:pt>
                <c:pt idx="11">
                  <c:v>24649.079999999998</c:v>
                </c:pt>
                <c:pt idx="12">
                  <c:v>25561.85</c:v>
                </c:pt>
                <c:pt idx="13">
                  <c:v>26474.62</c:v>
                </c:pt>
                <c:pt idx="14">
                  <c:v>31077.780000000002</c:v>
                </c:pt>
                <c:pt idx="15">
                  <c:v>37526.15</c:v>
                </c:pt>
                <c:pt idx="16">
                  <c:v>45819.700000000004</c:v>
                </c:pt>
                <c:pt idx="17">
                  <c:v>54113.260000000009</c:v>
                </c:pt>
                <c:pt idx="18">
                  <c:v>56871.240000000013</c:v>
                </c:pt>
                <c:pt idx="19">
                  <c:v>57784.010000000009</c:v>
                </c:pt>
                <c:pt idx="20">
                  <c:v>66077.570000000007</c:v>
                </c:pt>
                <c:pt idx="21">
                  <c:v>76216.33</c:v>
                </c:pt>
                <c:pt idx="22">
                  <c:v>86355.079999999987</c:v>
                </c:pt>
                <c:pt idx="23">
                  <c:v>86923.9</c:v>
                </c:pt>
                <c:pt idx="24">
                  <c:v>88895.189999999988</c:v>
                </c:pt>
                <c:pt idx="25">
                  <c:v>90866.479999999981</c:v>
                </c:pt>
                <c:pt idx="26">
                  <c:v>96823.379999999976</c:v>
                </c:pt>
                <c:pt idx="27">
                  <c:v>104773.08999999997</c:v>
                </c:pt>
                <c:pt idx="28">
                  <c:v>114715.60999999997</c:v>
                </c:pt>
                <c:pt idx="29">
                  <c:v>124658.12999999998</c:v>
                </c:pt>
                <c:pt idx="30">
                  <c:v>128622.21999999997</c:v>
                </c:pt>
                <c:pt idx="31">
                  <c:v>130593.49999999997</c:v>
                </c:pt>
                <c:pt idx="32">
                  <c:v>140536.01999999996</c:v>
                </c:pt>
                <c:pt idx="33">
                  <c:v>152471.35999999996</c:v>
                </c:pt>
                <c:pt idx="34">
                  <c:v>164406.69999999995</c:v>
                </c:pt>
                <c:pt idx="35">
                  <c:v>163903.74999999994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C6-4B78-93D9-64946F77B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433944"/>
        <c:axId val="583433584"/>
      </c:lineChart>
      <c:dateAx>
        <c:axId val="582837632"/>
        <c:scaling>
          <c:orientation val="minMax"/>
        </c:scaling>
        <c:delete val="0"/>
        <c:axPos val="b"/>
        <c:numFmt formatCode="[$-418]mmm\ yy" sourceLinked="0"/>
        <c:majorTickMark val="out"/>
        <c:minorTickMark val="none"/>
        <c:tickLblPos val="nextTo"/>
        <c:crossAx val="582840152"/>
        <c:crosses val="autoZero"/>
        <c:auto val="1"/>
        <c:lblOffset val="100"/>
        <c:baseTimeUnit val="months"/>
      </c:dateAx>
      <c:valAx>
        <c:axId val="582840152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582837632"/>
        <c:crosses val="autoZero"/>
        <c:crossBetween val="between"/>
      </c:valAx>
      <c:valAx>
        <c:axId val="583433584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crossAx val="583433944"/>
        <c:crosses val="max"/>
        <c:crossBetween val="between"/>
      </c:valAx>
      <c:catAx>
        <c:axId val="583433944"/>
        <c:scaling>
          <c:orientation val="minMax"/>
        </c:scaling>
        <c:delete val="1"/>
        <c:axPos val="b"/>
        <c:majorTickMark val="out"/>
        <c:minorTickMark val="none"/>
        <c:tickLblPos val="nextTo"/>
        <c:crossAx val="58343358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11</xdr:col>
      <xdr:colOff>508000</xdr:colOff>
      <xdr:row>35</xdr:row>
      <xdr:rowOff>98425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E1204E2-FBFA-98ED-ADA4-331CE9F377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plan-de-afaceri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A1042-306D-419F-B8FD-E3342505109B}">
  <sheetPr>
    <pageSetUpPr fitToPage="1"/>
  </sheetPr>
  <dimension ref="B1:ZZ1000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13" width="10.28515625" style="1" customWidth="1"/>
    <col min="14" max="16384" width="11.42578125" style="1"/>
  </cols>
  <sheetData>
    <row r="1" spans="2:13" ht="21" x14ac:dyDescent="0.35">
      <c r="B1" s="2" t="str">
        <f>"Plan de afaceri – "&amp;Firma</f>
        <v>Plan de afaceri – Cafeneaua din Colț SRL</v>
      </c>
    </row>
    <row r="2" spans="2:13" x14ac:dyDescent="0.2">
      <c r="B2" s="30" t="str">
        <f>Activ&amp;"   ·   începere: "&amp;RIGHT("0"&amp;DAY(Start),2)&amp;"."&amp;RIGHT("0"&amp;MONTH(Start),2)&amp;"."&amp;YEAR(Start)&amp;"   ·   scenariu: "&amp;Scenariu</f>
        <v>Cafenea de cartier cu cafea de specialitate, patiserie și sandvișuri   ·   începere: 01.01.2027   ·   scenariu: Realist</v>
      </c>
    </row>
    <row r="4" spans="2:13" ht="26.1" customHeight="1" x14ac:dyDescent="0.2">
      <c r="B4" s="46" t="s">
        <v>133</v>
      </c>
      <c r="C4" s="47"/>
      <c r="D4" s="46" t="s">
        <v>125</v>
      </c>
      <c r="E4" s="47"/>
      <c r="F4" s="46" t="s">
        <v>128</v>
      </c>
      <c r="G4" s="47"/>
      <c r="H4" s="46" t="s">
        <v>130</v>
      </c>
      <c r="I4" s="47"/>
      <c r="J4" s="46" t="s">
        <v>134</v>
      </c>
      <c r="K4" s="47"/>
      <c r="L4" s="46" t="s">
        <v>135</v>
      </c>
      <c r="M4" s="47"/>
    </row>
    <row r="5" spans="2:13" ht="26.1" customHeight="1" x14ac:dyDescent="0.3">
      <c r="B5" s="48">
        <f>TotalInv</f>
        <v>110000</v>
      </c>
      <c r="C5" s="51"/>
      <c r="D5" s="48">
        <f>'Proiecție 36 de luni'!$AO$12</f>
        <v>548340</v>
      </c>
      <c r="E5" s="49"/>
      <c r="F5" s="48">
        <f>'Proiecție 36 de luni'!$AO$22</f>
        <v>1266.4600000000082</v>
      </c>
      <c r="G5" s="49"/>
      <c r="H5" s="48">
        <f>'Proiecție 36 de luni'!$AQ$22</f>
        <v>75763.280000000013</v>
      </c>
      <c r="I5" s="49"/>
      <c r="J5" s="50" t="str">
        <f>IFERROR("luna "&amp;MATCH(TRUE,INDEX('Proiecție 36 de luni'!$D$20:$AM$20&gt;0,0),0),"peste 36 de luni")</f>
        <v>luna 5</v>
      </c>
      <c r="K5" s="51"/>
      <c r="L5" s="50" t="str">
        <f>IFERROR("luna "&amp;MATCH(TRUE,INDEX('Proiecție 36 de luni'!$D$27:$AM$27&gt;=TotalInv,0),0),"peste 36 de luni")</f>
        <v>luna 28</v>
      </c>
      <c r="M5" s="51"/>
    </row>
    <row r="7" spans="2:13" ht="30" customHeight="1" x14ac:dyDescent="0.2">
      <c r="B7" s="42" t="str">
        <f>IF(MIN('Proiecție 36 de luni'!$D$26:$AM$26)&lt;0,"Atenție: numerarul scade sub zero (minim "&amp;TEXT(MIN('Proiecție 36 de luni'!$D$26:$AM$26),"#.##0")&amp;" lei în luna "&amp;MATCH(MIN('Proiecție 36 de luni'!$D$26:$AM$26),'Proiecție 36 de luni'!$D$26:$AM$26,0)&amp;"). Mărește capitalul, creditul sau fondul de rulment.","Numerarul rămâne pozitiv pe tot parcursul celor 36 de luni (minim "&amp;TEXT(MIN('Proiecție 36 de luni'!$D$26:$AM$26),"#.##0")&amp;" lei în luna "&amp;MATCH(MIN('Proiecție 36 de luni'!$D$26:$AM$26),'Proiecție 36 de luni'!$D$26:$AM$26,0)&amp;").")</f>
        <v>Atenție: numerarul scade sub zero (minim -15.777 lei în luna 4). Mărește capitalul, creditul sau fondul de rulment.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</row>
    <row r="8" spans="2:13" x14ac:dyDescent="0.2">
      <c r="B8" s="44" t="str">
        <f>"Punct de echilibru: vânzări de "&amp;TEXT(Scenarii!$C$13,"#.##0")&amp;" lei pe lună în anul 1 acoperă toate costurile."</f>
        <v>Punct de echilibru: vânzări de 45.500 lei pe lună în anul 1 acoperă toate costurile.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</row>
    <row r="10" spans="2:13" ht="30" customHeight="1" x14ac:dyDescent="0.2">
      <c r="B10" s="38" t="s">
        <v>136</v>
      </c>
      <c r="C10" s="39"/>
      <c r="D10" s="40" t="s">
        <v>137</v>
      </c>
      <c r="E10" s="41"/>
      <c r="F10" s="41"/>
      <c r="G10" s="41"/>
      <c r="H10" s="41"/>
      <c r="I10" s="41"/>
      <c r="J10" s="41"/>
      <c r="K10" s="41"/>
      <c r="L10" s="41"/>
      <c r="M10" s="41"/>
    </row>
    <row r="11" spans="2:13" ht="30" customHeight="1" x14ac:dyDescent="0.2">
      <c r="B11" s="38" t="s">
        <v>138</v>
      </c>
      <c r="C11" s="39"/>
      <c r="D11" s="40" t="s">
        <v>139</v>
      </c>
      <c r="E11" s="41"/>
      <c r="F11" s="41"/>
      <c r="G11" s="41"/>
      <c r="H11" s="41"/>
      <c r="I11" s="41"/>
      <c r="J11" s="41"/>
      <c r="K11" s="41"/>
      <c r="L11" s="41"/>
      <c r="M11" s="41"/>
    </row>
    <row r="12" spans="2:13" ht="30" customHeight="1" x14ac:dyDescent="0.2">
      <c r="B12" s="38" t="s">
        <v>140</v>
      </c>
      <c r="C12" s="39"/>
      <c r="D12" s="40" t="s">
        <v>141</v>
      </c>
      <c r="E12" s="41"/>
      <c r="F12" s="41"/>
      <c r="G12" s="41"/>
      <c r="H12" s="41"/>
      <c r="I12" s="41"/>
      <c r="J12" s="41"/>
      <c r="K12" s="41"/>
      <c r="L12" s="41"/>
      <c r="M12" s="41"/>
    </row>
    <row r="13" spans="2:13" ht="30" customHeight="1" x14ac:dyDescent="0.2">
      <c r="B13" s="38" t="s">
        <v>142</v>
      </c>
      <c r="C13" s="39"/>
      <c r="D13" s="40" t="s">
        <v>143</v>
      </c>
      <c r="E13" s="41"/>
      <c r="F13" s="41"/>
      <c r="G13" s="41"/>
      <c r="H13" s="41"/>
      <c r="I13" s="41"/>
      <c r="J13" s="41"/>
      <c r="K13" s="41"/>
      <c r="L13" s="41"/>
      <c r="M13" s="41"/>
    </row>
    <row r="14" spans="2:13" ht="30" customHeight="1" x14ac:dyDescent="0.2">
      <c r="B14" s="38" t="s">
        <v>144</v>
      </c>
      <c r="C14" s="39"/>
      <c r="D14" s="40" t="s">
        <v>145</v>
      </c>
      <c r="E14" s="41"/>
      <c r="F14" s="41"/>
      <c r="G14" s="41"/>
      <c r="H14" s="41"/>
      <c r="I14" s="41"/>
      <c r="J14" s="41"/>
      <c r="K14" s="41"/>
      <c r="L14" s="41"/>
      <c r="M14" s="41"/>
    </row>
    <row r="15" spans="2:13" ht="30" customHeight="1" x14ac:dyDescent="0.2">
      <c r="B15" s="38" t="s">
        <v>146</v>
      </c>
      <c r="C15" s="39"/>
      <c r="D15" s="40" t="s">
        <v>147</v>
      </c>
      <c r="E15" s="41"/>
      <c r="F15" s="41"/>
      <c r="G15" s="41"/>
      <c r="H15" s="41"/>
      <c r="I15" s="41"/>
      <c r="J15" s="41"/>
      <c r="K15" s="41"/>
      <c r="L15" s="41"/>
      <c r="M15" s="41"/>
    </row>
    <row r="1000" spans="702:702" ht="15" x14ac:dyDescent="0.25">
      <c r="ZZ1000"/>
    </row>
  </sheetData>
  <mergeCells count="26">
    <mergeCell ref="B4:C4"/>
    <mergeCell ref="B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B7:M7"/>
    <mergeCell ref="B8:M8"/>
    <mergeCell ref="B10:C10"/>
    <mergeCell ref="D10:M10"/>
    <mergeCell ref="B11:C11"/>
    <mergeCell ref="D11:M11"/>
    <mergeCell ref="B15:C15"/>
    <mergeCell ref="D15:M15"/>
    <mergeCell ref="B12:C12"/>
    <mergeCell ref="D12:M12"/>
    <mergeCell ref="B13:C13"/>
    <mergeCell ref="D13:M13"/>
    <mergeCell ref="B14:C14"/>
    <mergeCell ref="D14:M14"/>
  </mergeCells>
  <printOptions horizontalCentered="1"/>
  <pageMargins left="0.7" right="0.7" top="0.75" bottom="0.75" header="0.3" footer="0.3"/>
  <pageSetup scale="71" orientation="portrait" r:id="rId1"/>
  <headerFooter>
    <oddFooter>&amp;Cmodelexcel.ro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3C43152B-7CF6-4653-90E4-721D4839D6CD}">
            <xm:f>MIN('Proiecție 36 de luni'!$D$26:$AM$26)&lt;0</xm:f>
            <x14:dxf>
              <font>
                <color rgb="FFB4322A"/>
              </font>
            </x14:dxf>
          </x14:cfRule>
          <xm:sqref>B7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FC15F-D200-448F-857D-F9315402B5AD}">
  <dimension ref="B1:H19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36.7109375" style="1" customWidth="1"/>
    <col min="3" max="3" width="14.7109375" style="1" customWidth="1"/>
    <col min="4" max="4" width="12.7109375" style="1" customWidth="1"/>
    <col min="5" max="5" width="13.7109375" style="1" customWidth="1"/>
    <col min="6" max="6" width="3.7109375" style="1" customWidth="1"/>
    <col min="7" max="7" width="36.7109375" style="1" customWidth="1"/>
    <col min="8" max="8" width="14.7109375" style="1" customWidth="1"/>
    <col min="9" max="16384" width="11.42578125" style="1"/>
  </cols>
  <sheetData>
    <row r="1" spans="2:8" ht="21" x14ac:dyDescent="0.35">
      <c r="B1" s="2" t="s">
        <v>42</v>
      </c>
    </row>
    <row r="2" spans="2:8" x14ac:dyDescent="0.2">
      <c r="B2" s="3" t="s">
        <v>43</v>
      </c>
    </row>
    <row r="4" spans="2:8" ht="30" customHeight="1" x14ac:dyDescent="0.2">
      <c r="B4" s="10" t="s">
        <v>44</v>
      </c>
      <c r="C4" s="10" t="s">
        <v>45</v>
      </c>
      <c r="D4" s="10" t="s">
        <v>46</v>
      </c>
      <c r="E4" s="10" t="s">
        <v>47</v>
      </c>
      <c r="G4" s="10" t="s">
        <v>57</v>
      </c>
      <c r="H4" s="10" t="s">
        <v>58</v>
      </c>
    </row>
    <row r="5" spans="2:8" x14ac:dyDescent="0.2">
      <c r="B5" s="15" t="s">
        <v>48</v>
      </c>
      <c r="C5" s="16">
        <v>28000</v>
      </c>
      <c r="D5" s="17">
        <v>5</v>
      </c>
      <c r="E5" s="18">
        <f t="shared" ref="E5:E18" si="0">IF(N(D5)&gt;0,ROUND(C5/(D5*12),2),"")</f>
        <v>466.67</v>
      </c>
      <c r="G5" s="25" t="s">
        <v>59</v>
      </c>
      <c r="H5" s="16">
        <v>60000</v>
      </c>
    </row>
    <row r="6" spans="2:8" x14ac:dyDescent="0.2">
      <c r="B6" s="15" t="s">
        <v>49</v>
      </c>
      <c r="C6" s="16">
        <v>6500</v>
      </c>
      <c r="D6" s="17">
        <v>5</v>
      </c>
      <c r="E6" s="18">
        <f t="shared" si="0"/>
        <v>108.33</v>
      </c>
      <c r="G6" s="25" t="s">
        <v>60</v>
      </c>
      <c r="H6" s="16">
        <v>70000</v>
      </c>
    </row>
    <row r="7" spans="2:8" x14ac:dyDescent="0.2">
      <c r="B7" s="15" t="s">
        <v>50</v>
      </c>
      <c r="C7" s="16">
        <v>42000</v>
      </c>
      <c r="D7" s="17">
        <v>8</v>
      </c>
      <c r="E7" s="18">
        <f t="shared" si="0"/>
        <v>437.5</v>
      </c>
      <c r="G7" s="25" t="s">
        <v>61</v>
      </c>
      <c r="H7" s="22">
        <v>8.5000000000000006E-2</v>
      </c>
    </row>
    <row r="8" spans="2:8" x14ac:dyDescent="0.2">
      <c r="B8" s="15" t="s">
        <v>51</v>
      </c>
      <c r="C8" s="16">
        <v>9000</v>
      </c>
      <c r="D8" s="17">
        <v>5</v>
      </c>
      <c r="E8" s="18">
        <f t="shared" si="0"/>
        <v>150</v>
      </c>
      <c r="G8" s="25" t="s">
        <v>62</v>
      </c>
      <c r="H8" s="15">
        <v>5</v>
      </c>
    </row>
    <row r="9" spans="2:8" x14ac:dyDescent="0.2">
      <c r="B9" s="15" t="s">
        <v>52</v>
      </c>
      <c r="C9" s="16">
        <v>3500</v>
      </c>
      <c r="D9" s="17">
        <v>3</v>
      </c>
      <c r="E9" s="18">
        <f t="shared" si="0"/>
        <v>97.22</v>
      </c>
      <c r="G9" s="25"/>
      <c r="H9" s="11"/>
    </row>
    <row r="10" spans="2:8" x14ac:dyDescent="0.2">
      <c r="B10" s="15" t="s">
        <v>53</v>
      </c>
      <c r="C10" s="16">
        <v>6000</v>
      </c>
      <c r="D10" s="17"/>
      <c r="E10" s="18" t="str">
        <f t="shared" si="0"/>
        <v/>
      </c>
      <c r="G10" s="25"/>
      <c r="H10" s="11"/>
    </row>
    <row r="11" spans="2:8" x14ac:dyDescent="0.2">
      <c r="B11" s="15" t="s">
        <v>54</v>
      </c>
      <c r="C11" s="16">
        <v>8000</v>
      </c>
      <c r="D11" s="17"/>
      <c r="E11" s="18" t="str">
        <f t="shared" si="0"/>
        <v/>
      </c>
      <c r="G11" s="5" t="s">
        <v>63</v>
      </c>
      <c r="H11" s="24">
        <f>IF(N(Credit)=0,0,ROUND(PMT(Dobanda/12,AniCredit*12,-Credit),2))</f>
        <v>1436.16</v>
      </c>
    </row>
    <row r="12" spans="2:8" x14ac:dyDescent="0.2">
      <c r="B12" s="15" t="s">
        <v>55</v>
      </c>
      <c r="C12" s="16">
        <v>7000</v>
      </c>
      <c r="D12" s="17"/>
      <c r="E12" s="18" t="str">
        <f t="shared" si="0"/>
        <v/>
      </c>
      <c r="G12" s="5" t="s">
        <v>64</v>
      </c>
      <c r="H12" s="24">
        <f>Capital+Credit</f>
        <v>130000</v>
      </c>
    </row>
    <row r="13" spans="2:8" ht="25.5" x14ac:dyDescent="0.2">
      <c r="B13" s="15"/>
      <c r="C13" s="16"/>
      <c r="D13" s="17"/>
      <c r="E13" s="18" t="str">
        <f t="shared" si="0"/>
        <v/>
      </c>
      <c r="G13" s="26" t="s">
        <v>65</v>
      </c>
      <c r="H13" s="21">
        <f>Capital+Credit-TotalInv</f>
        <v>20000</v>
      </c>
    </row>
    <row r="14" spans="2:8" x14ac:dyDescent="0.2">
      <c r="B14" s="15"/>
      <c r="C14" s="16"/>
      <c r="D14" s="17"/>
      <c r="E14" s="18" t="str">
        <f t="shared" si="0"/>
        <v/>
      </c>
    </row>
    <row r="15" spans="2:8" ht="54" customHeight="1" x14ac:dyDescent="0.2">
      <c r="B15" s="15"/>
      <c r="C15" s="16"/>
      <c r="D15" s="17"/>
      <c r="E15" s="18" t="str">
        <f t="shared" si="0"/>
        <v/>
      </c>
      <c r="G15" s="52" t="s">
        <v>66</v>
      </c>
      <c r="H15" s="53"/>
    </row>
    <row r="16" spans="2:8" x14ac:dyDescent="0.2">
      <c r="B16" s="15"/>
      <c r="C16" s="16"/>
      <c r="D16" s="17"/>
      <c r="E16" s="18" t="str">
        <f t="shared" si="0"/>
        <v/>
      </c>
    </row>
    <row r="17" spans="2:5" x14ac:dyDescent="0.2">
      <c r="B17" s="15"/>
      <c r="C17" s="16"/>
      <c r="D17" s="17"/>
      <c r="E17" s="18" t="str">
        <f t="shared" si="0"/>
        <v/>
      </c>
    </row>
    <row r="18" spans="2:5" x14ac:dyDescent="0.2">
      <c r="B18" s="15"/>
      <c r="C18" s="16"/>
      <c r="D18" s="17"/>
      <c r="E18" s="18" t="str">
        <f t="shared" si="0"/>
        <v/>
      </c>
    </row>
    <row r="19" spans="2:5" x14ac:dyDescent="0.2">
      <c r="B19" s="19" t="s">
        <v>56</v>
      </c>
      <c r="C19" s="20">
        <f>SUM(C5:C18)</f>
        <v>110000</v>
      </c>
      <c r="D19" s="19"/>
      <c r="E19" s="21">
        <f>SUM(E5:E18)</f>
        <v>1259.72</v>
      </c>
    </row>
  </sheetData>
  <mergeCells count="1">
    <mergeCell ref="G15:H15"/>
  </mergeCells>
  <conditionalFormatting sqref="H13">
    <cfRule type="cellIs" dxfId="2" priority="1" stopIfTrue="1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BC61C-DBD0-4A7B-A935-BC8408B5B91B}">
  <dimension ref="B1:G15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38.7109375" style="1" customWidth="1"/>
    <col min="3" max="3" width="12.7109375" style="1" customWidth="1"/>
    <col min="4" max="4" width="13.7109375" style="1" customWidth="1"/>
    <col min="5" max="5" width="14.7109375" style="1" customWidth="1"/>
    <col min="6" max="6" width="12.7109375" style="1" customWidth="1"/>
    <col min="7" max="7" width="14.7109375" style="1" customWidth="1"/>
    <col min="8" max="16384" width="11.42578125" style="1"/>
  </cols>
  <sheetData>
    <row r="1" spans="2:7" ht="21" x14ac:dyDescent="0.35">
      <c r="B1" s="2" t="s">
        <v>67</v>
      </c>
    </row>
    <row r="2" spans="2:7" x14ac:dyDescent="0.2">
      <c r="B2" s="3" t="s">
        <v>68</v>
      </c>
    </row>
    <row r="4" spans="2:7" ht="30" customHeight="1" x14ac:dyDescent="0.2">
      <c r="B4" s="10" t="s">
        <v>69</v>
      </c>
      <c r="C4" s="10" t="s">
        <v>70</v>
      </c>
      <c r="D4" s="10" t="s">
        <v>71</v>
      </c>
      <c r="E4" s="10" t="s">
        <v>72</v>
      </c>
      <c r="F4" s="10" t="s">
        <v>73</v>
      </c>
      <c r="G4" s="10" t="s">
        <v>74</v>
      </c>
    </row>
    <row r="5" spans="2:7" x14ac:dyDescent="0.2">
      <c r="B5" s="15" t="s">
        <v>75</v>
      </c>
      <c r="C5" s="27">
        <v>9.5</v>
      </c>
      <c r="D5" s="16">
        <v>2400</v>
      </c>
      <c r="E5" s="28">
        <f t="shared" ref="E5:E12" si="0">IF(B5="","",ROUND(N(C5)*N(D5),2))</f>
        <v>22800</v>
      </c>
      <c r="F5" s="12">
        <v>0.22</v>
      </c>
      <c r="G5" s="28">
        <f t="shared" ref="G5:G12" si="1">IF(B5="","",ROUND(E5*(1-N(F5)),2))</f>
        <v>17784</v>
      </c>
    </row>
    <row r="6" spans="2:7" x14ac:dyDescent="0.2">
      <c r="B6" s="15" t="s">
        <v>76</v>
      </c>
      <c r="C6" s="27">
        <v>11</v>
      </c>
      <c r="D6" s="16">
        <v>700</v>
      </c>
      <c r="E6" s="28">
        <f t="shared" si="0"/>
        <v>7700</v>
      </c>
      <c r="F6" s="12">
        <v>0.3</v>
      </c>
      <c r="G6" s="28">
        <f t="shared" si="1"/>
        <v>5390</v>
      </c>
    </row>
    <row r="7" spans="2:7" x14ac:dyDescent="0.2">
      <c r="B7" s="15" t="s">
        <v>77</v>
      </c>
      <c r="C7" s="27">
        <v>12</v>
      </c>
      <c r="D7" s="16">
        <v>900</v>
      </c>
      <c r="E7" s="28">
        <f t="shared" si="0"/>
        <v>10800</v>
      </c>
      <c r="F7" s="12">
        <v>0.45</v>
      </c>
      <c r="G7" s="28">
        <f t="shared" si="1"/>
        <v>5940</v>
      </c>
    </row>
    <row r="8" spans="2:7" x14ac:dyDescent="0.2">
      <c r="B8" s="15" t="s">
        <v>78</v>
      </c>
      <c r="C8" s="27">
        <v>16</v>
      </c>
      <c r="D8" s="16">
        <v>500</v>
      </c>
      <c r="E8" s="28">
        <f t="shared" si="0"/>
        <v>8000</v>
      </c>
      <c r="F8" s="12">
        <v>0.5</v>
      </c>
      <c r="G8" s="28">
        <f t="shared" si="1"/>
        <v>4000</v>
      </c>
    </row>
    <row r="9" spans="2:7" x14ac:dyDescent="0.2">
      <c r="B9" s="15" t="s">
        <v>79</v>
      </c>
      <c r="C9" s="27">
        <v>45</v>
      </c>
      <c r="D9" s="16">
        <v>60</v>
      </c>
      <c r="E9" s="28">
        <f t="shared" si="0"/>
        <v>2700</v>
      </c>
      <c r="F9" s="12">
        <v>0.55000000000000004</v>
      </c>
      <c r="G9" s="28">
        <f t="shared" si="1"/>
        <v>1215</v>
      </c>
    </row>
    <row r="10" spans="2:7" x14ac:dyDescent="0.2">
      <c r="B10" s="15"/>
      <c r="C10" s="27"/>
      <c r="D10" s="16"/>
      <c r="E10" s="28" t="str">
        <f t="shared" si="0"/>
        <v/>
      </c>
      <c r="F10" s="12"/>
      <c r="G10" s="28" t="str">
        <f t="shared" si="1"/>
        <v/>
      </c>
    </row>
    <row r="11" spans="2:7" x14ac:dyDescent="0.2">
      <c r="B11" s="15"/>
      <c r="C11" s="27"/>
      <c r="D11" s="16"/>
      <c r="E11" s="28" t="str">
        <f t="shared" si="0"/>
        <v/>
      </c>
      <c r="F11" s="12"/>
      <c r="G11" s="28" t="str">
        <f t="shared" si="1"/>
        <v/>
      </c>
    </row>
    <row r="12" spans="2:7" x14ac:dyDescent="0.2">
      <c r="B12" s="15"/>
      <c r="C12" s="27"/>
      <c r="D12" s="16"/>
      <c r="E12" s="28" t="str">
        <f t="shared" si="0"/>
        <v/>
      </c>
      <c r="F12" s="12"/>
      <c r="G12" s="28" t="str">
        <f t="shared" si="1"/>
        <v/>
      </c>
    </row>
    <row r="13" spans="2:7" x14ac:dyDescent="0.2">
      <c r="B13" s="19" t="s">
        <v>80</v>
      </c>
      <c r="C13" s="19"/>
      <c r="D13" s="19"/>
      <c r="E13" s="20">
        <f>SUM(E5:E12)</f>
        <v>52000</v>
      </c>
      <c r="F13" s="29">
        <f>IF(E13=0,0,1-G13/E13)</f>
        <v>0.33982692307692308</v>
      </c>
      <c r="G13" s="20">
        <f>SUM(G5:G12)</f>
        <v>34329</v>
      </c>
    </row>
    <row r="15" spans="2:7" ht="30" customHeight="1" x14ac:dyDescent="0.2">
      <c r="B15" s="54" t="s">
        <v>81</v>
      </c>
      <c r="C15" s="43"/>
      <c r="D15" s="43"/>
      <c r="E15" s="43"/>
      <c r="F15" s="43"/>
      <c r="G15" s="43"/>
    </row>
  </sheetData>
  <mergeCells count="1">
    <mergeCell ref="B15:G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5E69A-42AD-433C-92B2-B29B5A5D54DE}">
  <dimension ref="B1:D18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36.7109375" style="1" customWidth="1"/>
    <col min="3" max="3" width="16.7109375" style="1" customWidth="1"/>
    <col min="4" max="4" width="44.7109375" style="1" customWidth="1"/>
    <col min="5" max="16384" width="11.42578125" style="1"/>
  </cols>
  <sheetData>
    <row r="1" spans="2:4" ht="21" x14ac:dyDescent="0.35">
      <c r="B1" s="2" t="s">
        <v>82</v>
      </c>
    </row>
    <row r="2" spans="2:4" x14ac:dyDescent="0.2">
      <c r="B2" s="3" t="s">
        <v>83</v>
      </c>
    </row>
    <row r="4" spans="2:4" ht="25.5" x14ac:dyDescent="0.2">
      <c r="B4" s="10" t="s">
        <v>84</v>
      </c>
      <c r="C4" s="10" t="s">
        <v>85</v>
      </c>
      <c r="D4" s="10" t="s">
        <v>86</v>
      </c>
    </row>
    <row r="5" spans="2:4" x14ac:dyDescent="0.2">
      <c r="B5" s="15" t="s">
        <v>87</v>
      </c>
      <c r="C5" s="16">
        <v>6500</v>
      </c>
      <c r="D5" s="15" t="s">
        <v>88</v>
      </c>
    </row>
    <row r="6" spans="2:4" x14ac:dyDescent="0.2">
      <c r="B6" s="15" t="s">
        <v>89</v>
      </c>
      <c r="C6" s="16">
        <v>15000</v>
      </c>
      <c r="D6" s="15" t="s">
        <v>90</v>
      </c>
    </row>
    <row r="7" spans="2:4" x14ac:dyDescent="0.2">
      <c r="B7" s="15" t="s">
        <v>91</v>
      </c>
      <c r="C7" s="16">
        <v>2200</v>
      </c>
      <c r="D7" s="15"/>
    </row>
    <row r="8" spans="2:4" x14ac:dyDescent="0.2">
      <c r="B8" s="15" t="s">
        <v>92</v>
      </c>
      <c r="C8" s="16">
        <v>800</v>
      </c>
      <c r="D8" s="15"/>
    </row>
    <row r="9" spans="2:4" x14ac:dyDescent="0.2">
      <c r="B9" s="15" t="s">
        <v>93</v>
      </c>
      <c r="C9" s="16">
        <v>1500</v>
      </c>
      <c r="D9" s="15"/>
    </row>
    <row r="10" spans="2:4" x14ac:dyDescent="0.2">
      <c r="B10" s="15" t="s">
        <v>94</v>
      </c>
      <c r="C10" s="16">
        <v>900</v>
      </c>
      <c r="D10" s="15"/>
    </row>
    <row r="11" spans="2:4" x14ac:dyDescent="0.2">
      <c r="B11" s="15" t="s">
        <v>95</v>
      </c>
      <c r="C11" s="16">
        <v>400</v>
      </c>
      <c r="D11" s="15"/>
    </row>
    <row r="12" spans="2:4" x14ac:dyDescent="0.2">
      <c r="B12" s="15"/>
      <c r="C12" s="16"/>
      <c r="D12" s="15"/>
    </row>
    <row r="13" spans="2:4" x14ac:dyDescent="0.2">
      <c r="B13" s="15"/>
      <c r="C13" s="16"/>
      <c r="D13" s="15"/>
    </row>
    <row r="14" spans="2:4" x14ac:dyDescent="0.2">
      <c r="B14" s="15"/>
      <c r="C14" s="16"/>
      <c r="D14" s="15"/>
    </row>
    <row r="15" spans="2:4" x14ac:dyDescent="0.2">
      <c r="B15" s="15"/>
      <c r="C15" s="16"/>
      <c r="D15" s="15"/>
    </row>
    <row r="16" spans="2:4" x14ac:dyDescent="0.2">
      <c r="B16" s="15"/>
      <c r="C16" s="16"/>
      <c r="D16" s="15"/>
    </row>
    <row r="17" spans="2:4" x14ac:dyDescent="0.2">
      <c r="B17" s="11" t="s">
        <v>96</v>
      </c>
      <c r="C17" s="28">
        <f>ROUND(SUMIF(B5:B16,"Salarii*",C5:C16)*CAM,2)</f>
        <v>337.5</v>
      </c>
      <c r="D17" s="11"/>
    </row>
    <row r="18" spans="2:4" x14ac:dyDescent="0.2">
      <c r="B18" s="19" t="s">
        <v>97</v>
      </c>
      <c r="C18" s="20">
        <f>SUM(C5:C17)</f>
        <v>27637.5</v>
      </c>
      <c r="D18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B1B93-3005-42DD-AF72-71DF615917BA}">
  <dimension ref="B1:AQ27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1" sqref="B1"/>
    </sheetView>
  </sheetViews>
  <sheetFormatPr baseColWidth="10" defaultRowHeight="12.75" x14ac:dyDescent="0.2"/>
  <cols>
    <col min="1" max="1" width="2.7109375" style="1" customWidth="1"/>
    <col min="2" max="2" width="30.7109375" style="1" customWidth="1"/>
    <col min="3" max="3" width="11.42578125" style="1"/>
    <col min="4" max="39" width="9.7109375" style="1" customWidth="1"/>
    <col min="40" max="40" width="2.7109375" style="1" customWidth="1"/>
    <col min="41" max="43" width="11.7109375" style="1" customWidth="1"/>
    <col min="44" max="16384" width="11.42578125" style="1"/>
  </cols>
  <sheetData>
    <row r="1" spans="2:43" ht="21" x14ac:dyDescent="0.35">
      <c r="B1" s="2" t="s">
        <v>98</v>
      </c>
    </row>
    <row r="2" spans="2:43" x14ac:dyDescent="0.2">
      <c r="B2" s="3" t="s">
        <v>99</v>
      </c>
    </row>
    <row r="3" spans="2:43" x14ac:dyDescent="0.2">
      <c r="B3" s="4" t="str">
        <f>"Scenariu: "&amp;Scenariu&amp;"   ·   "&amp;Regim</f>
        <v>Scenariu: Realist   ·   Impozit pe profit (16%)</v>
      </c>
    </row>
    <row r="5" spans="2:43" x14ac:dyDescent="0.2">
      <c r="B5" s="23" t="s">
        <v>26</v>
      </c>
      <c r="C5" s="11"/>
      <c r="D5" s="31">
        <f>EDATE(Start,0)</f>
        <v>46388</v>
      </c>
      <c r="E5" s="31">
        <f>EDATE(Start,1)</f>
        <v>46419</v>
      </c>
      <c r="F5" s="31">
        <f>EDATE(Start,2)</f>
        <v>46447</v>
      </c>
      <c r="G5" s="31">
        <f>EDATE(Start,3)</f>
        <v>46478</v>
      </c>
      <c r="H5" s="31">
        <f>EDATE(Start,4)</f>
        <v>46508</v>
      </c>
      <c r="I5" s="31">
        <f>EDATE(Start,5)</f>
        <v>46539</v>
      </c>
      <c r="J5" s="31">
        <f>EDATE(Start,6)</f>
        <v>46569</v>
      </c>
      <c r="K5" s="31">
        <f>EDATE(Start,7)</f>
        <v>46600</v>
      </c>
      <c r="L5" s="31">
        <f>EDATE(Start,8)</f>
        <v>46631</v>
      </c>
      <c r="M5" s="31">
        <f>EDATE(Start,9)</f>
        <v>46661</v>
      </c>
      <c r="N5" s="31">
        <f>EDATE(Start,10)</f>
        <v>46692</v>
      </c>
      <c r="O5" s="31">
        <f>EDATE(Start,11)</f>
        <v>46722</v>
      </c>
      <c r="P5" s="31">
        <f>EDATE(Start,12)</f>
        <v>46753</v>
      </c>
      <c r="Q5" s="31">
        <f>EDATE(Start,13)</f>
        <v>46784</v>
      </c>
      <c r="R5" s="31">
        <f>EDATE(Start,14)</f>
        <v>46813</v>
      </c>
      <c r="S5" s="31">
        <f>EDATE(Start,15)</f>
        <v>46844</v>
      </c>
      <c r="T5" s="31">
        <f>EDATE(Start,16)</f>
        <v>46874</v>
      </c>
      <c r="U5" s="31">
        <f>EDATE(Start,17)</f>
        <v>46905</v>
      </c>
      <c r="V5" s="31">
        <f>EDATE(Start,18)</f>
        <v>46935</v>
      </c>
      <c r="W5" s="31">
        <f>EDATE(Start,19)</f>
        <v>46966</v>
      </c>
      <c r="X5" s="31">
        <f>EDATE(Start,20)</f>
        <v>46997</v>
      </c>
      <c r="Y5" s="31">
        <f>EDATE(Start,21)</f>
        <v>47027</v>
      </c>
      <c r="Z5" s="31">
        <f>EDATE(Start,22)</f>
        <v>47058</v>
      </c>
      <c r="AA5" s="31">
        <f>EDATE(Start,23)</f>
        <v>47088</v>
      </c>
      <c r="AB5" s="31">
        <f>EDATE(Start,24)</f>
        <v>47119</v>
      </c>
      <c r="AC5" s="31">
        <f>EDATE(Start,25)</f>
        <v>47150</v>
      </c>
      <c r="AD5" s="31">
        <f>EDATE(Start,26)</f>
        <v>47178</v>
      </c>
      <c r="AE5" s="31">
        <f>EDATE(Start,27)</f>
        <v>47209</v>
      </c>
      <c r="AF5" s="31">
        <f>EDATE(Start,28)</f>
        <v>47239</v>
      </c>
      <c r="AG5" s="31">
        <f>EDATE(Start,29)</f>
        <v>47270</v>
      </c>
      <c r="AH5" s="31">
        <f>EDATE(Start,30)</f>
        <v>47300</v>
      </c>
      <c r="AI5" s="31">
        <f>EDATE(Start,31)</f>
        <v>47331</v>
      </c>
      <c r="AJ5" s="31">
        <f>EDATE(Start,32)</f>
        <v>47362</v>
      </c>
      <c r="AK5" s="31">
        <f>EDATE(Start,33)</f>
        <v>47392</v>
      </c>
      <c r="AL5" s="31">
        <f>EDATE(Start,34)</f>
        <v>47423</v>
      </c>
      <c r="AM5" s="31">
        <f>EDATE(Start,35)</f>
        <v>47453</v>
      </c>
      <c r="AO5" s="36" t="s">
        <v>119</v>
      </c>
      <c r="AP5" s="36" t="s">
        <v>120</v>
      </c>
      <c r="AQ5" s="36" t="s">
        <v>121</v>
      </c>
    </row>
    <row r="6" spans="2:43" x14ac:dyDescent="0.2">
      <c r="B6" s="32" t="s">
        <v>100</v>
      </c>
      <c r="C6" s="33"/>
      <c r="D6" s="34">
        <v>1</v>
      </c>
      <c r="E6" s="34">
        <v>2</v>
      </c>
      <c r="F6" s="34">
        <v>3</v>
      </c>
      <c r="G6" s="34">
        <v>4</v>
      </c>
      <c r="H6" s="34">
        <v>5</v>
      </c>
      <c r="I6" s="34">
        <v>6</v>
      </c>
      <c r="J6" s="34">
        <v>7</v>
      </c>
      <c r="K6" s="34">
        <v>8</v>
      </c>
      <c r="L6" s="34">
        <v>9</v>
      </c>
      <c r="M6" s="34">
        <v>10</v>
      </c>
      <c r="N6" s="34">
        <v>11</v>
      </c>
      <c r="O6" s="34">
        <v>12</v>
      </c>
      <c r="P6" s="34">
        <v>13</v>
      </c>
      <c r="Q6" s="34">
        <v>14</v>
      </c>
      <c r="R6" s="34">
        <v>15</v>
      </c>
      <c r="S6" s="34">
        <v>16</v>
      </c>
      <c r="T6" s="34">
        <v>17</v>
      </c>
      <c r="U6" s="34">
        <v>18</v>
      </c>
      <c r="V6" s="34">
        <v>19</v>
      </c>
      <c r="W6" s="34">
        <v>20</v>
      </c>
      <c r="X6" s="34">
        <v>21</v>
      </c>
      <c r="Y6" s="34">
        <v>22</v>
      </c>
      <c r="Z6" s="34">
        <v>23</v>
      </c>
      <c r="AA6" s="34">
        <v>24</v>
      </c>
      <c r="AB6" s="34">
        <v>25</v>
      </c>
      <c r="AC6" s="34">
        <v>26</v>
      </c>
      <c r="AD6" s="34">
        <v>27</v>
      </c>
      <c r="AE6" s="34">
        <v>28</v>
      </c>
      <c r="AF6" s="34">
        <v>29</v>
      </c>
      <c r="AG6" s="34">
        <v>30</v>
      </c>
      <c r="AH6" s="34">
        <v>31</v>
      </c>
      <c r="AI6" s="34">
        <v>32</v>
      </c>
      <c r="AJ6" s="34">
        <v>33</v>
      </c>
      <c r="AK6" s="34">
        <v>34</v>
      </c>
      <c r="AL6" s="34">
        <v>35</v>
      </c>
      <c r="AM6" s="34">
        <v>36</v>
      </c>
      <c r="AO6" s="28"/>
      <c r="AP6" s="28"/>
      <c r="AQ6" s="28"/>
    </row>
    <row r="7" spans="2:43" x14ac:dyDescent="0.2">
      <c r="B7" s="32" t="s">
        <v>101</v>
      </c>
      <c r="C7" s="33"/>
      <c r="D7" s="34">
        <f t="shared" ref="D7:AM7" si="0">ROUNDUP(D6/12,0)</f>
        <v>1</v>
      </c>
      <c r="E7" s="34">
        <f t="shared" si="0"/>
        <v>1</v>
      </c>
      <c r="F7" s="34">
        <f t="shared" si="0"/>
        <v>1</v>
      </c>
      <c r="G7" s="34">
        <f t="shared" si="0"/>
        <v>1</v>
      </c>
      <c r="H7" s="34">
        <f t="shared" si="0"/>
        <v>1</v>
      </c>
      <c r="I7" s="34">
        <f t="shared" si="0"/>
        <v>1</v>
      </c>
      <c r="J7" s="34">
        <f t="shared" si="0"/>
        <v>1</v>
      </c>
      <c r="K7" s="34">
        <f t="shared" si="0"/>
        <v>1</v>
      </c>
      <c r="L7" s="34">
        <f t="shared" si="0"/>
        <v>1</v>
      </c>
      <c r="M7" s="34">
        <f t="shared" si="0"/>
        <v>1</v>
      </c>
      <c r="N7" s="34">
        <f t="shared" si="0"/>
        <v>1</v>
      </c>
      <c r="O7" s="34">
        <f t="shared" si="0"/>
        <v>1</v>
      </c>
      <c r="P7" s="34">
        <f t="shared" si="0"/>
        <v>2</v>
      </c>
      <c r="Q7" s="34">
        <f t="shared" si="0"/>
        <v>2</v>
      </c>
      <c r="R7" s="34">
        <f t="shared" si="0"/>
        <v>2</v>
      </c>
      <c r="S7" s="34">
        <f t="shared" si="0"/>
        <v>2</v>
      </c>
      <c r="T7" s="34">
        <f t="shared" si="0"/>
        <v>2</v>
      </c>
      <c r="U7" s="34">
        <f t="shared" si="0"/>
        <v>2</v>
      </c>
      <c r="V7" s="34">
        <f t="shared" si="0"/>
        <v>2</v>
      </c>
      <c r="W7" s="34">
        <f t="shared" si="0"/>
        <v>2</v>
      </c>
      <c r="X7" s="34">
        <f t="shared" si="0"/>
        <v>2</v>
      </c>
      <c r="Y7" s="34">
        <f t="shared" si="0"/>
        <v>2</v>
      </c>
      <c r="Z7" s="34">
        <f t="shared" si="0"/>
        <v>2</v>
      </c>
      <c r="AA7" s="34">
        <f t="shared" si="0"/>
        <v>2</v>
      </c>
      <c r="AB7" s="34">
        <f t="shared" si="0"/>
        <v>3</v>
      </c>
      <c r="AC7" s="34">
        <f t="shared" si="0"/>
        <v>3</v>
      </c>
      <c r="AD7" s="34">
        <f t="shared" si="0"/>
        <v>3</v>
      </c>
      <c r="AE7" s="34">
        <f t="shared" si="0"/>
        <v>3</v>
      </c>
      <c r="AF7" s="34">
        <f t="shared" si="0"/>
        <v>3</v>
      </c>
      <c r="AG7" s="34">
        <f t="shared" si="0"/>
        <v>3</v>
      </c>
      <c r="AH7" s="34">
        <f t="shared" si="0"/>
        <v>3</v>
      </c>
      <c r="AI7" s="34">
        <f t="shared" si="0"/>
        <v>3</v>
      </c>
      <c r="AJ7" s="34">
        <f t="shared" si="0"/>
        <v>3</v>
      </c>
      <c r="AK7" s="34">
        <f t="shared" si="0"/>
        <v>3</v>
      </c>
      <c r="AL7" s="34">
        <f t="shared" si="0"/>
        <v>3</v>
      </c>
      <c r="AM7" s="34">
        <f t="shared" si="0"/>
        <v>3</v>
      </c>
      <c r="AO7" s="28"/>
      <c r="AP7" s="28"/>
      <c r="AQ7" s="28"/>
    </row>
    <row r="8" spans="2:43" x14ac:dyDescent="0.2">
      <c r="B8" s="32" t="s">
        <v>102</v>
      </c>
      <c r="C8" s="33"/>
      <c r="D8" s="35">
        <f t="shared" ref="D8:AM8" si="1">IF(D6&lt;=6,VLOOKUP(D6,Rampa,2,FALSE),1)</f>
        <v>0.5</v>
      </c>
      <c r="E8" s="35">
        <f t="shared" si="1"/>
        <v>0.6</v>
      </c>
      <c r="F8" s="35">
        <f t="shared" si="1"/>
        <v>0.7</v>
      </c>
      <c r="G8" s="35">
        <f t="shared" si="1"/>
        <v>0.8</v>
      </c>
      <c r="H8" s="35">
        <f t="shared" si="1"/>
        <v>0.9</v>
      </c>
      <c r="I8" s="35">
        <f t="shared" si="1"/>
        <v>1</v>
      </c>
      <c r="J8" s="35">
        <f t="shared" si="1"/>
        <v>1</v>
      </c>
      <c r="K8" s="35">
        <f t="shared" si="1"/>
        <v>1</v>
      </c>
      <c r="L8" s="35">
        <f t="shared" si="1"/>
        <v>1</v>
      </c>
      <c r="M8" s="35">
        <f t="shared" si="1"/>
        <v>1</v>
      </c>
      <c r="N8" s="35">
        <f t="shared" si="1"/>
        <v>1</v>
      </c>
      <c r="O8" s="35">
        <f t="shared" si="1"/>
        <v>1</v>
      </c>
      <c r="P8" s="35">
        <f t="shared" si="1"/>
        <v>1</v>
      </c>
      <c r="Q8" s="35">
        <f t="shared" si="1"/>
        <v>1</v>
      </c>
      <c r="R8" s="35">
        <f t="shared" si="1"/>
        <v>1</v>
      </c>
      <c r="S8" s="35">
        <f t="shared" si="1"/>
        <v>1</v>
      </c>
      <c r="T8" s="35">
        <f t="shared" si="1"/>
        <v>1</v>
      </c>
      <c r="U8" s="35">
        <f t="shared" si="1"/>
        <v>1</v>
      </c>
      <c r="V8" s="35">
        <f t="shared" si="1"/>
        <v>1</v>
      </c>
      <c r="W8" s="35">
        <f t="shared" si="1"/>
        <v>1</v>
      </c>
      <c r="X8" s="35">
        <f t="shared" si="1"/>
        <v>1</v>
      </c>
      <c r="Y8" s="35">
        <f t="shared" si="1"/>
        <v>1</v>
      </c>
      <c r="Z8" s="35">
        <f t="shared" si="1"/>
        <v>1</v>
      </c>
      <c r="AA8" s="35">
        <f t="shared" si="1"/>
        <v>1</v>
      </c>
      <c r="AB8" s="35">
        <f t="shared" si="1"/>
        <v>1</v>
      </c>
      <c r="AC8" s="35">
        <f t="shared" si="1"/>
        <v>1</v>
      </c>
      <c r="AD8" s="35">
        <f t="shared" si="1"/>
        <v>1</v>
      </c>
      <c r="AE8" s="35">
        <f t="shared" si="1"/>
        <v>1</v>
      </c>
      <c r="AF8" s="35">
        <f t="shared" si="1"/>
        <v>1</v>
      </c>
      <c r="AG8" s="35">
        <f t="shared" si="1"/>
        <v>1</v>
      </c>
      <c r="AH8" s="35">
        <f t="shared" si="1"/>
        <v>1</v>
      </c>
      <c r="AI8" s="35">
        <f t="shared" si="1"/>
        <v>1</v>
      </c>
      <c r="AJ8" s="35">
        <f t="shared" si="1"/>
        <v>1</v>
      </c>
      <c r="AK8" s="35">
        <f t="shared" si="1"/>
        <v>1</v>
      </c>
      <c r="AL8" s="35">
        <f t="shared" si="1"/>
        <v>1</v>
      </c>
      <c r="AM8" s="35">
        <f t="shared" si="1"/>
        <v>1</v>
      </c>
      <c r="AO8" s="28"/>
      <c r="AP8" s="28"/>
      <c r="AQ8" s="28"/>
    </row>
    <row r="9" spans="2:43" x14ac:dyDescent="0.2">
      <c r="B9" s="32" t="s">
        <v>27</v>
      </c>
      <c r="C9" s="33"/>
      <c r="D9" s="35">
        <f t="shared" ref="D9:AM9" si="2">INDEX(Sezon,MONTH(D5))</f>
        <v>0.85</v>
      </c>
      <c r="E9" s="35">
        <f t="shared" si="2"/>
        <v>0.85</v>
      </c>
      <c r="F9" s="35">
        <f t="shared" si="2"/>
        <v>0.95</v>
      </c>
      <c r="G9" s="35">
        <f t="shared" si="2"/>
        <v>1</v>
      </c>
      <c r="H9" s="35">
        <f t="shared" si="2"/>
        <v>1.05</v>
      </c>
      <c r="I9" s="35">
        <f t="shared" si="2"/>
        <v>1.05</v>
      </c>
      <c r="J9" s="35">
        <f t="shared" si="2"/>
        <v>0.9</v>
      </c>
      <c r="K9" s="35">
        <f t="shared" si="2"/>
        <v>0.85</v>
      </c>
      <c r="L9" s="35">
        <f t="shared" si="2"/>
        <v>1.05</v>
      </c>
      <c r="M9" s="35">
        <f t="shared" si="2"/>
        <v>1.1000000000000001</v>
      </c>
      <c r="N9" s="35">
        <f t="shared" si="2"/>
        <v>1.1000000000000001</v>
      </c>
      <c r="O9" s="35">
        <f t="shared" si="2"/>
        <v>1.1499999999999999</v>
      </c>
      <c r="P9" s="35">
        <f t="shared" si="2"/>
        <v>0.85</v>
      </c>
      <c r="Q9" s="35">
        <f t="shared" si="2"/>
        <v>0.85</v>
      </c>
      <c r="R9" s="35">
        <f t="shared" si="2"/>
        <v>0.95</v>
      </c>
      <c r="S9" s="35">
        <f t="shared" si="2"/>
        <v>1</v>
      </c>
      <c r="T9" s="35">
        <f t="shared" si="2"/>
        <v>1.05</v>
      </c>
      <c r="U9" s="35">
        <f t="shared" si="2"/>
        <v>1.05</v>
      </c>
      <c r="V9" s="35">
        <f t="shared" si="2"/>
        <v>0.9</v>
      </c>
      <c r="W9" s="35">
        <f t="shared" si="2"/>
        <v>0.85</v>
      </c>
      <c r="X9" s="35">
        <f t="shared" si="2"/>
        <v>1.05</v>
      </c>
      <c r="Y9" s="35">
        <f t="shared" si="2"/>
        <v>1.1000000000000001</v>
      </c>
      <c r="Z9" s="35">
        <f t="shared" si="2"/>
        <v>1.1000000000000001</v>
      </c>
      <c r="AA9" s="35">
        <f t="shared" si="2"/>
        <v>1.1499999999999999</v>
      </c>
      <c r="AB9" s="35">
        <f t="shared" si="2"/>
        <v>0.85</v>
      </c>
      <c r="AC9" s="35">
        <f t="shared" si="2"/>
        <v>0.85</v>
      </c>
      <c r="AD9" s="35">
        <f t="shared" si="2"/>
        <v>0.95</v>
      </c>
      <c r="AE9" s="35">
        <f t="shared" si="2"/>
        <v>1</v>
      </c>
      <c r="AF9" s="35">
        <f t="shared" si="2"/>
        <v>1.05</v>
      </c>
      <c r="AG9" s="35">
        <f t="shared" si="2"/>
        <v>1.05</v>
      </c>
      <c r="AH9" s="35">
        <f t="shared" si="2"/>
        <v>0.9</v>
      </c>
      <c r="AI9" s="35">
        <f t="shared" si="2"/>
        <v>0.85</v>
      </c>
      <c r="AJ9" s="35">
        <f t="shared" si="2"/>
        <v>1.05</v>
      </c>
      <c r="AK9" s="35">
        <f t="shared" si="2"/>
        <v>1.1000000000000001</v>
      </c>
      <c r="AL9" s="35">
        <f t="shared" si="2"/>
        <v>1.1000000000000001</v>
      </c>
      <c r="AM9" s="35">
        <f t="shared" si="2"/>
        <v>1.1499999999999999</v>
      </c>
      <c r="AO9" s="28"/>
      <c r="AP9" s="28"/>
      <c r="AQ9" s="28"/>
    </row>
    <row r="10" spans="2:43" x14ac:dyDescent="0.2">
      <c r="B10" s="32" t="s">
        <v>103</v>
      </c>
      <c r="C10" s="33"/>
      <c r="D10" s="35">
        <f t="shared" ref="D10:AM10" si="3">IF(D7=1,1,IF(D7=2,1+Cresc2,(1+Cresc2)*(1+Cresc3)))</f>
        <v>1</v>
      </c>
      <c r="E10" s="35">
        <f t="shared" si="3"/>
        <v>1</v>
      </c>
      <c r="F10" s="35">
        <f t="shared" si="3"/>
        <v>1</v>
      </c>
      <c r="G10" s="35">
        <f t="shared" si="3"/>
        <v>1</v>
      </c>
      <c r="H10" s="35">
        <f t="shared" si="3"/>
        <v>1</v>
      </c>
      <c r="I10" s="35">
        <f t="shared" si="3"/>
        <v>1</v>
      </c>
      <c r="J10" s="35">
        <f t="shared" si="3"/>
        <v>1</v>
      </c>
      <c r="K10" s="35">
        <f t="shared" si="3"/>
        <v>1</v>
      </c>
      <c r="L10" s="35">
        <f t="shared" si="3"/>
        <v>1</v>
      </c>
      <c r="M10" s="35">
        <f t="shared" si="3"/>
        <v>1</v>
      </c>
      <c r="N10" s="35">
        <f t="shared" si="3"/>
        <v>1</v>
      </c>
      <c r="O10" s="35">
        <f t="shared" si="3"/>
        <v>1</v>
      </c>
      <c r="P10" s="35">
        <f t="shared" si="3"/>
        <v>1.1000000000000001</v>
      </c>
      <c r="Q10" s="35">
        <f t="shared" si="3"/>
        <v>1.1000000000000001</v>
      </c>
      <c r="R10" s="35">
        <f t="shared" si="3"/>
        <v>1.1000000000000001</v>
      </c>
      <c r="S10" s="35">
        <f t="shared" si="3"/>
        <v>1.1000000000000001</v>
      </c>
      <c r="T10" s="35">
        <f t="shared" si="3"/>
        <v>1.1000000000000001</v>
      </c>
      <c r="U10" s="35">
        <f t="shared" si="3"/>
        <v>1.1000000000000001</v>
      </c>
      <c r="V10" s="35">
        <f t="shared" si="3"/>
        <v>1.1000000000000001</v>
      </c>
      <c r="W10" s="35">
        <f t="shared" si="3"/>
        <v>1.1000000000000001</v>
      </c>
      <c r="X10" s="35">
        <f t="shared" si="3"/>
        <v>1.1000000000000001</v>
      </c>
      <c r="Y10" s="35">
        <f t="shared" si="3"/>
        <v>1.1000000000000001</v>
      </c>
      <c r="Z10" s="35">
        <f t="shared" si="3"/>
        <v>1.1000000000000001</v>
      </c>
      <c r="AA10" s="35">
        <f t="shared" si="3"/>
        <v>1.1000000000000001</v>
      </c>
      <c r="AB10" s="35">
        <f t="shared" si="3"/>
        <v>1.1880000000000002</v>
      </c>
      <c r="AC10" s="35">
        <f t="shared" si="3"/>
        <v>1.1880000000000002</v>
      </c>
      <c r="AD10" s="35">
        <f t="shared" si="3"/>
        <v>1.1880000000000002</v>
      </c>
      <c r="AE10" s="35">
        <f t="shared" si="3"/>
        <v>1.1880000000000002</v>
      </c>
      <c r="AF10" s="35">
        <f t="shared" si="3"/>
        <v>1.1880000000000002</v>
      </c>
      <c r="AG10" s="35">
        <f t="shared" si="3"/>
        <v>1.1880000000000002</v>
      </c>
      <c r="AH10" s="35">
        <f t="shared" si="3"/>
        <v>1.1880000000000002</v>
      </c>
      <c r="AI10" s="35">
        <f t="shared" si="3"/>
        <v>1.1880000000000002</v>
      </c>
      <c r="AJ10" s="35">
        <f t="shared" si="3"/>
        <v>1.1880000000000002</v>
      </c>
      <c r="AK10" s="35">
        <f t="shared" si="3"/>
        <v>1.1880000000000002</v>
      </c>
      <c r="AL10" s="35">
        <f t="shared" si="3"/>
        <v>1.1880000000000002</v>
      </c>
      <c r="AM10" s="35">
        <f t="shared" si="3"/>
        <v>1.1880000000000002</v>
      </c>
      <c r="AO10" s="28"/>
      <c r="AP10" s="28"/>
      <c r="AQ10" s="28"/>
    </row>
    <row r="11" spans="2:43" x14ac:dyDescent="0.2">
      <c r="B11" s="23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O11" s="28"/>
      <c r="AP11" s="28"/>
      <c r="AQ11" s="28"/>
    </row>
    <row r="12" spans="2:43" x14ac:dyDescent="0.2">
      <c r="B12" s="19" t="s">
        <v>104</v>
      </c>
      <c r="C12" s="19"/>
      <c r="D12" s="20">
        <f t="shared" ref="D12:AM12" si="4">ROUND(VanzCap*D8*D9*D10*FactScen,2)</f>
        <v>22100</v>
      </c>
      <c r="E12" s="20">
        <f t="shared" si="4"/>
        <v>26520</v>
      </c>
      <c r="F12" s="20">
        <f t="shared" si="4"/>
        <v>34580</v>
      </c>
      <c r="G12" s="20">
        <f t="shared" si="4"/>
        <v>41600</v>
      </c>
      <c r="H12" s="20">
        <f t="shared" si="4"/>
        <v>49140</v>
      </c>
      <c r="I12" s="20">
        <f t="shared" si="4"/>
        <v>54600</v>
      </c>
      <c r="J12" s="20">
        <f t="shared" si="4"/>
        <v>46800</v>
      </c>
      <c r="K12" s="20">
        <f t="shared" si="4"/>
        <v>44200</v>
      </c>
      <c r="L12" s="20">
        <f t="shared" si="4"/>
        <v>54600</v>
      </c>
      <c r="M12" s="20">
        <f t="shared" si="4"/>
        <v>57200</v>
      </c>
      <c r="N12" s="20">
        <f t="shared" si="4"/>
        <v>57200</v>
      </c>
      <c r="O12" s="20">
        <f t="shared" si="4"/>
        <v>59800</v>
      </c>
      <c r="P12" s="20">
        <f t="shared" si="4"/>
        <v>48620</v>
      </c>
      <c r="Q12" s="20">
        <f t="shared" si="4"/>
        <v>48620</v>
      </c>
      <c r="R12" s="20">
        <f t="shared" si="4"/>
        <v>54340</v>
      </c>
      <c r="S12" s="20">
        <f t="shared" si="4"/>
        <v>57200</v>
      </c>
      <c r="T12" s="20">
        <f t="shared" si="4"/>
        <v>60060</v>
      </c>
      <c r="U12" s="20">
        <f t="shared" si="4"/>
        <v>60060</v>
      </c>
      <c r="V12" s="20">
        <f t="shared" si="4"/>
        <v>51480</v>
      </c>
      <c r="W12" s="20">
        <f t="shared" si="4"/>
        <v>48620</v>
      </c>
      <c r="X12" s="20">
        <f t="shared" si="4"/>
        <v>60060</v>
      </c>
      <c r="Y12" s="20">
        <f t="shared" si="4"/>
        <v>62920</v>
      </c>
      <c r="Z12" s="20">
        <f t="shared" si="4"/>
        <v>62920</v>
      </c>
      <c r="AA12" s="20">
        <f t="shared" si="4"/>
        <v>65780</v>
      </c>
      <c r="AB12" s="20">
        <f t="shared" si="4"/>
        <v>52509.599999999999</v>
      </c>
      <c r="AC12" s="20">
        <f t="shared" si="4"/>
        <v>52509.599999999999</v>
      </c>
      <c r="AD12" s="20">
        <f t="shared" si="4"/>
        <v>58687.199999999997</v>
      </c>
      <c r="AE12" s="20">
        <f t="shared" si="4"/>
        <v>61776</v>
      </c>
      <c r="AF12" s="20">
        <f t="shared" si="4"/>
        <v>64864.800000000003</v>
      </c>
      <c r="AG12" s="20">
        <f t="shared" si="4"/>
        <v>64864.800000000003</v>
      </c>
      <c r="AH12" s="20">
        <f t="shared" si="4"/>
        <v>55598.400000000001</v>
      </c>
      <c r="AI12" s="20">
        <f t="shared" si="4"/>
        <v>52509.599999999999</v>
      </c>
      <c r="AJ12" s="20">
        <f t="shared" si="4"/>
        <v>64864.800000000003</v>
      </c>
      <c r="AK12" s="20">
        <f t="shared" si="4"/>
        <v>67953.600000000006</v>
      </c>
      <c r="AL12" s="20">
        <f t="shared" si="4"/>
        <v>67953.600000000006</v>
      </c>
      <c r="AM12" s="20">
        <f t="shared" si="4"/>
        <v>71042.399999999994</v>
      </c>
      <c r="AO12" s="20">
        <f t="shared" ref="AO12:AO22" si="5">SUMIF($D$7:$AM$7,1,$D12:$AM12)</f>
        <v>548340</v>
      </c>
      <c r="AP12" s="20">
        <f t="shared" ref="AP12:AP22" si="6">SUMIF($D$7:$AM$7,2,$D12:$AM12)</f>
        <v>680680</v>
      </c>
      <c r="AQ12" s="20">
        <f t="shared" ref="AQ12:AQ22" si="7">SUMIF($D$7:$AM$7,3,$D12:$AM12)</f>
        <v>735134.4</v>
      </c>
    </row>
    <row r="13" spans="2:43" x14ac:dyDescent="0.2">
      <c r="B13" s="23" t="s">
        <v>105</v>
      </c>
      <c r="C13" s="11"/>
      <c r="D13" s="28">
        <f t="shared" ref="D13:AM13" si="8">ROUND(D12*CostDirPct,2)</f>
        <v>7510.18</v>
      </c>
      <c r="E13" s="28">
        <f t="shared" si="8"/>
        <v>9012.2099999999991</v>
      </c>
      <c r="F13" s="28">
        <f t="shared" si="8"/>
        <v>11751.22</v>
      </c>
      <c r="G13" s="28">
        <f t="shared" si="8"/>
        <v>14136.8</v>
      </c>
      <c r="H13" s="28">
        <f t="shared" si="8"/>
        <v>16699.099999999999</v>
      </c>
      <c r="I13" s="28">
        <f t="shared" si="8"/>
        <v>18554.55</v>
      </c>
      <c r="J13" s="28">
        <f t="shared" si="8"/>
        <v>15903.9</v>
      </c>
      <c r="K13" s="28">
        <f t="shared" si="8"/>
        <v>15020.35</v>
      </c>
      <c r="L13" s="28">
        <f t="shared" si="8"/>
        <v>18554.55</v>
      </c>
      <c r="M13" s="28">
        <f t="shared" si="8"/>
        <v>19438.099999999999</v>
      </c>
      <c r="N13" s="28">
        <f t="shared" si="8"/>
        <v>19438.099999999999</v>
      </c>
      <c r="O13" s="28">
        <f t="shared" si="8"/>
        <v>20321.650000000001</v>
      </c>
      <c r="P13" s="28">
        <f t="shared" si="8"/>
        <v>16522.39</v>
      </c>
      <c r="Q13" s="28">
        <f t="shared" si="8"/>
        <v>16522.39</v>
      </c>
      <c r="R13" s="28">
        <f t="shared" si="8"/>
        <v>18466.2</v>
      </c>
      <c r="S13" s="28">
        <f t="shared" si="8"/>
        <v>19438.099999999999</v>
      </c>
      <c r="T13" s="28">
        <f t="shared" si="8"/>
        <v>20410.009999999998</v>
      </c>
      <c r="U13" s="28">
        <f t="shared" si="8"/>
        <v>20410.009999999998</v>
      </c>
      <c r="V13" s="28">
        <f t="shared" si="8"/>
        <v>17494.29</v>
      </c>
      <c r="W13" s="28">
        <f t="shared" si="8"/>
        <v>16522.39</v>
      </c>
      <c r="X13" s="28">
        <f t="shared" si="8"/>
        <v>20410.009999999998</v>
      </c>
      <c r="Y13" s="28">
        <f t="shared" si="8"/>
        <v>21381.91</v>
      </c>
      <c r="Z13" s="28">
        <f t="shared" si="8"/>
        <v>21381.91</v>
      </c>
      <c r="AA13" s="28">
        <f t="shared" si="8"/>
        <v>22353.82</v>
      </c>
      <c r="AB13" s="28">
        <f t="shared" si="8"/>
        <v>17844.18</v>
      </c>
      <c r="AC13" s="28">
        <f t="shared" si="8"/>
        <v>17844.18</v>
      </c>
      <c r="AD13" s="28">
        <f t="shared" si="8"/>
        <v>19943.490000000002</v>
      </c>
      <c r="AE13" s="28">
        <f t="shared" si="8"/>
        <v>20993.15</v>
      </c>
      <c r="AF13" s="28">
        <f t="shared" si="8"/>
        <v>22042.81</v>
      </c>
      <c r="AG13" s="28">
        <f t="shared" si="8"/>
        <v>22042.81</v>
      </c>
      <c r="AH13" s="28">
        <f t="shared" si="8"/>
        <v>18893.830000000002</v>
      </c>
      <c r="AI13" s="28">
        <f t="shared" si="8"/>
        <v>17844.18</v>
      </c>
      <c r="AJ13" s="28">
        <f t="shared" si="8"/>
        <v>22042.81</v>
      </c>
      <c r="AK13" s="28">
        <f t="shared" si="8"/>
        <v>23092.46</v>
      </c>
      <c r="AL13" s="28">
        <f t="shared" si="8"/>
        <v>23092.46</v>
      </c>
      <c r="AM13" s="28">
        <f t="shared" si="8"/>
        <v>24142.12</v>
      </c>
      <c r="AO13" s="28">
        <f t="shared" si="5"/>
        <v>186340.71</v>
      </c>
      <c r="AP13" s="28">
        <f t="shared" si="6"/>
        <v>231313.43</v>
      </c>
      <c r="AQ13" s="28">
        <f t="shared" si="7"/>
        <v>249818.47999999998</v>
      </c>
    </row>
    <row r="14" spans="2:43" x14ac:dyDescent="0.2">
      <c r="B14" s="23" t="s">
        <v>106</v>
      </c>
      <c r="C14" s="11"/>
      <c r="D14" s="28">
        <f t="shared" ref="D14:AM14" si="9">ROUND(D12*ComCard,2)</f>
        <v>331.5</v>
      </c>
      <c r="E14" s="28">
        <f t="shared" si="9"/>
        <v>397.8</v>
      </c>
      <c r="F14" s="28">
        <f t="shared" si="9"/>
        <v>518.70000000000005</v>
      </c>
      <c r="G14" s="28">
        <f t="shared" si="9"/>
        <v>624</v>
      </c>
      <c r="H14" s="28">
        <f t="shared" si="9"/>
        <v>737.1</v>
      </c>
      <c r="I14" s="28">
        <f t="shared" si="9"/>
        <v>819</v>
      </c>
      <c r="J14" s="28">
        <f t="shared" si="9"/>
        <v>702</v>
      </c>
      <c r="K14" s="28">
        <f t="shared" si="9"/>
        <v>663</v>
      </c>
      <c r="L14" s="28">
        <f t="shared" si="9"/>
        <v>819</v>
      </c>
      <c r="M14" s="28">
        <f t="shared" si="9"/>
        <v>858</v>
      </c>
      <c r="N14" s="28">
        <f t="shared" si="9"/>
        <v>858</v>
      </c>
      <c r="O14" s="28">
        <f t="shared" si="9"/>
        <v>897</v>
      </c>
      <c r="P14" s="28">
        <f t="shared" si="9"/>
        <v>729.3</v>
      </c>
      <c r="Q14" s="28">
        <f t="shared" si="9"/>
        <v>729.3</v>
      </c>
      <c r="R14" s="28">
        <f t="shared" si="9"/>
        <v>815.1</v>
      </c>
      <c r="S14" s="28">
        <f t="shared" si="9"/>
        <v>858</v>
      </c>
      <c r="T14" s="28">
        <f t="shared" si="9"/>
        <v>900.9</v>
      </c>
      <c r="U14" s="28">
        <f t="shared" si="9"/>
        <v>900.9</v>
      </c>
      <c r="V14" s="28">
        <f t="shared" si="9"/>
        <v>772.2</v>
      </c>
      <c r="W14" s="28">
        <f t="shared" si="9"/>
        <v>729.3</v>
      </c>
      <c r="X14" s="28">
        <f t="shared" si="9"/>
        <v>900.9</v>
      </c>
      <c r="Y14" s="28">
        <f t="shared" si="9"/>
        <v>943.8</v>
      </c>
      <c r="Z14" s="28">
        <f t="shared" si="9"/>
        <v>943.8</v>
      </c>
      <c r="AA14" s="28">
        <f t="shared" si="9"/>
        <v>986.7</v>
      </c>
      <c r="AB14" s="28">
        <f t="shared" si="9"/>
        <v>787.64</v>
      </c>
      <c r="AC14" s="28">
        <f t="shared" si="9"/>
        <v>787.64</v>
      </c>
      <c r="AD14" s="28">
        <f t="shared" si="9"/>
        <v>880.31</v>
      </c>
      <c r="AE14" s="28">
        <f t="shared" si="9"/>
        <v>926.64</v>
      </c>
      <c r="AF14" s="28">
        <f t="shared" si="9"/>
        <v>972.97</v>
      </c>
      <c r="AG14" s="28">
        <f t="shared" si="9"/>
        <v>972.97</v>
      </c>
      <c r="AH14" s="28">
        <f t="shared" si="9"/>
        <v>833.98</v>
      </c>
      <c r="AI14" s="28">
        <f t="shared" si="9"/>
        <v>787.64</v>
      </c>
      <c r="AJ14" s="28">
        <f t="shared" si="9"/>
        <v>972.97</v>
      </c>
      <c r="AK14" s="28">
        <f t="shared" si="9"/>
        <v>1019.3</v>
      </c>
      <c r="AL14" s="28">
        <f t="shared" si="9"/>
        <v>1019.3</v>
      </c>
      <c r="AM14" s="28">
        <f t="shared" si="9"/>
        <v>1065.6400000000001</v>
      </c>
      <c r="AO14" s="28">
        <f t="shared" si="5"/>
        <v>8225.1</v>
      </c>
      <c r="AP14" s="28">
        <f t="shared" si="6"/>
        <v>10210.199999999999</v>
      </c>
      <c r="AQ14" s="28">
        <f t="shared" si="7"/>
        <v>11026.999999999998</v>
      </c>
    </row>
    <row r="15" spans="2:43" x14ac:dyDescent="0.2">
      <c r="B15" s="23" t="s">
        <v>107</v>
      </c>
      <c r="C15" s="11"/>
      <c r="D15" s="28">
        <f t="shared" ref="D15:AM15" si="10">D12-D13-D14</f>
        <v>14258.32</v>
      </c>
      <c r="E15" s="28">
        <f t="shared" si="10"/>
        <v>17109.990000000002</v>
      </c>
      <c r="F15" s="28">
        <f t="shared" si="10"/>
        <v>22310.079999999998</v>
      </c>
      <c r="G15" s="28">
        <f t="shared" si="10"/>
        <v>26839.200000000001</v>
      </c>
      <c r="H15" s="28">
        <f t="shared" si="10"/>
        <v>31703.800000000003</v>
      </c>
      <c r="I15" s="28">
        <f t="shared" si="10"/>
        <v>35226.449999999997</v>
      </c>
      <c r="J15" s="28">
        <f t="shared" si="10"/>
        <v>30194.1</v>
      </c>
      <c r="K15" s="28">
        <f t="shared" si="10"/>
        <v>28516.65</v>
      </c>
      <c r="L15" s="28">
        <f t="shared" si="10"/>
        <v>35226.449999999997</v>
      </c>
      <c r="M15" s="28">
        <f t="shared" si="10"/>
        <v>36903.9</v>
      </c>
      <c r="N15" s="28">
        <f t="shared" si="10"/>
        <v>36903.9</v>
      </c>
      <c r="O15" s="28">
        <f t="shared" si="10"/>
        <v>38581.35</v>
      </c>
      <c r="P15" s="28">
        <f t="shared" si="10"/>
        <v>31368.31</v>
      </c>
      <c r="Q15" s="28">
        <f t="shared" si="10"/>
        <v>31368.31</v>
      </c>
      <c r="R15" s="28">
        <f t="shared" si="10"/>
        <v>35058.700000000004</v>
      </c>
      <c r="S15" s="28">
        <f t="shared" si="10"/>
        <v>36903.9</v>
      </c>
      <c r="T15" s="28">
        <f t="shared" si="10"/>
        <v>38749.090000000004</v>
      </c>
      <c r="U15" s="28">
        <f t="shared" si="10"/>
        <v>38749.090000000004</v>
      </c>
      <c r="V15" s="28">
        <f t="shared" si="10"/>
        <v>33213.51</v>
      </c>
      <c r="W15" s="28">
        <f t="shared" si="10"/>
        <v>31368.31</v>
      </c>
      <c r="X15" s="28">
        <f t="shared" si="10"/>
        <v>38749.090000000004</v>
      </c>
      <c r="Y15" s="28">
        <f t="shared" si="10"/>
        <v>40594.289999999994</v>
      </c>
      <c r="Z15" s="28">
        <f t="shared" si="10"/>
        <v>40594.289999999994</v>
      </c>
      <c r="AA15" s="28">
        <f t="shared" si="10"/>
        <v>42439.48</v>
      </c>
      <c r="AB15" s="28">
        <f t="shared" si="10"/>
        <v>33877.78</v>
      </c>
      <c r="AC15" s="28">
        <f t="shared" si="10"/>
        <v>33877.78</v>
      </c>
      <c r="AD15" s="28">
        <f t="shared" si="10"/>
        <v>37863.399999999994</v>
      </c>
      <c r="AE15" s="28">
        <f t="shared" si="10"/>
        <v>39856.21</v>
      </c>
      <c r="AF15" s="28">
        <f t="shared" si="10"/>
        <v>41849.020000000004</v>
      </c>
      <c r="AG15" s="28">
        <f t="shared" si="10"/>
        <v>41849.020000000004</v>
      </c>
      <c r="AH15" s="28">
        <f t="shared" si="10"/>
        <v>35870.589999999997</v>
      </c>
      <c r="AI15" s="28">
        <f t="shared" si="10"/>
        <v>33877.78</v>
      </c>
      <c r="AJ15" s="28">
        <f t="shared" si="10"/>
        <v>41849.020000000004</v>
      </c>
      <c r="AK15" s="28">
        <f t="shared" si="10"/>
        <v>43841.840000000004</v>
      </c>
      <c r="AL15" s="28">
        <f t="shared" si="10"/>
        <v>43841.840000000004</v>
      </c>
      <c r="AM15" s="28">
        <f t="shared" si="10"/>
        <v>45834.64</v>
      </c>
      <c r="AO15" s="28">
        <f t="shared" si="5"/>
        <v>353774.19</v>
      </c>
      <c r="AP15" s="28">
        <f t="shared" si="6"/>
        <v>439156.37</v>
      </c>
      <c r="AQ15" s="28">
        <f t="shared" si="7"/>
        <v>474288.92000000016</v>
      </c>
    </row>
    <row r="16" spans="2:43" x14ac:dyDescent="0.2">
      <c r="B16" s="23" t="s">
        <v>108</v>
      </c>
      <c r="C16" s="11"/>
      <c r="D16" s="28">
        <f t="shared" ref="D16:AM16" si="11">ROUND(FixeLuna*(1+Inflatie)^(D7-1),2)</f>
        <v>27637.5</v>
      </c>
      <c r="E16" s="28">
        <f t="shared" si="11"/>
        <v>27637.5</v>
      </c>
      <c r="F16" s="28">
        <f t="shared" si="11"/>
        <v>27637.5</v>
      </c>
      <c r="G16" s="28">
        <f t="shared" si="11"/>
        <v>27637.5</v>
      </c>
      <c r="H16" s="28">
        <f t="shared" si="11"/>
        <v>27637.5</v>
      </c>
      <c r="I16" s="28">
        <f t="shared" si="11"/>
        <v>27637.5</v>
      </c>
      <c r="J16" s="28">
        <f t="shared" si="11"/>
        <v>27637.5</v>
      </c>
      <c r="K16" s="28">
        <f t="shared" si="11"/>
        <v>27637.5</v>
      </c>
      <c r="L16" s="28">
        <f t="shared" si="11"/>
        <v>27637.5</v>
      </c>
      <c r="M16" s="28">
        <f t="shared" si="11"/>
        <v>27637.5</v>
      </c>
      <c r="N16" s="28">
        <f t="shared" si="11"/>
        <v>27637.5</v>
      </c>
      <c r="O16" s="28">
        <f t="shared" si="11"/>
        <v>27637.5</v>
      </c>
      <c r="P16" s="28">
        <f t="shared" si="11"/>
        <v>29019.38</v>
      </c>
      <c r="Q16" s="28">
        <f t="shared" si="11"/>
        <v>29019.38</v>
      </c>
      <c r="R16" s="28">
        <f t="shared" si="11"/>
        <v>29019.38</v>
      </c>
      <c r="S16" s="28">
        <f t="shared" si="11"/>
        <v>29019.38</v>
      </c>
      <c r="T16" s="28">
        <f t="shared" si="11"/>
        <v>29019.38</v>
      </c>
      <c r="U16" s="28">
        <f t="shared" si="11"/>
        <v>29019.38</v>
      </c>
      <c r="V16" s="28">
        <f t="shared" si="11"/>
        <v>29019.38</v>
      </c>
      <c r="W16" s="28">
        <f t="shared" si="11"/>
        <v>29019.38</v>
      </c>
      <c r="X16" s="28">
        <f t="shared" si="11"/>
        <v>29019.38</v>
      </c>
      <c r="Y16" s="28">
        <f t="shared" si="11"/>
        <v>29019.38</v>
      </c>
      <c r="Z16" s="28">
        <f t="shared" si="11"/>
        <v>29019.38</v>
      </c>
      <c r="AA16" s="28">
        <f t="shared" si="11"/>
        <v>29019.38</v>
      </c>
      <c r="AB16" s="28">
        <f t="shared" si="11"/>
        <v>30470.34</v>
      </c>
      <c r="AC16" s="28">
        <f t="shared" si="11"/>
        <v>30470.34</v>
      </c>
      <c r="AD16" s="28">
        <f t="shared" si="11"/>
        <v>30470.34</v>
      </c>
      <c r="AE16" s="28">
        <f t="shared" si="11"/>
        <v>30470.34</v>
      </c>
      <c r="AF16" s="28">
        <f t="shared" si="11"/>
        <v>30470.34</v>
      </c>
      <c r="AG16" s="28">
        <f t="shared" si="11"/>
        <v>30470.34</v>
      </c>
      <c r="AH16" s="28">
        <f t="shared" si="11"/>
        <v>30470.34</v>
      </c>
      <c r="AI16" s="28">
        <f t="shared" si="11"/>
        <v>30470.34</v>
      </c>
      <c r="AJ16" s="28">
        <f t="shared" si="11"/>
        <v>30470.34</v>
      </c>
      <c r="AK16" s="28">
        <f t="shared" si="11"/>
        <v>30470.34</v>
      </c>
      <c r="AL16" s="28">
        <f t="shared" si="11"/>
        <v>30470.34</v>
      </c>
      <c r="AM16" s="28">
        <f t="shared" si="11"/>
        <v>30470.34</v>
      </c>
      <c r="AO16" s="28">
        <f t="shared" si="5"/>
        <v>331650</v>
      </c>
      <c r="AP16" s="28">
        <f t="shared" si="6"/>
        <v>348232.56</v>
      </c>
      <c r="AQ16" s="28">
        <f t="shared" si="7"/>
        <v>365644.08000000007</v>
      </c>
    </row>
    <row r="17" spans="2:43" x14ac:dyDescent="0.2">
      <c r="B17" s="23" t="s">
        <v>109</v>
      </c>
      <c r="C17" s="11"/>
      <c r="D17" s="28">
        <f t="shared" ref="D17:AM17" si="12">D15-D16</f>
        <v>-13379.18</v>
      </c>
      <c r="E17" s="28">
        <f t="shared" si="12"/>
        <v>-10527.509999999998</v>
      </c>
      <c r="F17" s="28">
        <f t="shared" si="12"/>
        <v>-5327.4200000000019</v>
      </c>
      <c r="G17" s="28">
        <f t="shared" si="12"/>
        <v>-798.29999999999927</v>
      </c>
      <c r="H17" s="28">
        <f t="shared" si="12"/>
        <v>4066.3000000000029</v>
      </c>
      <c r="I17" s="28">
        <f t="shared" si="12"/>
        <v>7588.9499999999971</v>
      </c>
      <c r="J17" s="28">
        <f t="shared" si="12"/>
        <v>2556.5999999999985</v>
      </c>
      <c r="K17" s="28">
        <f t="shared" si="12"/>
        <v>879.15000000000146</v>
      </c>
      <c r="L17" s="28">
        <f t="shared" si="12"/>
        <v>7588.9499999999971</v>
      </c>
      <c r="M17" s="28">
        <f t="shared" si="12"/>
        <v>9266.4000000000015</v>
      </c>
      <c r="N17" s="28">
        <f t="shared" si="12"/>
        <v>9266.4000000000015</v>
      </c>
      <c r="O17" s="28">
        <f t="shared" si="12"/>
        <v>10943.849999999999</v>
      </c>
      <c r="P17" s="28">
        <f t="shared" si="12"/>
        <v>2348.9300000000003</v>
      </c>
      <c r="Q17" s="28">
        <f t="shared" si="12"/>
        <v>2348.9300000000003</v>
      </c>
      <c r="R17" s="28">
        <f t="shared" si="12"/>
        <v>6039.3200000000033</v>
      </c>
      <c r="S17" s="28">
        <f t="shared" si="12"/>
        <v>7884.52</v>
      </c>
      <c r="T17" s="28">
        <f t="shared" si="12"/>
        <v>9729.7100000000028</v>
      </c>
      <c r="U17" s="28">
        <f t="shared" si="12"/>
        <v>9729.7100000000028</v>
      </c>
      <c r="V17" s="28">
        <f t="shared" si="12"/>
        <v>4194.130000000001</v>
      </c>
      <c r="W17" s="28">
        <f t="shared" si="12"/>
        <v>2348.9300000000003</v>
      </c>
      <c r="X17" s="28">
        <f t="shared" si="12"/>
        <v>9729.7100000000028</v>
      </c>
      <c r="Y17" s="28">
        <f t="shared" si="12"/>
        <v>11574.909999999993</v>
      </c>
      <c r="Z17" s="28">
        <f t="shared" si="12"/>
        <v>11574.909999999993</v>
      </c>
      <c r="AA17" s="28">
        <f t="shared" si="12"/>
        <v>13420.100000000002</v>
      </c>
      <c r="AB17" s="28">
        <f t="shared" si="12"/>
        <v>3407.4399999999987</v>
      </c>
      <c r="AC17" s="28">
        <f t="shared" si="12"/>
        <v>3407.4399999999987</v>
      </c>
      <c r="AD17" s="28">
        <f t="shared" si="12"/>
        <v>7393.059999999994</v>
      </c>
      <c r="AE17" s="28">
        <f t="shared" si="12"/>
        <v>9385.869999999999</v>
      </c>
      <c r="AF17" s="28">
        <f t="shared" si="12"/>
        <v>11378.680000000004</v>
      </c>
      <c r="AG17" s="28">
        <f t="shared" si="12"/>
        <v>11378.680000000004</v>
      </c>
      <c r="AH17" s="28">
        <f t="shared" si="12"/>
        <v>5400.2499999999964</v>
      </c>
      <c r="AI17" s="28">
        <f t="shared" si="12"/>
        <v>3407.4399999999987</v>
      </c>
      <c r="AJ17" s="28">
        <f t="shared" si="12"/>
        <v>11378.680000000004</v>
      </c>
      <c r="AK17" s="28">
        <f t="shared" si="12"/>
        <v>13371.500000000004</v>
      </c>
      <c r="AL17" s="28">
        <f t="shared" si="12"/>
        <v>13371.500000000004</v>
      </c>
      <c r="AM17" s="28">
        <f t="shared" si="12"/>
        <v>15364.3</v>
      </c>
      <c r="AO17" s="28">
        <f t="shared" si="5"/>
        <v>22124.19</v>
      </c>
      <c r="AP17" s="28">
        <f t="shared" si="6"/>
        <v>90923.81</v>
      </c>
      <c r="AQ17" s="28">
        <f t="shared" si="7"/>
        <v>108644.84000000001</v>
      </c>
    </row>
    <row r="18" spans="2:43" x14ac:dyDescent="0.2">
      <c r="B18" s="23" t="s">
        <v>110</v>
      </c>
      <c r="C18" s="11"/>
      <c r="D18" s="28">
        <f t="shared" ref="D18:AM18" si="13">AmortLunara</f>
        <v>1259.72</v>
      </c>
      <c r="E18" s="28">
        <f t="shared" si="13"/>
        <v>1259.72</v>
      </c>
      <c r="F18" s="28">
        <f t="shared" si="13"/>
        <v>1259.72</v>
      </c>
      <c r="G18" s="28">
        <f t="shared" si="13"/>
        <v>1259.72</v>
      </c>
      <c r="H18" s="28">
        <f t="shared" si="13"/>
        <v>1259.72</v>
      </c>
      <c r="I18" s="28">
        <f t="shared" si="13"/>
        <v>1259.72</v>
      </c>
      <c r="J18" s="28">
        <f t="shared" si="13"/>
        <v>1259.72</v>
      </c>
      <c r="K18" s="28">
        <f t="shared" si="13"/>
        <v>1259.72</v>
      </c>
      <c r="L18" s="28">
        <f t="shared" si="13"/>
        <v>1259.72</v>
      </c>
      <c r="M18" s="28">
        <f t="shared" si="13"/>
        <v>1259.72</v>
      </c>
      <c r="N18" s="28">
        <f t="shared" si="13"/>
        <v>1259.72</v>
      </c>
      <c r="O18" s="28">
        <f t="shared" si="13"/>
        <v>1259.72</v>
      </c>
      <c r="P18" s="28">
        <f t="shared" si="13"/>
        <v>1259.72</v>
      </c>
      <c r="Q18" s="28">
        <f t="shared" si="13"/>
        <v>1259.72</v>
      </c>
      <c r="R18" s="28">
        <f t="shared" si="13"/>
        <v>1259.72</v>
      </c>
      <c r="S18" s="28">
        <f t="shared" si="13"/>
        <v>1259.72</v>
      </c>
      <c r="T18" s="28">
        <f t="shared" si="13"/>
        <v>1259.72</v>
      </c>
      <c r="U18" s="28">
        <f t="shared" si="13"/>
        <v>1259.72</v>
      </c>
      <c r="V18" s="28">
        <f t="shared" si="13"/>
        <v>1259.72</v>
      </c>
      <c r="W18" s="28">
        <f t="shared" si="13"/>
        <v>1259.72</v>
      </c>
      <c r="X18" s="28">
        <f t="shared" si="13"/>
        <v>1259.72</v>
      </c>
      <c r="Y18" s="28">
        <f t="shared" si="13"/>
        <v>1259.72</v>
      </c>
      <c r="Z18" s="28">
        <f t="shared" si="13"/>
        <v>1259.72</v>
      </c>
      <c r="AA18" s="28">
        <f t="shared" si="13"/>
        <v>1259.72</v>
      </c>
      <c r="AB18" s="28">
        <f t="shared" si="13"/>
        <v>1259.72</v>
      </c>
      <c r="AC18" s="28">
        <f t="shared" si="13"/>
        <v>1259.72</v>
      </c>
      <c r="AD18" s="28">
        <f t="shared" si="13"/>
        <v>1259.72</v>
      </c>
      <c r="AE18" s="28">
        <f t="shared" si="13"/>
        <v>1259.72</v>
      </c>
      <c r="AF18" s="28">
        <f t="shared" si="13"/>
        <v>1259.72</v>
      </c>
      <c r="AG18" s="28">
        <f t="shared" si="13"/>
        <v>1259.72</v>
      </c>
      <c r="AH18" s="28">
        <f t="shared" si="13"/>
        <v>1259.72</v>
      </c>
      <c r="AI18" s="28">
        <f t="shared" si="13"/>
        <v>1259.72</v>
      </c>
      <c r="AJ18" s="28">
        <f t="shared" si="13"/>
        <v>1259.72</v>
      </c>
      <c r="AK18" s="28">
        <f t="shared" si="13"/>
        <v>1259.72</v>
      </c>
      <c r="AL18" s="28">
        <f t="shared" si="13"/>
        <v>1259.72</v>
      </c>
      <c r="AM18" s="28">
        <f t="shared" si="13"/>
        <v>1259.72</v>
      </c>
      <c r="AO18" s="28">
        <f t="shared" si="5"/>
        <v>15116.639999999998</v>
      </c>
      <c r="AP18" s="28">
        <f t="shared" si="6"/>
        <v>15116.639999999998</v>
      </c>
      <c r="AQ18" s="28">
        <f t="shared" si="7"/>
        <v>15116.639999999998</v>
      </c>
    </row>
    <row r="19" spans="2:43" x14ac:dyDescent="0.2">
      <c r="B19" s="23" t="s">
        <v>111</v>
      </c>
      <c r="C19" s="11"/>
      <c r="D19" s="28">
        <f t="shared" ref="D19:AM19" si="14">IF(OR(N(Credit)=0,D6&gt;AniCredit*12),0,ROUND(-IPMT(Dobanda/12,D6,AniCredit*12,Credit),2))</f>
        <v>495.83</v>
      </c>
      <c r="E19" s="28">
        <f t="shared" si="14"/>
        <v>489.17</v>
      </c>
      <c r="F19" s="28">
        <f t="shared" si="14"/>
        <v>482.46</v>
      </c>
      <c r="G19" s="28">
        <f t="shared" si="14"/>
        <v>475.71</v>
      </c>
      <c r="H19" s="28">
        <f t="shared" si="14"/>
        <v>468.91</v>
      </c>
      <c r="I19" s="28">
        <f t="shared" si="14"/>
        <v>462.06</v>
      </c>
      <c r="J19" s="28">
        <f t="shared" si="14"/>
        <v>455.16</v>
      </c>
      <c r="K19" s="28">
        <f t="shared" si="14"/>
        <v>448.21</v>
      </c>
      <c r="L19" s="28">
        <f t="shared" si="14"/>
        <v>441.21</v>
      </c>
      <c r="M19" s="28">
        <f t="shared" si="14"/>
        <v>434.16</v>
      </c>
      <c r="N19" s="28">
        <f t="shared" si="14"/>
        <v>427.06</v>
      </c>
      <c r="O19" s="28">
        <f t="shared" si="14"/>
        <v>419.92</v>
      </c>
      <c r="P19" s="28">
        <f t="shared" si="14"/>
        <v>412.72</v>
      </c>
      <c r="Q19" s="28">
        <f t="shared" si="14"/>
        <v>405.47</v>
      </c>
      <c r="R19" s="28">
        <f t="shared" si="14"/>
        <v>398.17</v>
      </c>
      <c r="S19" s="28">
        <f t="shared" si="14"/>
        <v>390.81</v>
      </c>
      <c r="T19" s="28">
        <f t="shared" si="14"/>
        <v>383.41</v>
      </c>
      <c r="U19" s="28">
        <f t="shared" si="14"/>
        <v>375.95</v>
      </c>
      <c r="V19" s="28">
        <f t="shared" si="14"/>
        <v>368.44</v>
      </c>
      <c r="W19" s="28">
        <f t="shared" si="14"/>
        <v>360.88</v>
      </c>
      <c r="X19" s="28">
        <f t="shared" si="14"/>
        <v>353.26</v>
      </c>
      <c r="Y19" s="28">
        <f t="shared" si="14"/>
        <v>345.59</v>
      </c>
      <c r="Z19" s="28">
        <f t="shared" si="14"/>
        <v>337.87</v>
      </c>
      <c r="AA19" s="28">
        <f t="shared" si="14"/>
        <v>330.09</v>
      </c>
      <c r="AB19" s="28">
        <f t="shared" si="14"/>
        <v>322.25</v>
      </c>
      <c r="AC19" s="28">
        <f t="shared" si="14"/>
        <v>314.36</v>
      </c>
      <c r="AD19" s="28">
        <f t="shared" si="14"/>
        <v>306.42</v>
      </c>
      <c r="AE19" s="28">
        <f t="shared" si="14"/>
        <v>298.42</v>
      </c>
      <c r="AF19" s="28">
        <f t="shared" si="14"/>
        <v>290.36</v>
      </c>
      <c r="AG19" s="28">
        <f t="shared" si="14"/>
        <v>282.24</v>
      </c>
      <c r="AH19" s="28">
        <f t="shared" si="14"/>
        <v>274.07</v>
      </c>
      <c r="AI19" s="28">
        <f t="shared" si="14"/>
        <v>265.83999999999997</v>
      </c>
      <c r="AJ19" s="28">
        <f t="shared" si="14"/>
        <v>257.55</v>
      </c>
      <c r="AK19" s="28">
        <f t="shared" si="14"/>
        <v>249.2</v>
      </c>
      <c r="AL19" s="28">
        <f t="shared" si="14"/>
        <v>240.79</v>
      </c>
      <c r="AM19" s="28">
        <f t="shared" si="14"/>
        <v>232.32</v>
      </c>
      <c r="AO19" s="28">
        <f t="shared" si="5"/>
        <v>5499.86</v>
      </c>
      <c r="AP19" s="28">
        <f t="shared" si="6"/>
        <v>4462.6600000000008</v>
      </c>
      <c r="AQ19" s="28">
        <f t="shared" si="7"/>
        <v>3333.82</v>
      </c>
    </row>
    <row r="20" spans="2:43" x14ac:dyDescent="0.2">
      <c r="B20" s="23" t="s">
        <v>112</v>
      </c>
      <c r="C20" s="11"/>
      <c r="D20" s="28">
        <f t="shared" ref="D20:AM20" si="15">D17-D18-D19</f>
        <v>-15134.73</v>
      </c>
      <c r="E20" s="28">
        <f t="shared" si="15"/>
        <v>-12276.399999999998</v>
      </c>
      <c r="F20" s="28">
        <f t="shared" si="15"/>
        <v>-7069.6000000000022</v>
      </c>
      <c r="G20" s="28">
        <f t="shared" si="15"/>
        <v>-2533.7299999999996</v>
      </c>
      <c r="H20" s="28">
        <f t="shared" si="15"/>
        <v>2337.6700000000028</v>
      </c>
      <c r="I20" s="28">
        <f t="shared" si="15"/>
        <v>5867.1699999999964</v>
      </c>
      <c r="J20" s="28">
        <f t="shared" si="15"/>
        <v>841.71999999999844</v>
      </c>
      <c r="K20" s="28">
        <f t="shared" si="15"/>
        <v>-828.77999999999861</v>
      </c>
      <c r="L20" s="28">
        <f t="shared" si="15"/>
        <v>5888.0199999999968</v>
      </c>
      <c r="M20" s="28">
        <f t="shared" si="15"/>
        <v>7572.5200000000013</v>
      </c>
      <c r="N20" s="28">
        <f t="shared" si="15"/>
        <v>7579.6200000000008</v>
      </c>
      <c r="O20" s="28">
        <f t="shared" si="15"/>
        <v>9264.2099999999991</v>
      </c>
      <c r="P20" s="28">
        <f t="shared" si="15"/>
        <v>676.49000000000024</v>
      </c>
      <c r="Q20" s="28">
        <f t="shared" si="15"/>
        <v>683.74000000000024</v>
      </c>
      <c r="R20" s="28">
        <f t="shared" si="15"/>
        <v>4381.430000000003</v>
      </c>
      <c r="S20" s="28">
        <f t="shared" si="15"/>
        <v>6233.99</v>
      </c>
      <c r="T20" s="28">
        <f t="shared" si="15"/>
        <v>8086.5800000000036</v>
      </c>
      <c r="U20" s="28">
        <f t="shared" si="15"/>
        <v>8094.0400000000036</v>
      </c>
      <c r="V20" s="28">
        <f t="shared" si="15"/>
        <v>2565.9700000000007</v>
      </c>
      <c r="W20" s="28">
        <f t="shared" si="15"/>
        <v>728.33000000000027</v>
      </c>
      <c r="X20" s="28">
        <f t="shared" si="15"/>
        <v>8116.7300000000032</v>
      </c>
      <c r="Y20" s="28">
        <f t="shared" si="15"/>
        <v>9969.5999999999931</v>
      </c>
      <c r="Z20" s="28">
        <f t="shared" si="15"/>
        <v>9977.3199999999924</v>
      </c>
      <c r="AA20" s="28">
        <f t="shared" si="15"/>
        <v>11830.290000000003</v>
      </c>
      <c r="AB20" s="28">
        <f t="shared" si="15"/>
        <v>1825.4699999999984</v>
      </c>
      <c r="AC20" s="28">
        <f t="shared" si="15"/>
        <v>1833.3599999999983</v>
      </c>
      <c r="AD20" s="28">
        <f t="shared" si="15"/>
        <v>5826.9199999999937</v>
      </c>
      <c r="AE20" s="28">
        <f t="shared" si="15"/>
        <v>7827.7299999999987</v>
      </c>
      <c r="AF20" s="28">
        <f t="shared" si="15"/>
        <v>9828.600000000004</v>
      </c>
      <c r="AG20" s="28">
        <f t="shared" si="15"/>
        <v>9836.7200000000048</v>
      </c>
      <c r="AH20" s="28">
        <f t="shared" si="15"/>
        <v>3866.4599999999959</v>
      </c>
      <c r="AI20" s="28">
        <f t="shared" si="15"/>
        <v>1881.8799999999985</v>
      </c>
      <c r="AJ20" s="28">
        <f t="shared" si="15"/>
        <v>9861.4100000000053</v>
      </c>
      <c r="AK20" s="28">
        <f t="shared" si="15"/>
        <v>11862.580000000004</v>
      </c>
      <c r="AL20" s="28">
        <f t="shared" si="15"/>
        <v>11870.990000000003</v>
      </c>
      <c r="AM20" s="28">
        <f t="shared" si="15"/>
        <v>13872.26</v>
      </c>
      <c r="AO20" s="28">
        <f t="shared" si="5"/>
        <v>1507.6900000000078</v>
      </c>
      <c r="AP20" s="28">
        <f t="shared" si="6"/>
        <v>71344.510000000009</v>
      </c>
      <c r="AQ20" s="28">
        <f t="shared" si="7"/>
        <v>90194.38</v>
      </c>
    </row>
    <row r="21" spans="2:43" x14ac:dyDescent="0.2">
      <c r="B21" s="23" t="s">
        <v>113</v>
      </c>
      <c r="C21" s="11"/>
      <c r="D21" s="28">
        <f t="shared" ref="D21:AM21" si="16">IF(LEFT(Regim,5)="Micro",ROUND(D12*CotaMicro,2),IF(MOD(D6,12)=0,ROUND(MAX(0,SUMIF($D$7:$AM$7,D7,$D$20:$AM$20))*CotaProfit,2),0))</f>
        <v>0</v>
      </c>
      <c r="E21" s="28">
        <f t="shared" si="16"/>
        <v>0</v>
      </c>
      <c r="F21" s="28">
        <f t="shared" si="16"/>
        <v>0</v>
      </c>
      <c r="G21" s="28">
        <f t="shared" si="16"/>
        <v>0</v>
      </c>
      <c r="H21" s="28">
        <f t="shared" si="16"/>
        <v>0</v>
      </c>
      <c r="I21" s="28">
        <f t="shared" si="16"/>
        <v>0</v>
      </c>
      <c r="J21" s="28">
        <f t="shared" si="16"/>
        <v>0</v>
      </c>
      <c r="K21" s="28">
        <f t="shared" si="16"/>
        <v>0</v>
      </c>
      <c r="L21" s="28">
        <f t="shared" si="16"/>
        <v>0</v>
      </c>
      <c r="M21" s="28">
        <f t="shared" si="16"/>
        <v>0</v>
      </c>
      <c r="N21" s="28">
        <f t="shared" si="16"/>
        <v>0</v>
      </c>
      <c r="O21" s="28">
        <f t="shared" si="16"/>
        <v>241.23</v>
      </c>
      <c r="P21" s="28">
        <f t="shared" si="16"/>
        <v>0</v>
      </c>
      <c r="Q21" s="28">
        <f t="shared" si="16"/>
        <v>0</v>
      </c>
      <c r="R21" s="28">
        <f t="shared" si="16"/>
        <v>0</v>
      </c>
      <c r="S21" s="28">
        <f t="shared" si="16"/>
        <v>0</v>
      </c>
      <c r="T21" s="28">
        <f t="shared" si="16"/>
        <v>0</v>
      </c>
      <c r="U21" s="28">
        <f t="shared" si="16"/>
        <v>0</v>
      </c>
      <c r="V21" s="28">
        <f t="shared" si="16"/>
        <v>0</v>
      </c>
      <c r="W21" s="28">
        <f t="shared" si="16"/>
        <v>0</v>
      </c>
      <c r="X21" s="28">
        <f t="shared" si="16"/>
        <v>0</v>
      </c>
      <c r="Y21" s="28">
        <f t="shared" si="16"/>
        <v>0</v>
      </c>
      <c r="Z21" s="28">
        <f t="shared" si="16"/>
        <v>0</v>
      </c>
      <c r="AA21" s="28">
        <f t="shared" si="16"/>
        <v>11415.12</v>
      </c>
      <c r="AB21" s="28">
        <f t="shared" si="16"/>
        <v>0</v>
      </c>
      <c r="AC21" s="28">
        <f t="shared" si="16"/>
        <v>0</v>
      </c>
      <c r="AD21" s="28">
        <f t="shared" si="16"/>
        <v>0</v>
      </c>
      <c r="AE21" s="28">
        <f t="shared" si="16"/>
        <v>0</v>
      </c>
      <c r="AF21" s="28">
        <f t="shared" si="16"/>
        <v>0</v>
      </c>
      <c r="AG21" s="28">
        <f t="shared" si="16"/>
        <v>0</v>
      </c>
      <c r="AH21" s="28">
        <f t="shared" si="16"/>
        <v>0</v>
      </c>
      <c r="AI21" s="28">
        <f t="shared" si="16"/>
        <v>0</v>
      </c>
      <c r="AJ21" s="28">
        <f t="shared" si="16"/>
        <v>0</v>
      </c>
      <c r="AK21" s="28">
        <f t="shared" si="16"/>
        <v>0</v>
      </c>
      <c r="AL21" s="28">
        <f t="shared" si="16"/>
        <v>0</v>
      </c>
      <c r="AM21" s="28">
        <f t="shared" si="16"/>
        <v>14431.1</v>
      </c>
      <c r="AO21" s="28">
        <f t="shared" si="5"/>
        <v>241.23</v>
      </c>
      <c r="AP21" s="28">
        <f t="shared" si="6"/>
        <v>11415.12</v>
      </c>
      <c r="AQ21" s="28">
        <f t="shared" si="7"/>
        <v>14431.1</v>
      </c>
    </row>
    <row r="22" spans="2:43" x14ac:dyDescent="0.2">
      <c r="B22" s="19" t="s">
        <v>114</v>
      </c>
      <c r="C22" s="19"/>
      <c r="D22" s="20">
        <f t="shared" ref="D22:AM22" si="17">D20-D21</f>
        <v>-15134.73</v>
      </c>
      <c r="E22" s="20">
        <f t="shared" si="17"/>
        <v>-12276.399999999998</v>
      </c>
      <c r="F22" s="20">
        <f t="shared" si="17"/>
        <v>-7069.6000000000022</v>
      </c>
      <c r="G22" s="20">
        <f t="shared" si="17"/>
        <v>-2533.7299999999996</v>
      </c>
      <c r="H22" s="20">
        <f t="shared" si="17"/>
        <v>2337.6700000000028</v>
      </c>
      <c r="I22" s="20">
        <f t="shared" si="17"/>
        <v>5867.1699999999964</v>
      </c>
      <c r="J22" s="20">
        <f t="shared" si="17"/>
        <v>841.71999999999844</v>
      </c>
      <c r="K22" s="20">
        <f t="shared" si="17"/>
        <v>-828.77999999999861</v>
      </c>
      <c r="L22" s="20">
        <f t="shared" si="17"/>
        <v>5888.0199999999968</v>
      </c>
      <c r="M22" s="20">
        <f t="shared" si="17"/>
        <v>7572.5200000000013</v>
      </c>
      <c r="N22" s="20">
        <f t="shared" si="17"/>
        <v>7579.6200000000008</v>
      </c>
      <c r="O22" s="20">
        <f t="shared" si="17"/>
        <v>9022.98</v>
      </c>
      <c r="P22" s="20">
        <f t="shared" si="17"/>
        <v>676.49000000000024</v>
      </c>
      <c r="Q22" s="20">
        <f t="shared" si="17"/>
        <v>683.74000000000024</v>
      </c>
      <c r="R22" s="20">
        <f t="shared" si="17"/>
        <v>4381.430000000003</v>
      </c>
      <c r="S22" s="20">
        <f t="shared" si="17"/>
        <v>6233.99</v>
      </c>
      <c r="T22" s="20">
        <f t="shared" si="17"/>
        <v>8086.5800000000036</v>
      </c>
      <c r="U22" s="20">
        <f t="shared" si="17"/>
        <v>8094.0400000000036</v>
      </c>
      <c r="V22" s="20">
        <f t="shared" si="17"/>
        <v>2565.9700000000007</v>
      </c>
      <c r="W22" s="20">
        <f t="shared" si="17"/>
        <v>728.33000000000027</v>
      </c>
      <c r="X22" s="20">
        <f t="shared" si="17"/>
        <v>8116.7300000000032</v>
      </c>
      <c r="Y22" s="20">
        <f t="shared" si="17"/>
        <v>9969.5999999999931</v>
      </c>
      <c r="Z22" s="20">
        <f t="shared" si="17"/>
        <v>9977.3199999999924</v>
      </c>
      <c r="AA22" s="20">
        <f t="shared" si="17"/>
        <v>415.17000000000189</v>
      </c>
      <c r="AB22" s="20">
        <f t="shared" si="17"/>
        <v>1825.4699999999984</v>
      </c>
      <c r="AC22" s="20">
        <f t="shared" si="17"/>
        <v>1833.3599999999983</v>
      </c>
      <c r="AD22" s="20">
        <f t="shared" si="17"/>
        <v>5826.9199999999937</v>
      </c>
      <c r="AE22" s="20">
        <f t="shared" si="17"/>
        <v>7827.7299999999987</v>
      </c>
      <c r="AF22" s="20">
        <f t="shared" si="17"/>
        <v>9828.600000000004</v>
      </c>
      <c r="AG22" s="20">
        <f t="shared" si="17"/>
        <v>9836.7200000000048</v>
      </c>
      <c r="AH22" s="20">
        <f t="shared" si="17"/>
        <v>3866.4599999999959</v>
      </c>
      <c r="AI22" s="20">
        <f t="shared" si="17"/>
        <v>1881.8799999999985</v>
      </c>
      <c r="AJ22" s="20">
        <f t="shared" si="17"/>
        <v>9861.4100000000053</v>
      </c>
      <c r="AK22" s="20">
        <f t="shared" si="17"/>
        <v>11862.580000000004</v>
      </c>
      <c r="AL22" s="20">
        <f t="shared" si="17"/>
        <v>11870.990000000003</v>
      </c>
      <c r="AM22" s="20">
        <f t="shared" si="17"/>
        <v>-558.84000000000015</v>
      </c>
      <c r="AO22" s="20">
        <f t="shared" si="5"/>
        <v>1266.4600000000082</v>
      </c>
      <c r="AP22" s="20">
        <f t="shared" si="6"/>
        <v>59929.39</v>
      </c>
      <c r="AQ22" s="20">
        <f t="shared" si="7"/>
        <v>75763.280000000013</v>
      </c>
    </row>
    <row r="23" spans="2:43" x14ac:dyDescent="0.2">
      <c r="B23" s="23"/>
      <c r="C23" s="11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O23" s="28"/>
      <c r="AP23" s="28"/>
      <c r="AQ23" s="28"/>
    </row>
    <row r="24" spans="2:43" x14ac:dyDescent="0.2">
      <c r="B24" s="23" t="s">
        <v>115</v>
      </c>
      <c r="C24" s="11"/>
      <c r="D24" s="28">
        <f t="shared" ref="D24:AM24" si="18">IF(OR(N(Credit)=0,D6&gt;AniCredit*12),0,ROUND(-PPMT(Dobanda/12,D6,AniCredit*12,Credit),2))</f>
        <v>940.32</v>
      </c>
      <c r="E24" s="28">
        <f t="shared" si="18"/>
        <v>946.98</v>
      </c>
      <c r="F24" s="28">
        <f t="shared" si="18"/>
        <v>953.69</v>
      </c>
      <c r="G24" s="28">
        <f t="shared" si="18"/>
        <v>960.45</v>
      </c>
      <c r="H24" s="28">
        <f t="shared" si="18"/>
        <v>967.25</v>
      </c>
      <c r="I24" s="28">
        <f t="shared" si="18"/>
        <v>974.1</v>
      </c>
      <c r="J24" s="28">
        <f t="shared" si="18"/>
        <v>981</v>
      </c>
      <c r="K24" s="28">
        <f t="shared" si="18"/>
        <v>987.95</v>
      </c>
      <c r="L24" s="28">
        <f t="shared" si="18"/>
        <v>994.95</v>
      </c>
      <c r="M24" s="28">
        <f t="shared" si="18"/>
        <v>1002</v>
      </c>
      <c r="N24" s="28">
        <f t="shared" si="18"/>
        <v>1009.09</v>
      </c>
      <c r="O24" s="28">
        <f t="shared" si="18"/>
        <v>1016.24</v>
      </c>
      <c r="P24" s="28">
        <f t="shared" si="18"/>
        <v>1023.44</v>
      </c>
      <c r="Q24" s="28">
        <f t="shared" si="18"/>
        <v>1030.69</v>
      </c>
      <c r="R24" s="28">
        <f t="shared" si="18"/>
        <v>1037.99</v>
      </c>
      <c r="S24" s="28">
        <f t="shared" si="18"/>
        <v>1045.3399999999999</v>
      </c>
      <c r="T24" s="28">
        <f t="shared" si="18"/>
        <v>1052.75</v>
      </c>
      <c r="U24" s="28">
        <f t="shared" si="18"/>
        <v>1060.2</v>
      </c>
      <c r="V24" s="28">
        <f t="shared" si="18"/>
        <v>1067.71</v>
      </c>
      <c r="W24" s="28">
        <f t="shared" si="18"/>
        <v>1075.28</v>
      </c>
      <c r="X24" s="28">
        <f t="shared" si="18"/>
        <v>1082.8900000000001</v>
      </c>
      <c r="Y24" s="28">
        <f t="shared" si="18"/>
        <v>1090.56</v>
      </c>
      <c r="Z24" s="28">
        <f t="shared" si="18"/>
        <v>1098.29</v>
      </c>
      <c r="AA24" s="28">
        <f t="shared" si="18"/>
        <v>1106.07</v>
      </c>
      <c r="AB24" s="28">
        <f t="shared" si="18"/>
        <v>1113.9000000000001</v>
      </c>
      <c r="AC24" s="28">
        <f t="shared" si="18"/>
        <v>1121.79</v>
      </c>
      <c r="AD24" s="28">
        <f t="shared" si="18"/>
        <v>1129.74</v>
      </c>
      <c r="AE24" s="28">
        <f t="shared" si="18"/>
        <v>1137.74</v>
      </c>
      <c r="AF24" s="28">
        <f t="shared" si="18"/>
        <v>1145.8</v>
      </c>
      <c r="AG24" s="28">
        <f t="shared" si="18"/>
        <v>1153.92</v>
      </c>
      <c r="AH24" s="28">
        <f t="shared" si="18"/>
        <v>1162.0899999999999</v>
      </c>
      <c r="AI24" s="28">
        <f t="shared" si="18"/>
        <v>1170.32</v>
      </c>
      <c r="AJ24" s="28">
        <f t="shared" si="18"/>
        <v>1178.6099999999999</v>
      </c>
      <c r="AK24" s="28">
        <f t="shared" si="18"/>
        <v>1186.96</v>
      </c>
      <c r="AL24" s="28">
        <f t="shared" si="18"/>
        <v>1195.3699999999999</v>
      </c>
      <c r="AM24" s="28">
        <f t="shared" si="18"/>
        <v>1203.83</v>
      </c>
      <c r="AO24" s="28">
        <f>SUMIF($D$7:$AM$7,1,$D24:$AM24)</f>
        <v>11734.02</v>
      </c>
      <c r="AP24" s="28">
        <f>SUMIF($D$7:$AM$7,2,$D24:$AM24)</f>
        <v>12771.21</v>
      </c>
      <c r="AQ24" s="28">
        <f>SUMIF($D$7:$AM$7,3,$D24:$AM24)</f>
        <v>13900.070000000002</v>
      </c>
    </row>
    <row r="25" spans="2:43" x14ac:dyDescent="0.2">
      <c r="B25" s="23" t="s">
        <v>116</v>
      </c>
      <c r="C25" s="11"/>
      <c r="D25" s="28">
        <f t="shared" ref="D25:AM25" si="19">D22+D18-D24</f>
        <v>-14815.33</v>
      </c>
      <c r="E25" s="28">
        <f t="shared" si="19"/>
        <v>-11963.659999999998</v>
      </c>
      <c r="F25" s="28">
        <f t="shared" si="19"/>
        <v>-6763.5700000000015</v>
      </c>
      <c r="G25" s="28">
        <f t="shared" si="19"/>
        <v>-2234.4599999999996</v>
      </c>
      <c r="H25" s="28">
        <f t="shared" si="19"/>
        <v>2630.1400000000031</v>
      </c>
      <c r="I25" s="28">
        <f t="shared" si="19"/>
        <v>6152.7899999999963</v>
      </c>
      <c r="J25" s="28">
        <f t="shared" si="19"/>
        <v>1120.4399999999987</v>
      </c>
      <c r="K25" s="28">
        <f t="shared" si="19"/>
        <v>-557.00999999999863</v>
      </c>
      <c r="L25" s="28">
        <f t="shared" si="19"/>
        <v>6152.7899999999972</v>
      </c>
      <c r="M25" s="28">
        <f t="shared" si="19"/>
        <v>7830.2400000000016</v>
      </c>
      <c r="N25" s="28">
        <f t="shared" si="19"/>
        <v>7830.25</v>
      </c>
      <c r="O25" s="28">
        <f t="shared" si="19"/>
        <v>9266.4599999999991</v>
      </c>
      <c r="P25" s="28">
        <f t="shared" si="19"/>
        <v>912.77000000000021</v>
      </c>
      <c r="Q25" s="28">
        <f t="shared" si="19"/>
        <v>912.77000000000021</v>
      </c>
      <c r="R25" s="28">
        <f t="shared" si="19"/>
        <v>4603.1600000000035</v>
      </c>
      <c r="S25" s="28">
        <f t="shared" si="19"/>
        <v>6448.37</v>
      </c>
      <c r="T25" s="28">
        <f t="shared" si="19"/>
        <v>8293.5500000000029</v>
      </c>
      <c r="U25" s="28">
        <f t="shared" si="19"/>
        <v>8293.5600000000031</v>
      </c>
      <c r="V25" s="28">
        <f t="shared" si="19"/>
        <v>2757.9800000000005</v>
      </c>
      <c r="W25" s="28">
        <f t="shared" si="19"/>
        <v>912.77000000000021</v>
      </c>
      <c r="X25" s="28">
        <f t="shared" si="19"/>
        <v>8293.5600000000031</v>
      </c>
      <c r="Y25" s="28">
        <f t="shared" si="19"/>
        <v>10138.759999999993</v>
      </c>
      <c r="Z25" s="28">
        <f t="shared" si="19"/>
        <v>10138.749999999993</v>
      </c>
      <c r="AA25" s="28">
        <f t="shared" si="19"/>
        <v>568.82000000000198</v>
      </c>
      <c r="AB25" s="28">
        <f t="shared" si="19"/>
        <v>1971.2899999999986</v>
      </c>
      <c r="AC25" s="28">
        <f t="shared" si="19"/>
        <v>1971.2899999999981</v>
      </c>
      <c r="AD25" s="28">
        <f t="shared" si="19"/>
        <v>5956.8999999999942</v>
      </c>
      <c r="AE25" s="28">
        <f t="shared" si="19"/>
        <v>7949.7099999999991</v>
      </c>
      <c r="AF25" s="28">
        <f t="shared" si="19"/>
        <v>9942.5200000000041</v>
      </c>
      <c r="AG25" s="28">
        <f t="shared" si="19"/>
        <v>9942.5200000000041</v>
      </c>
      <c r="AH25" s="28">
        <f t="shared" si="19"/>
        <v>3964.0899999999956</v>
      </c>
      <c r="AI25" s="28">
        <f t="shared" si="19"/>
        <v>1971.2799999999986</v>
      </c>
      <c r="AJ25" s="28">
        <f t="shared" si="19"/>
        <v>9942.5200000000041</v>
      </c>
      <c r="AK25" s="28">
        <f t="shared" si="19"/>
        <v>11935.340000000004</v>
      </c>
      <c r="AL25" s="28">
        <f t="shared" si="19"/>
        <v>11935.340000000004</v>
      </c>
      <c r="AM25" s="28">
        <f t="shared" si="19"/>
        <v>-502.95000000000005</v>
      </c>
      <c r="AO25" s="28">
        <f>SUMIF($D$7:$AM$7,1,$D25:$AM25)</f>
        <v>4649.0800000000054</v>
      </c>
      <c r="AP25" s="28">
        <f>SUMIF($D$7:$AM$7,2,$D25:$AM25)</f>
        <v>62274.82</v>
      </c>
      <c r="AQ25" s="28">
        <f>SUMIF($D$7:$AM$7,3,$D25:$AM25)</f>
        <v>76979.849999999991</v>
      </c>
    </row>
    <row r="26" spans="2:43" x14ac:dyDescent="0.2">
      <c r="B26" s="19" t="s">
        <v>117</v>
      </c>
      <c r="C26" s="19"/>
      <c r="D26" s="20">
        <f>SoldInitial+D25</f>
        <v>5184.67</v>
      </c>
      <c r="E26" s="20">
        <f t="shared" ref="E26:AM26" si="20">D26+E25</f>
        <v>-6778.989999999998</v>
      </c>
      <c r="F26" s="20">
        <f t="shared" si="20"/>
        <v>-13542.56</v>
      </c>
      <c r="G26" s="20">
        <f t="shared" si="20"/>
        <v>-15777.019999999999</v>
      </c>
      <c r="H26" s="20">
        <f t="shared" si="20"/>
        <v>-13146.879999999996</v>
      </c>
      <c r="I26" s="20">
        <f t="shared" si="20"/>
        <v>-6994.0899999999992</v>
      </c>
      <c r="J26" s="20">
        <f t="shared" si="20"/>
        <v>-5873.6500000000005</v>
      </c>
      <c r="K26" s="20">
        <f t="shared" si="20"/>
        <v>-6430.6599999999989</v>
      </c>
      <c r="L26" s="20">
        <f t="shared" si="20"/>
        <v>-277.87000000000171</v>
      </c>
      <c r="M26" s="20">
        <f t="shared" si="20"/>
        <v>7552.37</v>
      </c>
      <c r="N26" s="20">
        <f t="shared" si="20"/>
        <v>15382.619999999999</v>
      </c>
      <c r="O26" s="20">
        <f t="shared" si="20"/>
        <v>24649.079999999998</v>
      </c>
      <c r="P26" s="20">
        <f t="shared" si="20"/>
        <v>25561.85</v>
      </c>
      <c r="Q26" s="20">
        <f t="shared" si="20"/>
        <v>26474.62</v>
      </c>
      <c r="R26" s="20">
        <f t="shared" si="20"/>
        <v>31077.780000000002</v>
      </c>
      <c r="S26" s="20">
        <f t="shared" si="20"/>
        <v>37526.15</v>
      </c>
      <c r="T26" s="20">
        <f t="shared" si="20"/>
        <v>45819.700000000004</v>
      </c>
      <c r="U26" s="20">
        <f t="shared" si="20"/>
        <v>54113.260000000009</v>
      </c>
      <c r="V26" s="20">
        <f t="shared" si="20"/>
        <v>56871.240000000013</v>
      </c>
      <c r="W26" s="20">
        <f t="shared" si="20"/>
        <v>57784.010000000009</v>
      </c>
      <c r="X26" s="20">
        <f t="shared" si="20"/>
        <v>66077.570000000007</v>
      </c>
      <c r="Y26" s="20">
        <f t="shared" si="20"/>
        <v>76216.33</v>
      </c>
      <c r="Z26" s="20">
        <f t="shared" si="20"/>
        <v>86355.079999999987</v>
      </c>
      <c r="AA26" s="20">
        <f t="shared" si="20"/>
        <v>86923.9</v>
      </c>
      <c r="AB26" s="20">
        <f t="shared" si="20"/>
        <v>88895.189999999988</v>
      </c>
      <c r="AC26" s="20">
        <f t="shared" si="20"/>
        <v>90866.479999999981</v>
      </c>
      <c r="AD26" s="20">
        <f t="shared" si="20"/>
        <v>96823.379999999976</v>
      </c>
      <c r="AE26" s="20">
        <f t="shared" si="20"/>
        <v>104773.08999999997</v>
      </c>
      <c r="AF26" s="20">
        <f t="shared" si="20"/>
        <v>114715.60999999997</v>
      </c>
      <c r="AG26" s="20">
        <f t="shared" si="20"/>
        <v>124658.12999999998</v>
      </c>
      <c r="AH26" s="20">
        <f t="shared" si="20"/>
        <v>128622.21999999997</v>
      </c>
      <c r="AI26" s="20">
        <f t="shared" si="20"/>
        <v>130593.49999999997</v>
      </c>
      <c r="AJ26" s="20">
        <f t="shared" si="20"/>
        <v>140536.01999999996</v>
      </c>
      <c r="AK26" s="20">
        <f t="shared" si="20"/>
        <v>152471.35999999996</v>
      </c>
      <c r="AL26" s="20">
        <f t="shared" si="20"/>
        <v>164406.69999999995</v>
      </c>
      <c r="AM26" s="20">
        <f t="shared" si="20"/>
        <v>163903.74999999994</v>
      </c>
      <c r="AO26" s="20">
        <f>INDEX($D26:$AM26,12)</f>
        <v>24649.079999999998</v>
      </c>
      <c r="AP26" s="20">
        <f>INDEX($D26:$AM26,24)</f>
        <v>86923.9</v>
      </c>
      <c r="AQ26" s="20">
        <f>INDEX($D26:$AM26,36)</f>
        <v>163903.74999999994</v>
      </c>
    </row>
    <row r="27" spans="2:43" x14ac:dyDescent="0.2">
      <c r="B27" s="23" t="s">
        <v>118</v>
      </c>
      <c r="C27" s="11"/>
      <c r="D27" s="28">
        <f>D22+D18</f>
        <v>-13875.01</v>
      </c>
      <c r="E27" s="28">
        <f t="shared" ref="E27:AM27" si="21">D27+E22+E18</f>
        <v>-24891.689999999995</v>
      </c>
      <c r="F27" s="28">
        <f t="shared" si="21"/>
        <v>-30701.569999999996</v>
      </c>
      <c r="G27" s="28">
        <f t="shared" si="21"/>
        <v>-31975.579999999994</v>
      </c>
      <c r="H27" s="28">
        <f t="shared" si="21"/>
        <v>-28378.189999999991</v>
      </c>
      <c r="I27" s="28">
        <f t="shared" si="21"/>
        <v>-21251.299999999996</v>
      </c>
      <c r="J27" s="28">
        <f t="shared" si="21"/>
        <v>-19149.859999999997</v>
      </c>
      <c r="K27" s="28">
        <f t="shared" si="21"/>
        <v>-18718.919999999995</v>
      </c>
      <c r="L27" s="28">
        <f t="shared" si="21"/>
        <v>-11571.179999999998</v>
      </c>
      <c r="M27" s="28">
        <f t="shared" si="21"/>
        <v>-2738.9399999999969</v>
      </c>
      <c r="N27" s="28">
        <f t="shared" si="21"/>
        <v>6100.4000000000042</v>
      </c>
      <c r="O27" s="28">
        <f t="shared" si="21"/>
        <v>16383.100000000004</v>
      </c>
      <c r="P27" s="28">
        <f t="shared" si="21"/>
        <v>18319.310000000005</v>
      </c>
      <c r="Q27" s="28">
        <f t="shared" si="21"/>
        <v>20262.770000000008</v>
      </c>
      <c r="R27" s="28">
        <f t="shared" si="21"/>
        <v>25903.920000000013</v>
      </c>
      <c r="S27" s="28">
        <f t="shared" si="21"/>
        <v>33397.630000000012</v>
      </c>
      <c r="T27" s="28">
        <f t="shared" si="21"/>
        <v>42743.930000000015</v>
      </c>
      <c r="U27" s="28">
        <f t="shared" si="21"/>
        <v>52097.690000000017</v>
      </c>
      <c r="V27" s="28">
        <f t="shared" si="21"/>
        <v>55923.380000000019</v>
      </c>
      <c r="W27" s="28">
        <f t="shared" si="21"/>
        <v>57911.430000000022</v>
      </c>
      <c r="X27" s="28">
        <f t="shared" si="21"/>
        <v>67287.880000000034</v>
      </c>
      <c r="Y27" s="28">
        <f t="shared" si="21"/>
        <v>78517.200000000026</v>
      </c>
      <c r="Z27" s="28">
        <f t="shared" si="21"/>
        <v>89754.24000000002</v>
      </c>
      <c r="AA27" s="28">
        <f t="shared" si="21"/>
        <v>91429.130000000019</v>
      </c>
      <c r="AB27" s="28">
        <f t="shared" si="21"/>
        <v>94514.320000000022</v>
      </c>
      <c r="AC27" s="28">
        <f t="shared" si="21"/>
        <v>97607.400000000023</v>
      </c>
      <c r="AD27" s="28">
        <f t="shared" si="21"/>
        <v>104694.04000000002</v>
      </c>
      <c r="AE27" s="28">
        <f t="shared" si="21"/>
        <v>113781.49000000002</v>
      </c>
      <c r="AF27" s="28">
        <f t="shared" si="21"/>
        <v>124869.81000000003</v>
      </c>
      <c r="AG27" s="28">
        <f t="shared" si="21"/>
        <v>135966.25000000003</v>
      </c>
      <c r="AH27" s="28">
        <f t="shared" si="21"/>
        <v>141092.43000000002</v>
      </c>
      <c r="AI27" s="28">
        <f t="shared" si="21"/>
        <v>144234.03000000003</v>
      </c>
      <c r="AJ27" s="28">
        <f t="shared" si="21"/>
        <v>155355.16000000003</v>
      </c>
      <c r="AK27" s="28">
        <f t="shared" si="21"/>
        <v>168477.46000000005</v>
      </c>
      <c r="AL27" s="28">
        <f t="shared" si="21"/>
        <v>181608.17000000004</v>
      </c>
      <c r="AM27" s="28">
        <f t="shared" si="21"/>
        <v>182309.05000000005</v>
      </c>
      <c r="AO27" s="11"/>
      <c r="AP27" s="11"/>
      <c r="AQ27" s="11"/>
    </row>
  </sheetData>
  <conditionalFormatting sqref="D20:AM26">
    <cfRule type="cellIs" dxfId="1" priority="1" stopIfTrue="1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6BB30-AB99-4A41-AFC6-3097BC961527}">
  <dimension ref="B1:E14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50.7109375" style="1" customWidth="1"/>
    <col min="3" max="5" width="14.7109375" style="1" customWidth="1"/>
    <col min="6" max="16384" width="11.42578125" style="1"/>
  </cols>
  <sheetData>
    <row r="1" spans="2:5" ht="21" x14ac:dyDescent="0.35">
      <c r="B1" s="2" t="s">
        <v>122</v>
      </c>
    </row>
    <row r="2" spans="2:5" x14ac:dyDescent="0.2">
      <c r="B2" s="3" t="s">
        <v>123</v>
      </c>
    </row>
    <row r="4" spans="2:5" x14ac:dyDescent="0.2">
      <c r="B4" s="10" t="s">
        <v>124</v>
      </c>
      <c r="C4" s="10" t="s">
        <v>20</v>
      </c>
      <c r="D4" s="10" t="s">
        <v>17</v>
      </c>
      <c r="E4" s="10" t="s">
        <v>21</v>
      </c>
    </row>
    <row r="5" spans="2:5" x14ac:dyDescent="0.2">
      <c r="B5" s="11" t="s">
        <v>125</v>
      </c>
      <c r="C5" s="28">
        <f>ROUND(('Proiecție 36 de luni'!$AO$12/FactScen)*Setări!$F$5,0)</f>
        <v>438672</v>
      </c>
      <c r="D5" s="28">
        <f>ROUND(('Proiecție 36 de luni'!$AO$12/FactScen)*Setări!$F$6,0)</f>
        <v>548340</v>
      </c>
      <c r="E5" s="28">
        <f>ROUND(('Proiecție 36 de luni'!$AO$12/FactScen)*Setări!$F$7,0)</f>
        <v>658008</v>
      </c>
    </row>
    <row r="6" spans="2:5" x14ac:dyDescent="0.2">
      <c r="B6" s="11" t="s">
        <v>126</v>
      </c>
      <c r="C6" s="28">
        <f>ROUND(('Proiecție 36 de luni'!$AP$12/FactScen)*Setări!$F$5,0)</f>
        <v>544544</v>
      </c>
      <c r="D6" s="28">
        <f>ROUND(('Proiecție 36 de luni'!$AP$12/FactScen)*Setări!$F$6,0)</f>
        <v>680680</v>
      </c>
      <c r="E6" s="28">
        <f>ROUND(('Proiecție 36 de luni'!$AP$12/FactScen)*Setări!$F$7,0)</f>
        <v>816816</v>
      </c>
    </row>
    <row r="7" spans="2:5" x14ac:dyDescent="0.2">
      <c r="B7" s="11" t="s">
        <v>127</v>
      </c>
      <c r="C7" s="28">
        <f>ROUND(('Proiecție 36 de luni'!$AQ$12/FactScen)*Setări!$F$5,0)</f>
        <v>588108</v>
      </c>
      <c r="D7" s="28">
        <f>ROUND(('Proiecție 36 de luni'!$AQ$12/FactScen)*Setări!$F$6,0)</f>
        <v>735134</v>
      </c>
      <c r="E7" s="28">
        <f>ROUND(('Proiecție 36 de luni'!$AQ$12/FactScen)*Setări!$F$7,0)</f>
        <v>882161</v>
      </c>
    </row>
    <row r="8" spans="2:5" x14ac:dyDescent="0.2">
      <c r="B8" s="11" t="s">
        <v>128</v>
      </c>
      <c r="C8" s="28">
        <f>ROUND((('Proiecție 36 de luni'!$AO$12/FactScen)*Setări!$F$5-(('Proiecție 36 de luni'!$AO$13+'Proiecție 36 de luni'!$AO$14)/FactScen)*Setări!$F$5-('Proiecție 36 de luni'!$AO$16+'Proiecție 36 de luni'!$AO$18+'Proiecție 36 de luni'!$AO$19))-IF(LEFT(Regim,5)="Micro",('Proiecție 36 de luni'!$AO$12/FactScen)*Setări!$F$5*CotaMicro,MAX(0,(('Proiecție 36 de luni'!$AO$12/FactScen)*Setări!$F$5-(('Proiecție 36 de luni'!$AO$13+'Proiecție 36 de luni'!$AO$14)/FactScen)*Setări!$F$5-('Proiecție 36 de luni'!$AO$16+'Proiecție 36 de luni'!$AO$18+'Proiecție 36 de luni'!$AO$19)))*CotaProfit),0)</f>
        <v>-69247</v>
      </c>
      <c r="D8" s="28">
        <f>ROUND((('Proiecție 36 de luni'!$AO$12/FactScen)*Setări!$F$6-(('Proiecție 36 de luni'!$AO$13+'Proiecție 36 de luni'!$AO$14)/FactScen)*Setări!$F$6-('Proiecție 36 de luni'!$AO$16+'Proiecție 36 de luni'!$AO$18+'Proiecție 36 de luni'!$AO$19))-IF(LEFT(Regim,5)="Micro",('Proiecție 36 de luni'!$AO$12/FactScen)*Setări!$F$6*CotaMicro,MAX(0,(('Proiecție 36 de luni'!$AO$12/FactScen)*Setări!$F$6-(('Proiecție 36 de luni'!$AO$13+'Proiecție 36 de luni'!$AO$14)/FactScen)*Setări!$F$6-('Proiecție 36 de luni'!$AO$16+'Proiecție 36 de luni'!$AO$18+'Proiecție 36 de luni'!$AO$19)))*CotaProfit),0)</f>
        <v>1266</v>
      </c>
      <c r="E8" s="28">
        <f>ROUND((('Proiecție 36 de luni'!$AO$12/FactScen)*Setări!$F$7-(('Proiecție 36 de luni'!$AO$13+'Proiecție 36 de luni'!$AO$14)/FactScen)*Setări!$F$7-('Proiecție 36 de luni'!$AO$16+'Proiecție 36 de luni'!$AO$18+'Proiecție 36 de luni'!$AO$19))-IF(LEFT(Regim,5)="Micro",('Proiecție 36 de luni'!$AO$12/FactScen)*Setări!$F$7*CotaMicro,MAX(0,(('Proiecție 36 de luni'!$AO$12/FactScen)*Setări!$F$7-(('Proiecție 36 de luni'!$AO$13+'Proiecție 36 de luni'!$AO$14)/FactScen)*Setări!$F$7-('Proiecție 36 de luni'!$AO$16+'Proiecție 36 de luni'!$AO$18+'Proiecție 36 de luni'!$AO$19)))*CotaProfit),0)</f>
        <v>60701</v>
      </c>
    </row>
    <row r="9" spans="2:5" x14ac:dyDescent="0.2">
      <c r="B9" s="11" t="s">
        <v>129</v>
      </c>
      <c r="C9" s="28">
        <f>ROUND((('Proiecție 36 de luni'!$AP$12/FactScen)*Setări!$F$5-(('Proiecție 36 de luni'!$AP$13+'Proiecție 36 de luni'!$AP$14)/FactScen)*Setări!$F$5-('Proiecție 36 de luni'!$AP$16+'Proiecție 36 de luni'!$AP$18+'Proiecție 36 de luni'!$AP$19))-IF(LEFT(Regim,5)="Micro",('Proiecție 36 de luni'!$AP$12/FactScen)*Setări!$F$5*CotaMicro,MAX(0,(('Proiecție 36 de luni'!$AP$12/FactScen)*Setări!$F$5-(('Proiecție 36 de luni'!$AP$13+'Proiecție 36 de luni'!$AP$14)/FactScen)*Setări!$F$5-('Proiecție 36 de luni'!$AP$16+'Proiecție 36 de luni'!$AP$18+'Proiecție 36 de luni'!$AP$19)))*CotaProfit),0)</f>
        <v>-16487</v>
      </c>
      <c r="D9" s="28">
        <f>ROUND((('Proiecție 36 de luni'!$AP$12/FactScen)*Setări!$F$6-(('Proiecție 36 de luni'!$AP$13+'Proiecție 36 de luni'!$AP$14)/FactScen)*Setări!$F$6-('Proiecție 36 de luni'!$AP$16+'Proiecție 36 de luni'!$AP$18+'Proiecție 36 de luni'!$AP$19))-IF(LEFT(Regim,5)="Micro",('Proiecție 36 de luni'!$AP$12/FactScen)*Setări!$F$6*CotaMicro,MAX(0,(('Proiecție 36 de luni'!$AP$12/FactScen)*Setări!$F$6-(('Proiecție 36 de luni'!$AP$13+'Proiecție 36 de luni'!$AP$14)/FactScen)*Setări!$F$6-('Proiecție 36 de luni'!$AP$16+'Proiecție 36 de luni'!$AP$18+'Proiecție 36 de luni'!$AP$19)))*CotaProfit),0)</f>
        <v>59929</v>
      </c>
      <c r="E9" s="28">
        <f>ROUND((('Proiecție 36 de luni'!$AP$12/FactScen)*Setări!$F$7-(('Proiecție 36 de luni'!$AP$13+'Proiecție 36 de luni'!$AP$14)/FactScen)*Setări!$F$7-('Proiecție 36 de luni'!$AP$16+'Proiecție 36 de luni'!$AP$18+'Proiecție 36 de luni'!$AP$19))-IF(LEFT(Regim,5)="Micro",('Proiecție 36 de luni'!$AP$12/FactScen)*Setări!$F$7*CotaMicro,MAX(0,(('Proiecție 36 de luni'!$AP$12/FactScen)*Setări!$F$7-(('Proiecție 36 de luni'!$AP$13+'Proiecție 36 de luni'!$AP$14)/FactScen)*Setări!$F$7-('Proiecție 36 de luni'!$AP$16+'Proiecție 36 de luni'!$AP$18+'Proiecție 36 de luni'!$AP$19)))*CotaProfit),0)</f>
        <v>133708</v>
      </c>
    </row>
    <row r="10" spans="2:5" x14ac:dyDescent="0.2">
      <c r="B10" s="11" t="s">
        <v>130</v>
      </c>
      <c r="C10" s="28">
        <f>ROUND((('Proiecție 36 de luni'!$AQ$12/FactScen)*Setări!$F$5-(('Proiecție 36 de luni'!$AQ$13+'Proiecție 36 de luni'!$AQ$14)/FactScen)*Setări!$F$5-('Proiecție 36 de luni'!$AQ$16+'Proiecție 36 de luni'!$AQ$18+'Proiecție 36 de luni'!$AQ$19))-IF(LEFT(Regim,5)="Micro",('Proiecție 36 de luni'!$AQ$12/FactScen)*Setări!$F$5*CotaMicro,MAX(0,(('Proiecție 36 de luni'!$AQ$12/FactScen)*Setări!$F$5-(('Proiecție 36 de luni'!$AQ$13+'Proiecție 36 de luni'!$AQ$14)/FactScen)*Setări!$F$5-('Proiecție 36 de luni'!$AQ$16+'Proiecție 36 de luni'!$AQ$18+'Proiecție 36 de luni'!$AQ$19)))*CotaProfit),0)</f>
        <v>-4663</v>
      </c>
      <c r="D10" s="28">
        <f>ROUND((('Proiecție 36 de luni'!$AQ$12/FactScen)*Setări!$F$6-(('Proiecție 36 de luni'!$AQ$13+'Proiecție 36 de luni'!$AQ$14)/FactScen)*Setări!$F$6-('Proiecție 36 de luni'!$AQ$16+'Proiecție 36 de luni'!$AQ$18+'Proiecție 36 de luni'!$AQ$19))-IF(LEFT(Regim,5)="Micro",('Proiecție 36 de luni'!$AQ$12/FactScen)*Setări!$F$6*CotaMicro,MAX(0,(('Proiecție 36 de luni'!$AQ$12/FactScen)*Setări!$F$6-(('Proiecție 36 de luni'!$AQ$13+'Proiecție 36 de luni'!$AQ$14)/FactScen)*Setări!$F$6-('Proiecție 36 de luni'!$AQ$16+'Proiecție 36 de luni'!$AQ$18+'Proiecție 36 de luni'!$AQ$19)))*CotaProfit),0)</f>
        <v>75763</v>
      </c>
      <c r="E10" s="28">
        <f>ROUND((('Proiecție 36 de luni'!$AQ$12/FactScen)*Setări!$F$7-(('Proiecție 36 de luni'!$AQ$13+'Proiecție 36 de luni'!$AQ$14)/FactScen)*Setări!$F$7-('Proiecție 36 de luni'!$AQ$16+'Proiecție 36 de luni'!$AQ$18+'Proiecție 36 de luni'!$AQ$19))-IF(LEFT(Regim,5)="Micro",('Proiecție 36 de luni'!$AQ$12/FactScen)*Setări!$F$7*CotaMicro,MAX(0,(('Proiecție 36 de luni'!$AQ$12/FactScen)*Setări!$F$7-(('Proiecție 36 de luni'!$AQ$13+'Proiecție 36 de luni'!$AQ$14)/FactScen)*Setări!$F$7-('Proiecție 36 de luni'!$AQ$16+'Proiecție 36 de luni'!$AQ$18+'Proiecție 36 de luni'!$AQ$19)))*CotaProfit),0)</f>
        <v>155444</v>
      </c>
    </row>
    <row r="11" spans="2:5" x14ac:dyDescent="0.2">
      <c r="B11" s="19" t="s">
        <v>131</v>
      </c>
      <c r="C11" s="20">
        <f>SUM(C8:C10)</f>
        <v>-90397</v>
      </c>
      <c r="D11" s="20">
        <f>SUM(D8:D10)</f>
        <v>136958</v>
      </c>
      <c r="E11" s="20">
        <f>SUM(E8:E10)</f>
        <v>349853</v>
      </c>
    </row>
    <row r="13" spans="2:5" ht="15.75" x14ac:dyDescent="0.25">
      <c r="B13" s="4" t="s">
        <v>132</v>
      </c>
      <c r="C13" s="37">
        <f>ROUND(('Proiecție 36 de luni'!$AO$16+'Proiecție 36 de luni'!$AO$18+'Proiecție 36 de luni'!$AO$19)/12/(1-CostDirPct-ComCard),0)</f>
        <v>45500</v>
      </c>
    </row>
    <row r="14" spans="2:5" x14ac:dyDescent="0.2">
      <c r="B14" s="30" t="str">
        <f>"Vânzări lunare medii în anul 1 (scenariul activ): "&amp;TEXT(ROUND('Proiecție 36 de luni'!$AO$12/12,0),"#.##0")&amp;" lei"</f>
        <v>Vânzări lunare medii în anul 1 (scenariul activ): 45.695 lei</v>
      </c>
    </row>
  </sheetData>
  <conditionalFormatting sqref="C5:E11">
    <cfRule type="cellIs" dxfId="0" priority="1" stopIfTrue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E1C8F-CE28-47C4-9D16-E67559AC1E07}">
  <dimension ref="B1:L22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4.7109375" style="1" customWidth="1"/>
    <col min="3" max="3" width="36.7109375" style="1" customWidth="1"/>
    <col min="4" max="4" width="3.7109375" style="1" customWidth="1"/>
    <col min="5" max="5" width="32.7109375" style="1" customWidth="1"/>
    <col min="6" max="6" width="11.7109375" style="1" customWidth="1"/>
    <col min="7" max="7" width="3.7109375" style="1" customWidth="1"/>
    <col min="8" max="8" width="10.7109375" style="1" customWidth="1"/>
    <col min="9" max="9" width="12.7109375" style="1" customWidth="1"/>
    <col min="10" max="10" width="3.7109375" style="1" customWidth="1"/>
    <col min="11" max="12" width="12.7109375" style="1" customWidth="1"/>
    <col min="13" max="16384" width="11.42578125" style="1"/>
  </cols>
  <sheetData>
    <row r="1" spans="2:12" ht="21" x14ac:dyDescent="0.35">
      <c r="B1" s="2" t="s">
        <v>0</v>
      </c>
    </row>
    <row r="2" spans="2:12" x14ac:dyDescent="0.2">
      <c r="B2" s="3" t="s">
        <v>1</v>
      </c>
    </row>
    <row r="4" spans="2:12" ht="25.5" x14ac:dyDescent="0.2">
      <c r="B4" s="5" t="s">
        <v>2</v>
      </c>
      <c r="C4" s="6" t="s">
        <v>3</v>
      </c>
      <c r="E4" s="10" t="s">
        <v>18</v>
      </c>
      <c r="F4" s="10" t="s">
        <v>19</v>
      </c>
      <c r="H4" s="10" t="s">
        <v>24</v>
      </c>
      <c r="I4" s="10" t="s">
        <v>25</v>
      </c>
      <c r="K4" s="10" t="s">
        <v>26</v>
      </c>
      <c r="L4" s="10" t="s">
        <v>27</v>
      </c>
    </row>
    <row r="5" spans="2:12" x14ac:dyDescent="0.2">
      <c r="B5" s="5" t="s">
        <v>4</v>
      </c>
      <c r="C5" s="6" t="s">
        <v>5</v>
      </c>
      <c r="E5" s="11" t="s">
        <v>20</v>
      </c>
      <c r="F5" s="12">
        <v>0.8</v>
      </c>
      <c r="H5" s="13">
        <v>1</v>
      </c>
      <c r="I5" s="12">
        <v>0.5</v>
      </c>
      <c r="K5" s="11" t="s">
        <v>28</v>
      </c>
      <c r="L5" s="12">
        <v>0.85</v>
      </c>
    </row>
    <row r="6" spans="2:12" x14ac:dyDescent="0.2">
      <c r="B6" s="5" t="s">
        <v>6</v>
      </c>
      <c r="C6" s="7">
        <f>DATE(2027,1,1)</f>
        <v>46388</v>
      </c>
      <c r="E6" s="11" t="s">
        <v>17</v>
      </c>
      <c r="F6" s="12">
        <v>1</v>
      </c>
      <c r="H6" s="13">
        <v>2</v>
      </c>
      <c r="I6" s="12">
        <v>0.6</v>
      </c>
      <c r="K6" s="11" t="s">
        <v>29</v>
      </c>
      <c r="L6" s="12">
        <v>0.85</v>
      </c>
    </row>
    <row r="7" spans="2:12" x14ac:dyDescent="0.2">
      <c r="B7" s="5" t="s">
        <v>7</v>
      </c>
      <c r="C7" s="6" t="s">
        <v>8</v>
      </c>
      <c r="E7" s="11" t="s">
        <v>21</v>
      </c>
      <c r="F7" s="12">
        <v>1.2</v>
      </c>
      <c r="H7" s="13">
        <v>3</v>
      </c>
      <c r="I7" s="12">
        <v>0.7</v>
      </c>
      <c r="K7" s="11" t="s">
        <v>30</v>
      </c>
      <c r="L7" s="12">
        <v>0.95</v>
      </c>
    </row>
    <row r="8" spans="2:12" x14ac:dyDescent="0.2">
      <c r="B8" s="5" t="s">
        <v>9</v>
      </c>
      <c r="C8" s="8">
        <v>0.01</v>
      </c>
      <c r="H8" s="13">
        <v>4</v>
      </c>
      <c r="I8" s="12">
        <v>0.8</v>
      </c>
      <c r="K8" s="11" t="s">
        <v>31</v>
      </c>
      <c r="L8" s="12">
        <v>1</v>
      </c>
    </row>
    <row r="9" spans="2:12" x14ac:dyDescent="0.2">
      <c r="B9" s="5" t="s">
        <v>10</v>
      </c>
      <c r="C9" s="8">
        <v>0.16</v>
      </c>
      <c r="E9" s="10" t="s">
        <v>22</v>
      </c>
      <c r="H9" s="13">
        <v>5</v>
      </c>
      <c r="I9" s="12">
        <v>0.9</v>
      </c>
      <c r="K9" s="11" t="s">
        <v>32</v>
      </c>
      <c r="L9" s="12">
        <v>1.05</v>
      </c>
    </row>
    <row r="10" spans="2:12" x14ac:dyDescent="0.2">
      <c r="B10" s="5" t="s">
        <v>11</v>
      </c>
      <c r="C10" s="9">
        <v>2.2499999999999999E-2</v>
      </c>
      <c r="E10" s="11" t="s">
        <v>23</v>
      </c>
      <c r="H10" s="13">
        <v>6</v>
      </c>
      <c r="I10" s="12">
        <v>1</v>
      </c>
      <c r="K10" s="11" t="s">
        <v>33</v>
      </c>
      <c r="L10" s="12">
        <v>1.05</v>
      </c>
    </row>
    <row r="11" spans="2:12" x14ac:dyDescent="0.2">
      <c r="B11" s="5" t="s">
        <v>12</v>
      </c>
      <c r="C11" s="9">
        <v>1.4999999999999999E-2</v>
      </c>
      <c r="E11" s="11" t="s">
        <v>8</v>
      </c>
      <c r="K11" s="11" t="s">
        <v>34</v>
      </c>
      <c r="L11" s="12">
        <v>0.9</v>
      </c>
    </row>
    <row r="12" spans="2:12" x14ac:dyDescent="0.2">
      <c r="B12" s="5" t="s">
        <v>13</v>
      </c>
      <c r="C12" s="8">
        <v>0.1</v>
      </c>
      <c r="K12" s="11" t="s">
        <v>35</v>
      </c>
      <c r="L12" s="12">
        <v>0.85</v>
      </c>
    </row>
    <row r="13" spans="2:12" x14ac:dyDescent="0.2">
      <c r="B13" s="5" t="s">
        <v>14</v>
      </c>
      <c r="C13" s="8">
        <v>0.08</v>
      </c>
      <c r="K13" s="11" t="s">
        <v>36</v>
      </c>
      <c r="L13" s="12">
        <v>1.05</v>
      </c>
    </row>
    <row r="14" spans="2:12" x14ac:dyDescent="0.2">
      <c r="B14" s="5" t="s">
        <v>15</v>
      </c>
      <c r="C14" s="8">
        <v>0.05</v>
      </c>
      <c r="K14" s="11" t="s">
        <v>37</v>
      </c>
      <c r="L14" s="12">
        <v>1.1000000000000001</v>
      </c>
    </row>
    <row r="15" spans="2:12" x14ac:dyDescent="0.2">
      <c r="B15" s="5" t="s">
        <v>16</v>
      </c>
      <c r="C15" s="6" t="s">
        <v>17</v>
      </c>
      <c r="H15" s="14">
        <f>IF(ISNUMBER(MATCH(Scenariu,ListaScen,0)),INDEX($F$5:$F$7,MATCH(Scenariu,ListaScen,0)),1)</f>
        <v>1</v>
      </c>
      <c r="K15" s="11" t="s">
        <v>38</v>
      </c>
      <c r="L15" s="12">
        <v>1.1000000000000001</v>
      </c>
    </row>
    <row r="16" spans="2:12" x14ac:dyDescent="0.2">
      <c r="K16" s="11" t="s">
        <v>39</v>
      </c>
      <c r="L16" s="12">
        <v>1.1499999999999999</v>
      </c>
    </row>
    <row r="17" spans="2:2" x14ac:dyDescent="0.2">
      <c r="B17" s="3" t="s">
        <v>40</v>
      </c>
    </row>
    <row r="18" spans="2:2" x14ac:dyDescent="0.2">
      <c r="B18" s="3" t="s">
        <v>41</v>
      </c>
    </row>
    <row r="20" spans="2:2" x14ac:dyDescent="0.2">
      <c r="B20" s="55" t="s">
        <v>148</v>
      </c>
    </row>
    <row r="21" spans="2:2" x14ac:dyDescent="0.2">
      <c r="B21" s="56" t="s">
        <v>149</v>
      </c>
    </row>
    <row r="22" spans="2:2" x14ac:dyDescent="0.2">
      <c r="B22" s="57" t="s">
        <v>150</v>
      </c>
    </row>
  </sheetData>
  <dataValidations count="2">
    <dataValidation type="list" allowBlank="1" showInputMessage="1" showErrorMessage="1" sqref="C15" xr:uid="{B492F926-7B8E-4BAF-BF24-ED059EC16A63}">
      <formula1>ListaScen</formula1>
    </dataValidation>
    <dataValidation type="list" allowBlank="1" showInputMessage="1" showErrorMessage="1" sqref="C7" xr:uid="{EA7A9852-AE16-4566-A8FB-8690807F83AE}">
      <formula1>ListaRegim</formula1>
    </dataValidation>
  </dataValidations>
  <hyperlinks>
    <hyperlink ref="B22" r:id="rId1" tooltip="Instrucțiuni și alte modele gratuite" xr:uid="{0D71240B-415D-4F0C-983A-4466B03458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30</vt:i4>
      </vt:variant>
    </vt:vector>
  </HeadingPairs>
  <TitlesOfParts>
    <vt:vector size="37" baseType="lpstr">
      <vt:lpstr>Rezumat</vt:lpstr>
      <vt:lpstr>Investiție și finanțare</vt:lpstr>
      <vt:lpstr>Venituri</vt:lpstr>
      <vt:lpstr>Costuri fixe</vt:lpstr>
      <vt:lpstr>Proiecție 36 de luni</vt:lpstr>
      <vt:lpstr>Scenarii</vt:lpstr>
      <vt:lpstr>Setări</vt:lpstr>
      <vt:lpstr>Activ</vt:lpstr>
      <vt:lpstr>AmortLunara</vt:lpstr>
      <vt:lpstr>AniCredit</vt:lpstr>
      <vt:lpstr>Rezumat!Área_de_impresión</vt:lpstr>
      <vt:lpstr>CAM</vt:lpstr>
      <vt:lpstr>Capital</vt:lpstr>
      <vt:lpstr>ComCard</vt:lpstr>
      <vt:lpstr>CostDirPct</vt:lpstr>
      <vt:lpstr>CotaMicro</vt:lpstr>
      <vt:lpstr>CotaProfit</vt:lpstr>
      <vt:lpstr>Credit</vt:lpstr>
      <vt:lpstr>Cresc2</vt:lpstr>
      <vt:lpstr>Cresc3</vt:lpstr>
      <vt:lpstr>Dobanda</vt:lpstr>
      <vt:lpstr>FactScen</vt:lpstr>
      <vt:lpstr>Firma</vt:lpstr>
      <vt:lpstr>FixeLuna</vt:lpstr>
      <vt:lpstr>Inflatie</vt:lpstr>
      <vt:lpstr>ListaRegim</vt:lpstr>
      <vt:lpstr>ListaScen</vt:lpstr>
      <vt:lpstr>PE_An1</vt:lpstr>
      <vt:lpstr>Rampa</vt:lpstr>
      <vt:lpstr>Regim</vt:lpstr>
      <vt:lpstr>Scenariu</vt:lpstr>
      <vt:lpstr>Sezon</vt:lpstr>
      <vt:lpstr>SoldInitial</vt:lpstr>
      <vt:lpstr>Start</vt:lpstr>
      <vt:lpstr>TabelScen</vt:lpstr>
      <vt:lpstr>TotalInv</vt:lpstr>
      <vt:lpstr>VanzCap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plan de afaceri Excel</dc:title>
  <dc:subject>Model Excel gratuit în limba română</dc:subject>
  <dc:creator>Ray Moreno · modelexcel.ro</dc:creator>
  <cp:keywords>modelexcel.ro, model Excel, Model plan de afaceri Excel</cp:keywords>
  <dc:description>© 2026 Ray Moreno – modelexcel.ro. Model gratuit: îl poți folosi și adapta în activitatea ta. Nu este permisă revânzarea lui sau publicarea pe alte site-uri. https://modelexcel.ro/model-plan-de-afaceri-excel/</dc:description>
  <cp:lastModifiedBy>Ray Moreno · modelexcel.ro</cp:lastModifiedBy>
  <dcterms:created xsi:type="dcterms:W3CDTF">2026-10-13T22:14:38Z</dcterms:created>
  <dcterms:modified xsi:type="dcterms:W3CDTF">2026-10-13T22:14:51Z</dcterms:modified>
  <cp:category>Model Excel</cp:category>
</cp:coreProperties>
</file>