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F43D4B51-8982-4E5D-A522-BD51070B9CB4}" xr6:coauthVersionLast="47" xr6:coauthVersionMax="47" xr10:uidLastSave="{00000000-0000-0000-0000-000000000000}"/>
  <bookViews>
    <workbookView xWindow="-28920" yWindow="-120" windowWidth="29040" windowHeight="15720" xr2:uid="{CE5B99F1-B067-4BEC-8390-BDAE5CDC8AA6}"/>
  </bookViews>
  <sheets>
    <sheet name="Pontaj lunar" sheetId="1" r:id="rId1"/>
    <sheet name="Evidență zilnică" sheetId="2" r:id="rId2"/>
    <sheet name="Zile libere" sheetId="3" r:id="rId3"/>
    <sheet name="Coduri" sheetId="4" r:id="rId4"/>
    <sheet name="Despre model" sheetId="5" r:id="rId5"/>
  </sheets>
  <definedNames>
    <definedName name="An">'Pontaj lunar'!$D$3</definedName>
    <definedName name="_xlnm.Print_Area" localSheetId="0">'Pontaj lunar'!$A$1:$AP$40</definedName>
    <definedName name="Coduri">Coduri!$B$6:$B$10</definedName>
    <definedName name="ListaLuni">Coduri!$L$30:$L$41</definedName>
    <definedName name="Luna">'Pontaj lunar'!$AJ$3</definedName>
    <definedName name="Norma">'Pontaj lunar'!$D$2</definedName>
    <definedName name="Sarbatori">'Zile libere'!$G$8:$G$24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4" i="3" l="1"/>
  <c r="C24" i="3"/>
  <c r="G24" i="3"/>
  <c r="D23" i="3"/>
  <c r="C23" i="3"/>
  <c r="G23" i="3"/>
  <c r="D22" i="3"/>
  <c r="C22" i="3"/>
  <c r="G22" i="3"/>
  <c r="D21" i="3"/>
  <c r="C21" i="3"/>
  <c r="G21" i="3"/>
  <c r="D20" i="3"/>
  <c r="C20" i="3"/>
  <c r="G20" i="3"/>
  <c r="D19" i="3"/>
  <c r="C19" i="3"/>
  <c r="G19" i="3"/>
  <c r="D18" i="3"/>
  <c r="C18" i="3"/>
  <c r="G18" i="3"/>
  <c r="D17" i="3"/>
  <c r="C17" i="3"/>
  <c r="G17" i="3"/>
  <c r="D16" i="3"/>
  <c r="C16" i="3"/>
  <c r="G16" i="3"/>
  <c r="D15" i="3"/>
  <c r="C15" i="3"/>
  <c r="G15" i="3"/>
  <c r="D14" i="3"/>
  <c r="C14" i="3"/>
  <c r="G14" i="3"/>
  <c r="D13" i="3"/>
  <c r="C13" i="3"/>
  <c r="G13" i="3"/>
  <c r="D12" i="3"/>
  <c r="C12" i="3"/>
  <c r="G12" i="3"/>
  <c r="D11" i="3"/>
  <c r="C11" i="3"/>
  <c r="G11" i="3"/>
  <c r="D10" i="3"/>
  <c r="C10" i="3"/>
  <c r="G10" i="3"/>
  <c r="D9" i="3"/>
  <c r="C9" i="3"/>
  <c r="G9" i="3"/>
  <c r="D8" i="3"/>
  <c r="C8" i="3"/>
  <c r="G8" i="3"/>
  <c r="E5" i="3"/>
  <c r="G5" i="3"/>
  <c r="E2" i="3"/>
  <c r="G39" i="2"/>
  <c r="G38" i="2"/>
  <c r="G37" i="2"/>
  <c r="C37" i="2"/>
  <c r="B37" i="2"/>
  <c r="J37" i="2"/>
  <c r="G36" i="2"/>
  <c r="C36" i="2"/>
  <c r="B36" i="2"/>
  <c r="J36" i="2"/>
  <c r="G35" i="2"/>
  <c r="C35" i="2"/>
  <c r="B35" i="2"/>
  <c r="J35" i="2"/>
  <c r="G34" i="2"/>
  <c r="C34" i="2"/>
  <c r="B34" i="2"/>
  <c r="J34" i="2"/>
  <c r="G33" i="2"/>
  <c r="C33" i="2"/>
  <c r="B33" i="2"/>
  <c r="J33" i="2"/>
  <c r="G32" i="2"/>
  <c r="C32" i="2"/>
  <c r="B32" i="2"/>
  <c r="J32" i="2"/>
  <c r="G31" i="2"/>
  <c r="C31" i="2"/>
  <c r="B31" i="2"/>
  <c r="J31" i="2"/>
  <c r="G30" i="2"/>
  <c r="C30" i="2"/>
  <c r="B30" i="2"/>
  <c r="J30" i="2"/>
  <c r="G29" i="2"/>
  <c r="C29" i="2"/>
  <c r="B29" i="2"/>
  <c r="J29" i="2"/>
  <c r="G28" i="2"/>
  <c r="C28" i="2"/>
  <c r="B28" i="2"/>
  <c r="J28" i="2"/>
  <c r="G27" i="2"/>
  <c r="C27" i="2"/>
  <c r="B27" i="2"/>
  <c r="J27" i="2"/>
  <c r="G26" i="2"/>
  <c r="C26" i="2"/>
  <c r="B26" i="2"/>
  <c r="J26" i="2"/>
  <c r="G25" i="2"/>
  <c r="C25" i="2"/>
  <c r="B25" i="2"/>
  <c r="J25" i="2"/>
  <c r="G24" i="2"/>
  <c r="C24" i="2"/>
  <c r="B24" i="2"/>
  <c r="J24" i="2"/>
  <c r="G23" i="2"/>
  <c r="C23" i="2"/>
  <c r="B23" i="2"/>
  <c r="J23" i="2"/>
  <c r="G22" i="2"/>
  <c r="C22" i="2"/>
  <c r="B22" i="2"/>
  <c r="J22" i="2"/>
  <c r="G21" i="2"/>
  <c r="C21" i="2"/>
  <c r="B21" i="2"/>
  <c r="J21" i="2"/>
  <c r="G20" i="2"/>
  <c r="C20" i="2"/>
  <c r="B20" i="2"/>
  <c r="J20" i="2"/>
  <c r="G19" i="2"/>
  <c r="C19" i="2"/>
  <c r="B19" i="2"/>
  <c r="J19" i="2"/>
  <c r="G18" i="2"/>
  <c r="C18" i="2"/>
  <c r="B18" i="2"/>
  <c r="J18" i="2"/>
  <c r="G17" i="2"/>
  <c r="C17" i="2"/>
  <c r="B17" i="2"/>
  <c r="J17" i="2"/>
  <c r="G16" i="2"/>
  <c r="C16" i="2"/>
  <c r="B16" i="2"/>
  <c r="J16" i="2"/>
  <c r="G15" i="2"/>
  <c r="C15" i="2"/>
  <c r="B15" i="2"/>
  <c r="J15" i="2"/>
  <c r="G14" i="2"/>
  <c r="C14" i="2"/>
  <c r="B14" i="2"/>
  <c r="J14" i="2"/>
  <c r="G13" i="2"/>
  <c r="C13" i="2"/>
  <c r="B13" i="2"/>
  <c r="J13" i="2"/>
  <c r="G12" i="2"/>
  <c r="C12" i="2"/>
  <c r="B12" i="2"/>
  <c r="J12" i="2"/>
  <c r="G11" i="2"/>
  <c r="C11" i="2"/>
  <c r="B11" i="2"/>
  <c r="J11" i="2"/>
  <c r="G10" i="2"/>
  <c r="C10" i="2"/>
  <c r="B10" i="2"/>
  <c r="J10" i="2"/>
  <c r="G9" i="2"/>
  <c r="C9" i="2"/>
  <c r="B9" i="2"/>
  <c r="J9" i="2"/>
  <c r="G8" i="2"/>
  <c r="C8" i="2"/>
  <c r="B8" i="2"/>
  <c r="J8" i="2"/>
  <c r="G7" i="2"/>
  <c r="C7" i="2"/>
  <c r="B7" i="2"/>
  <c r="J7" i="2"/>
  <c r="C4" i="2"/>
  <c r="AP33" i="1"/>
  <c r="AO33" i="1"/>
  <c r="AN33" i="1"/>
  <c r="AM33" i="1"/>
  <c r="AL33" i="1"/>
  <c r="AK33" i="1"/>
  <c r="AJ33" i="1"/>
  <c r="AI33" i="1"/>
  <c r="AP32" i="1"/>
  <c r="AO32" i="1"/>
  <c r="AN32" i="1"/>
  <c r="AM32" i="1"/>
  <c r="AL32" i="1"/>
  <c r="AK32" i="1"/>
  <c r="AJ32" i="1"/>
  <c r="AI32" i="1"/>
  <c r="AP31" i="1"/>
  <c r="AO31" i="1"/>
  <c r="AN31" i="1"/>
  <c r="AM31" i="1"/>
  <c r="AL31" i="1"/>
  <c r="AK31" i="1"/>
  <c r="AJ31" i="1"/>
  <c r="AI31" i="1"/>
  <c r="AP30" i="1"/>
  <c r="AO30" i="1"/>
  <c r="AN30" i="1"/>
  <c r="AM30" i="1"/>
  <c r="AL30" i="1"/>
  <c r="AK30" i="1"/>
  <c r="AJ30" i="1"/>
  <c r="AI30" i="1"/>
  <c r="AP29" i="1"/>
  <c r="AO29" i="1"/>
  <c r="AN29" i="1"/>
  <c r="AM29" i="1"/>
  <c r="AL29" i="1"/>
  <c r="AK29" i="1"/>
  <c r="AJ29" i="1"/>
  <c r="AI29" i="1"/>
  <c r="AP28" i="1"/>
  <c r="AO28" i="1"/>
  <c r="AN28" i="1"/>
  <c r="AM28" i="1"/>
  <c r="AL28" i="1"/>
  <c r="AK28" i="1"/>
  <c r="AJ28" i="1"/>
  <c r="AI28" i="1"/>
  <c r="AP27" i="1"/>
  <c r="AO27" i="1"/>
  <c r="AN27" i="1"/>
  <c r="AM27" i="1"/>
  <c r="AL27" i="1"/>
  <c r="AK27" i="1"/>
  <c r="AJ27" i="1"/>
  <c r="AI27" i="1"/>
  <c r="AP26" i="1"/>
  <c r="AO26" i="1"/>
  <c r="AN26" i="1"/>
  <c r="AM26" i="1"/>
  <c r="AL26" i="1"/>
  <c r="AK26" i="1"/>
  <c r="AJ26" i="1"/>
  <c r="AI26" i="1"/>
  <c r="AP25" i="1"/>
  <c r="AO25" i="1"/>
  <c r="AN25" i="1"/>
  <c r="AM25" i="1"/>
  <c r="AL25" i="1"/>
  <c r="AK25" i="1"/>
  <c r="AJ25" i="1"/>
  <c r="AI25" i="1"/>
  <c r="AP24" i="1"/>
  <c r="AO24" i="1"/>
  <c r="AN24" i="1"/>
  <c r="AM24" i="1"/>
  <c r="AL24" i="1"/>
  <c r="AK24" i="1"/>
  <c r="AJ24" i="1"/>
  <c r="AI24" i="1"/>
  <c r="AP23" i="1"/>
  <c r="AO23" i="1"/>
  <c r="AN23" i="1"/>
  <c r="AM23" i="1"/>
  <c r="AL23" i="1"/>
  <c r="AK23" i="1"/>
  <c r="AJ23" i="1"/>
  <c r="AI23" i="1"/>
  <c r="AP22" i="1"/>
  <c r="AO22" i="1"/>
  <c r="AN22" i="1"/>
  <c r="AM22" i="1"/>
  <c r="AL22" i="1"/>
  <c r="AK22" i="1"/>
  <c r="AJ22" i="1"/>
  <c r="AI22" i="1"/>
  <c r="AP21" i="1"/>
  <c r="AO21" i="1"/>
  <c r="AN21" i="1"/>
  <c r="AM21" i="1"/>
  <c r="AL21" i="1"/>
  <c r="AK21" i="1"/>
  <c r="AJ21" i="1"/>
  <c r="AI21" i="1"/>
  <c r="AP20" i="1"/>
  <c r="AO20" i="1"/>
  <c r="AN20" i="1"/>
  <c r="AM20" i="1"/>
  <c r="AL20" i="1"/>
  <c r="AK20" i="1"/>
  <c r="AJ20" i="1"/>
  <c r="AI20" i="1"/>
  <c r="AP19" i="1"/>
  <c r="AO19" i="1"/>
  <c r="AN19" i="1"/>
  <c r="AM19" i="1"/>
  <c r="AL19" i="1"/>
  <c r="AK19" i="1"/>
  <c r="AJ19" i="1"/>
  <c r="AI19" i="1"/>
  <c r="AP18" i="1"/>
  <c r="AO18" i="1"/>
  <c r="AN18" i="1"/>
  <c r="AM18" i="1"/>
  <c r="AL18" i="1"/>
  <c r="AK18" i="1"/>
  <c r="AJ18" i="1"/>
  <c r="AI18" i="1"/>
  <c r="AP17" i="1"/>
  <c r="AO17" i="1"/>
  <c r="AN17" i="1"/>
  <c r="AM17" i="1"/>
  <c r="AL17" i="1"/>
  <c r="AK17" i="1"/>
  <c r="AJ17" i="1"/>
  <c r="AI17" i="1"/>
  <c r="AP16" i="1"/>
  <c r="AO16" i="1"/>
  <c r="AN16" i="1"/>
  <c r="AM16" i="1"/>
  <c r="AL16" i="1"/>
  <c r="AK16" i="1"/>
  <c r="AJ16" i="1"/>
  <c r="AI16" i="1"/>
  <c r="AP15" i="1"/>
  <c r="AO15" i="1"/>
  <c r="AN15" i="1"/>
  <c r="AM15" i="1"/>
  <c r="AL15" i="1"/>
  <c r="AK15" i="1"/>
  <c r="AJ15" i="1"/>
  <c r="AI15" i="1"/>
  <c r="AP14" i="1"/>
  <c r="AO14" i="1"/>
  <c r="AN14" i="1"/>
  <c r="AM14" i="1"/>
  <c r="AL14" i="1"/>
  <c r="AK14" i="1"/>
  <c r="AJ14" i="1"/>
  <c r="AI14" i="1"/>
  <c r="AP13" i="1"/>
  <c r="AO13" i="1"/>
  <c r="AN13" i="1"/>
  <c r="AM13" i="1"/>
  <c r="AL13" i="1"/>
  <c r="AK13" i="1"/>
  <c r="AJ13" i="1"/>
  <c r="AI13" i="1"/>
  <c r="AP12" i="1"/>
  <c r="AO12" i="1"/>
  <c r="AN12" i="1"/>
  <c r="AM12" i="1"/>
  <c r="AL12" i="1"/>
  <c r="AK12" i="1"/>
  <c r="AJ12" i="1"/>
  <c r="AI12" i="1"/>
  <c r="AP11" i="1"/>
  <c r="AO11" i="1"/>
  <c r="AN11" i="1"/>
  <c r="AM11" i="1"/>
  <c r="AL11" i="1"/>
  <c r="AK11" i="1"/>
  <c r="AI11" i="1"/>
  <c r="AP10" i="1"/>
  <c r="AO10" i="1"/>
  <c r="AN10" i="1"/>
  <c r="AM10" i="1"/>
  <c r="AL10" i="1"/>
  <c r="AK10" i="1"/>
  <c r="AI10" i="1"/>
  <c r="AP9" i="1"/>
  <c r="AO9" i="1"/>
  <c r="AN9" i="1"/>
  <c r="AM9" i="1"/>
  <c r="AL9" i="1"/>
  <c r="AL34" i="1" s="1"/>
  <c r="AK9" i="1"/>
  <c r="AI9" i="1"/>
  <c r="AH6" i="1"/>
  <c r="AH5" i="1"/>
  <c r="AH8" i="1"/>
  <c r="AH7" i="1"/>
  <c r="AG6" i="1"/>
  <c r="AG5" i="1"/>
  <c r="AG8" i="1"/>
  <c r="AG7" i="1"/>
  <c r="AF6" i="1"/>
  <c r="AF5" i="1"/>
  <c r="AF8" i="1"/>
  <c r="AF7" i="1"/>
  <c r="AE6" i="1"/>
  <c r="AE5" i="1"/>
  <c r="AE8" i="1"/>
  <c r="AE7" i="1"/>
  <c r="AD6" i="1"/>
  <c r="AD5" i="1"/>
  <c r="AD8" i="1"/>
  <c r="AD7" i="1"/>
  <c r="AC6" i="1"/>
  <c r="AC5" i="1"/>
  <c r="AC8" i="1"/>
  <c r="AC7" i="1"/>
  <c r="AB6" i="1"/>
  <c r="AB5" i="1"/>
  <c r="AB8" i="1"/>
  <c r="AB7" i="1"/>
  <c r="AA6" i="1"/>
  <c r="AA5" i="1"/>
  <c r="AA8" i="1"/>
  <c r="AA7" i="1"/>
  <c r="Z6" i="1"/>
  <c r="Z5" i="1"/>
  <c r="Z8" i="1"/>
  <c r="Z7" i="1"/>
  <c r="Y6" i="1"/>
  <c r="Y5" i="1"/>
  <c r="Y8" i="1"/>
  <c r="Y7" i="1"/>
  <c r="X6" i="1"/>
  <c r="X5" i="1"/>
  <c r="X8" i="1"/>
  <c r="X7" i="1"/>
  <c r="W6" i="1"/>
  <c r="W5" i="1"/>
  <c r="W8" i="1"/>
  <c r="W7" i="1"/>
  <c r="V6" i="1"/>
  <c r="V5" i="1"/>
  <c r="V8" i="1"/>
  <c r="V7" i="1"/>
  <c r="U6" i="1"/>
  <c r="U5" i="1"/>
  <c r="U8" i="1"/>
  <c r="U7" i="1"/>
  <c r="T6" i="1"/>
  <c r="T5" i="1"/>
  <c r="T8" i="1"/>
  <c r="T7" i="1"/>
  <c r="S6" i="1"/>
  <c r="S5" i="1"/>
  <c r="S8" i="1"/>
  <c r="S7" i="1"/>
  <c r="R6" i="1"/>
  <c r="R5" i="1"/>
  <c r="R8" i="1"/>
  <c r="R7" i="1"/>
  <c r="Q6" i="1"/>
  <c r="Q5" i="1"/>
  <c r="Q8" i="1"/>
  <c r="Q7" i="1"/>
  <c r="P6" i="1"/>
  <c r="P5" i="1"/>
  <c r="P8" i="1"/>
  <c r="P7" i="1"/>
  <c r="O6" i="1"/>
  <c r="O5" i="1"/>
  <c r="O8" i="1"/>
  <c r="O7" i="1"/>
  <c r="N6" i="1"/>
  <c r="N5" i="1"/>
  <c r="N8" i="1"/>
  <c r="N7" i="1"/>
  <c r="M6" i="1"/>
  <c r="M5" i="1"/>
  <c r="M8" i="1"/>
  <c r="M7" i="1"/>
  <c r="L6" i="1"/>
  <c r="L5" i="1"/>
  <c r="L8" i="1"/>
  <c r="L7" i="1"/>
  <c r="K6" i="1"/>
  <c r="K5" i="1"/>
  <c r="K8" i="1"/>
  <c r="K7" i="1"/>
  <c r="J6" i="1"/>
  <c r="J5" i="1"/>
  <c r="J8" i="1"/>
  <c r="J7" i="1"/>
  <c r="I6" i="1"/>
  <c r="I5" i="1"/>
  <c r="I8" i="1"/>
  <c r="I7" i="1"/>
  <c r="H6" i="1"/>
  <c r="H5" i="1"/>
  <c r="H8" i="1"/>
  <c r="H7" i="1"/>
  <c r="G6" i="1"/>
  <c r="G5" i="1"/>
  <c r="G8" i="1"/>
  <c r="G7" i="1"/>
  <c r="F6" i="1"/>
  <c r="F5" i="1"/>
  <c r="F8" i="1"/>
  <c r="F7" i="1"/>
  <c r="E6" i="1"/>
  <c r="E5" i="1"/>
  <c r="E8" i="1"/>
  <c r="E7" i="1"/>
  <c r="D6" i="1"/>
  <c r="D5" i="1"/>
  <c r="D8" i="1"/>
  <c r="D7" i="1"/>
  <c r="N2" i="1"/>
  <c r="N3" i="1" s="1"/>
  <c r="AJ3" i="1"/>
  <c r="AJ11" i="1" l="1"/>
  <c r="AJ9" i="1"/>
  <c r="AJ34" i="1" s="1"/>
  <c r="AJ10" i="1"/>
  <c r="AN34" i="1"/>
  <c r="AO34" i="1"/>
  <c r="AP34" i="1"/>
  <c r="AM34" i="1"/>
  <c r="AI34" i="1"/>
  <c r="AK34" i="1"/>
</calcChain>
</file>

<file path=xl/sharedStrings.xml><?xml version="1.0" encoding="utf-8"?>
<sst xmlns="http://schemas.openxmlformats.org/spreadsheetml/2006/main" count="117" uniqueCount="95">
  <si>
    <t>Coduri folosite în pontaj</t>
  </si>
  <si>
    <t>Cod</t>
  </si>
  <si>
    <t>Semnificație</t>
  </si>
  <si>
    <t>8 (sau alt număr)</t>
  </si>
  <si>
    <t>Ore lucrate în ziua respectivă</t>
  </si>
  <si>
    <t>CO</t>
  </si>
  <si>
    <t>Concediu de odihnă</t>
  </si>
  <si>
    <t>CM</t>
  </si>
  <si>
    <t>Concediu medical</t>
  </si>
  <si>
    <t>CFP</t>
  </si>
  <si>
    <t>Concediu fără plată</t>
  </si>
  <si>
    <t>EV</t>
  </si>
  <si>
    <t>Zile libere pentru evenimente familiale deosebite</t>
  </si>
  <si>
    <t>N</t>
  </si>
  <si>
    <t>Absență nemotivată</t>
  </si>
  <si>
    <t>Orele se scriu ca număr (de exemplu 8 sau 7,5). Zilele de weekend și sărbătorile legale sunt colorate automat; orele lucrate în aceste zile se numără la orele suplimentare.</t>
  </si>
  <si>
    <t>Pontaj lunar – foaie colectivă de prezență</t>
  </si>
  <si>
    <t>Firma:</t>
  </si>
  <si>
    <t>Numele firmei SRL</t>
  </si>
  <si>
    <t>Luna:</t>
  </si>
  <si>
    <t>Ianuarie</t>
  </si>
  <si>
    <t>Anul:</t>
  </si>
  <si>
    <t>Normă (ore/zi):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</si>
  <si>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</si>
  <si>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</si>
  <si>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</si>
  <si>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</si>
  <si>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</si>
  <si>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</si>
  <si>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</si>
  <si>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</si>
  <si>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</si>
  <si>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</si>
  <si>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</si>
  <si>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Zile lucrătoare în lună:</t>
  </si>
  <si>
    <t>Ore normă în lună:</t>
  </si>
  <si>
    <t>Scrie orele lucrate (ex. 8) sau un cod: CO, CM, CFP, EV, N. Celulele verzi se pot modifica.</t>
  </si>
  <si>
    <t>Weekendurile și sărbătorile legale se colorează automat după luna și anul alese.</t>
  </si>
  <si>
    <t>Funcția</t>
  </si>
  <si>
    <t>Nume și prenume</t>
  </si>
  <si>
    <t>Nr.</t>
  </si>
  <si>
    <t>Ore lucrate</t>
  </si>
  <si>
    <t>Ore supl.</t>
  </si>
  <si>
    <t>Zile lucrate</t>
  </si>
  <si>
    <t>TOTAL</t>
  </si>
  <si>
    <t>Exemplu: Ionescu Andrei</t>
  </si>
  <si>
    <t>Operator</t>
  </si>
  <si>
    <t>Exemplu: Popa Elena</t>
  </si>
  <si>
    <t>Vânzător</t>
  </si>
  <si>
    <t>Exemplu: Stan Mihai</t>
  </si>
  <si>
    <t>Șofer</t>
  </si>
  <si>
    <t>Întocmit,</t>
  </si>
  <si>
    <t>Aprobat,</t>
  </si>
  <si>
    <t>____________________</t>
  </si>
  <si>
    <t>(nume, semnătură)</t>
  </si>
  <si>
    <t>(administrator)</t>
  </si>
  <si>
    <t>Evidența zilnică a timpului de muncă</t>
  </si>
  <si>
    <t>Ora de începere și ora de sfârșit a programului, pentru fiecare zi (art. 119 din Codul muncii). Fă câte o copie a foii pentru fiecare angajat.</t>
  </si>
  <si>
    <t>Angajat:</t>
  </si>
  <si>
    <t>Luna / anul:</t>
  </si>
  <si>
    <t>Data</t>
  </si>
  <si>
    <t>Ziua</t>
  </si>
  <si>
    <t>Ora începere</t>
  </si>
  <si>
    <t>Ora sfârșit</t>
  </si>
  <si>
    <t>Pauză (min)</t>
  </si>
  <si>
    <t>Observații</t>
  </si>
  <si>
    <t>TOTAL ore lucrate</t>
  </si>
  <si>
    <t>Semnătura angajatului: ____________________</t>
  </si>
  <si>
    <t>Semnătura angajatorului: ____________________</t>
  </si>
  <si>
    <t>Zile libere legale</t>
  </si>
  <si>
    <t>Conform art. 139 din Codul muncii. Se recalculează automat după anul ales în foaia „Pontaj lunar”.</t>
  </si>
  <si>
    <t>Paștele ortodox (calculat):</t>
  </si>
  <si>
    <t>Sărbătoare</t>
  </si>
  <si>
    <t>Ziua săptămânii</t>
  </si>
  <si>
    <t>Anul Nou</t>
  </si>
  <si>
    <t>A doua zi de Anul Nou</t>
  </si>
  <si>
    <t>Boboteaza</t>
  </si>
  <si>
    <t>Sfântul Ioan Botezătorul</t>
  </si>
  <si>
    <t>Ziua Unirii Principatelor Române</t>
  </si>
  <si>
    <t>Vinerea Mare</t>
  </si>
  <si>
    <t>Prima zi de Paște</t>
  </si>
  <si>
    <t>A doua zi de Paște</t>
  </si>
  <si>
    <t>Ziua Muncii</t>
  </si>
  <si>
    <t>Ziua Copilului</t>
  </si>
  <si>
    <t>Prima zi de Rusalii</t>
  </si>
  <si>
    <t>A doua zi de Rusalii</t>
  </si>
  <si>
    <t>Adormirea Maicii Domnului</t>
  </si>
  <si>
    <t>Sfântul Andrei</t>
  </si>
  <si>
    <t>Ziua Națională a României</t>
  </si>
  <si>
    <t>Prima zi de Crăciun</t>
  </si>
  <si>
    <t>A doua zi de Crăciun</t>
  </si>
  <si>
    <t>Model pontaj Excel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</si>
  <si>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</si>
  <si>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</si>
  <si>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modelexcel.ro/model-pontaj-excel/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</si>
</sst>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;\-General;;@"/>
    <numFmt numFmtId="165" formatCode="hh:mm"/>
  </numFmts>
  <fonts count="14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7734A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i/>
      <sz val="10"/>
      <color rgb="FF5D6B64"/>
      <name val="Calibri"/>
      <family val="2"/>
    </font>
    <font>
      <b/>
      <sz val="18"/>
      <color rgb="FF17734A"/>
      <name val="Calibri"/>
      <family val="2"/>
    </font>
    <font>
      <sz val="10"/>
      <color rgb="FFFFFFFF"/>
      <name val="Calibri"/>
      <family val="2"/>
    </font>
    <font>
      <sz val="10"/>
      <color rgb="FF5D6B64"/>
      <name val="Calibri"/>
      <family val="2"/>
    </font>
    <font>
      <b/>
      <sz val="20"/>
      <color rgb="FF17734A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734A"/>
        <bgColor indexed="64"/>
      </patternFill>
    </fill>
    <fill>
      <patternFill patternType="solid">
        <fgColor rgb="FFE3F1E9"/>
        <bgColor indexed="64"/>
      </patternFill>
    </fill>
    <fill>
      <patternFill patternType="solid">
        <fgColor rgb="FFF6FAF7"/>
        <bgColor indexed="64"/>
      </patternFill>
    </fill>
  </fills>
  <borders count="2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1" fillId="0" borderId="1" xfId="0" applyFont="1" applyBorder="1"/>
    <xf numFmtId="0" fontId="6" fillId="0" borderId="0" xfId="0" applyFont="1"/>
    <xf numFmtId="0" fontId="3" fillId="0" borderId="0" xfId="0" applyFont="1" applyAlignment="1">
      <alignment horizontal="right"/>
    </xf>
    <xf numFmtId="0" fontId="3" fillId="3" borderId="0" xfId="0" applyFont="1" applyFill="1"/>
    <xf numFmtId="0" fontId="7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8" fillId="0" borderId="0" xfId="0" applyFont="1"/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14" fontId="1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3" borderId="0" xfId="0" applyFont="1" applyFill="1"/>
    <xf numFmtId="0" fontId="1" fillId="3" borderId="0" xfId="0" applyFont="1" applyFill="1"/>
    <xf numFmtId="0" fontId="10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1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13">
    <dxf>
      <font>
        <color rgb="FFFFFFFF"/>
      </font>
      <fill>
        <patternFill>
          <bgColor rgb="FFFFFFFF"/>
        </patternFill>
      </fill>
    </dxf>
    <dxf>
      <fill>
        <patternFill>
          <bgColor rgb="FFE3E3E3"/>
        </patternFill>
      </fill>
    </dxf>
    <dxf>
      <font>
        <color rgb="FFD96F1F"/>
      </font>
    </dxf>
    <dxf>
      <fill>
        <patternFill>
          <bgColor rgb="FFE3E3E3"/>
        </patternFill>
      </fill>
    </dxf>
    <dxf>
      <font>
        <color rgb="FFFFFFFF"/>
      </font>
      <fill>
        <patternFill>
          <bgColor rgb="FFF29B3D"/>
        </patternFill>
      </fill>
    </dxf>
    <dxf>
      <font>
        <color rgb="FFFFFFFF"/>
      </font>
      <fill>
        <patternFill>
          <bgColor rgb="FFB4322A"/>
        </patternFill>
      </fill>
    </dxf>
    <dxf>
      <fill>
        <patternFill>
          <bgColor rgb="FFC9A7D9"/>
        </patternFill>
      </fill>
    </dxf>
    <dxf>
      <fill>
        <patternFill>
          <bgColor rgb="FFFFE68C"/>
        </patternFill>
      </fill>
    </dxf>
    <dxf>
      <font>
        <color rgb="FFFFFFFF"/>
      </font>
      <fill>
        <patternFill>
          <bgColor rgb="FF4FA0D6"/>
        </patternFill>
      </fill>
    </dxf>
    <dxf>
      <font>
        <color rgb="FFFFFFFF"/>
      </font>
      <fill>
        <patternFill>
          <bgColor rgb="FF17734A"/>
        </patternFill>
      </fill>
    </dxf>
    <dxf>
      <fill>
        <patternFill>
          <bgColor rgb="FFEDEDED"/>
        </patternFill>
      </fill>
    </dxf>
    <dxf>
      <font>
        <color rgb="FFB4322A"/>
      </font>
    </dxf>
    <dxf>
      <font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pontaj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F9020-A8D6-4EC5-BDDD-CE98E666A6E4}">
  <sheetPr>
    <pageSetUpPr fitToPage="1"/>
  </sheetPr>
  <dimension ref="A1:ZZ1000"/>
  <sheetViews>
    <sheetView showGridLines="0" tabSelected="1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D9" sqref="D9"/>
    </sheetView>
  </sheetViews>
  <sheetFormatPr baseColWidth="10" defaultRowHeight="12.75" x14ac:dyDescent="0.2"/>
  <cols>
    <col min="1" max="1" width="7.7109375" style="1" customWidth="1"/>
    <col min="2" max="2" width="24.7109375" style="1" customWidth="1"/>
    <col min="3" max="3" width="12.7109375" style="1" customWidth="1"/>
    <col min="4" max="34" width="4.28515625" style="1" customWidth="1"/>
    <col min="35" max="42" width="7.28515625" style="1" customWidth="1"/>
    <col min="43" max="16384" width="11.42578125" style="1"/>
  </cols>
  <sheetData>
    <row r="1" spans="1:42" ht="23.25" x14ac:dyDescent="0.35">
      <c r="A1" s="6" t="s">
        <v>16</v>
      </c>
    </row>
    <row r="2" spans="1:42" x14ac:dyDescent="0.2">
      <c r="A2" s="7" t="s">
        <v>17</v>
      </c>
      <c r="B2" s="8" t="s">
        <v>18</v>
      </c>
      <c r="C2" s="7" t="s">
        <v>22</v>
      </c>
      <c r="D2" s="30">
        <v>8</v>
      </c>
      <c r="E2" s="30"/>
      <c r="F2" s="30"/>
      <c r="H2" s="3" t="s">
        <v>34</v>
      </c>
      <c r="N2" s="10">
        <f>NETWORKDAYS(DATE(An,Luna,1),EOMONTH(DATE(An,Luna,1),0),Sarbatori)</f>
        <v>18</v>
      </c>
      <c r="R2" s="11" t="s">
        <v>36</v>
      </c>
    </row>
    <row r="3" spans="1:42" x14ac:dyDescent="0.2">
      <c r="A3" s="7" t="s">
        <v>19</v>
      </c>
      <c r="B3" s="8" t="s">
        <v>20</v>
      </c>
      <c r="C3" s="7" t="s">
        <v>21</v>
      </c>
      <c r="D3" s="30">
        <v>2027</v>
      </c>
      <c r="E3" s="30"/>
      <c r="F3" s="30"/>
      <c r="H3" s="3" t="s">
        <v>35</v>
      </c>
      <c r="N3" s="10">
        <f>N2*Norma</f>
        <v>144</v>
      </c>
      <c r="R3" s="11" t="s">
        <v>37</v>
      </c>
      <c r="AJ3" s="9">
        <f>MATCH($B$3,ListaLuni,0)</f>
        <v>1</v>
      </c>
    </row>
    <row r="5" spans="1:42" ht="18" customHeight="1" x14ac:dyDescent="0.2">
      <c r="A5" s="29" t="s">
        <v>40</v>
      </c>
      <c r="B5" s="29" t="s">
        <v>39</v>
      </c>
      <c r="C5" s="29" t="s">
        <v>38</v>
      </c>
      <c r="D5" s="12">
        <f t="shared" ref="D5:AH5" si="0">IF(D$7="","",DAY(D$7))</f>
        <v>1</v>
      </c>
      <c r="E5" s="12">
        <f t="shared" si="0"/>
        <v>2</v>
      </c>
      <c r="F5" s="12">
        <f t="shared" si="0"/>
        <v>3</v>
      </c>
      <c r="G5" s="12">
        <f t="shared" si="0"/>
        <v>4</v>
      </c>
      <c r="H5" s="12">
        <f t="shared" si="0"/>
        <v>5</v>
      </c>
      <c r="I5" s="12">
        <f t="shared" si="0"/>
        <v>6</v>
      </c>
      <c r="J5" s="12">
        <f t="shared" si="0"/>
        <v>7</v>
      </c>
      <c r="K5" s="12">
        <f t="shared" si="0"/>
        <v>8</v>
      </c>
      <c r="L5" s="12">
        <f t="shared" si="0"/>
        <v>9</v>
      </c>
      <c r="M5" s="12">
        <f t="shared" si="0"/>
        <v>10</v>
      </c>
      <c r="N5" s="12">
        <f t="shared" si="0"/>
        <v>11</v>
      </c>
      <c r="O5" s="12">
        <f t="shared" si="0"/>
        <v>12</v>
      </c>
      <c r="P5" s="12">
        <f t="shared" si="0"/>
        <v>13</v>
      </c>
      <c r="Q5" s="12">
        <f t="shared" si="0"/>
        <v>14</v>
      </c>
      <c r="R5" s="12">
        <f t="shared" si="0"/>
        <v>15</v>
      </c>
      <c r="S5" s="12">
        <f t="shared" si="0"/>
        <v>16</v>
      </c>
      <c r="T5" s="12">
        <f t="shared" si="0"/>
        <v>17</v>
      </c>
      <c r="U5" s="12">
        <f t="shared" si="0"/>
        <v>18</v>
      </c>
      <c r="V5" s="12">
        <f t="shared" si="0"/>
        <v>19</v>
      </c>
      <c r="W5" s="12">
        <f t="shared" si="0"/>
        <v>20</v>
      </c>
      <c r="X5" s="12">
        <f t="shared" si="0"/>
        <v>21</v>
      </c>
      <c r="Y5" s="12">
        <f t="shared" si="0"/>
        <v>22</v>
      </c>
      <c r="Z5" s="12">
        <f t="shared" si="0"/>
        <v>23</v>
      </c>
      <c r="AA5" s="12">
        <f t="shared" si="0"/>
        <v>24</v>
      </c>
      <c r="AB5" s="12">
        <f t="shared" si="0"/>
        <v>25</v>
      </c>
      <c r="AC5" s="12">
        <f t="shared" si="0"/>
        <v>26</v>
      </c>
      <c r="AD5" s="12">
        <f t="shared" si="0"/>
        <v>27</v>
      </c>
      <c r="AE5" s="12">
        <f t="shared" si="0"/>
        <v>28</v>
      </c>
      <c r="AF5" s="12">
        <f t="shared" si="0"/>
        <v>29</v>
      </c>
      <c r="AG5" s="12">
        <f t="shared" si="0"/>
        <v>30</v>
      </c>
      <c r="AH5" s="12">
        <f t="shared" si="0"/>
        <v>31</v>
      </c>
      <c r="AI5" s="29" t="s">
        <v>41</v>
      </c>
      <c r="AJ5" s="29" t="s">
        <v>42</v>
      </c>
      <c r="AK5" s="29" t="s">
        <v>43</v>
      </c>
      <c r="AL5" s="29" t="s">
        <v>5</v>
      </c>
      <c r="AM5" s="29" t="s">
        <v>7</v>
      </c>
      <c r="AN5" s="29" t="s">
        <v>9</v>
      </c>
      <c r="AO5" s="29" t="s">
        <v>11</v>
      </c>
      <c r="AP5" s="29" t="s">
        <v>13</v>
      </c>
    </row>
    <row r="6" spans="1:42" ht="18" customHeight="1" x14ac:dyDescent="0.2">
      <c r="A6" s="29"/>
      <c r="B6" s="29"/>
      <c r="C6" s="29"/>
      <c r="D6" s="12" t="str">
        <f t="shared" ref="D6:AH6" si="1">IF(D$7="","",CHOOSE(WEEKDAY(D$7,2),"L","Ma","Mi","J","V","S","D"))</f>
        <v>V</v>
      </c>
      <c r="E6" s="12" t="str">
        <f t="shared" si="1"/>
        <v>S</v>
      </c>
      <c r="F6" s="12" t="str">
        <f t="shared" si="1"/>
        <v>D</v>
      </c>
      <c r="G6" s="12" t="str">
        <f t="shared" si="1"/>
        <v>L</v>
      </c>
      <c r="H6" s="12" t="str">
        <f t="shared" si="1"/>
        <v>Ma</v>
      </c>
      <c r="I6" s="12" t="str">
        <f t="shared" si="1"/>
        <v>Mi</v>
      </c>
      <c r="J6" s="12" t="str">
        <f t="shared" si="1"/>
        <v>J</v>
      </c>
      <c r="K6" s="12" t="str">
        <f t="shared" si="1"/>
        <v>V</v>
      </c>
      <c r="L6" s="12" t="str">
        <f t="shared" si="1"/>
        <v>S</v>
      </c>
      <c r="M6" s="12" t="str">
        <f t="shared" si="1"/>
        <v>D</v>
      </c>
      <c r="N6" s="12" t="str">
        <f t="shared" si="1"/>
        <v>L</v>
      </c>
      <c r="O6" s="12" t="str">
        <f t="shared" si="1"/>
        <v>Ma</v>
      </c>
      <c r="P6" s="12" t="str">
        <f t="shared" si="1"/>
        <v>Mi</v>
      </c>
      <c r="Q6" s="12" t="str">
        <f t="shared" si="1"/>
        <v>J</v>
      </c>
      <c r="R6" s="12" t="str">
        <f t="shared" si="1"/>
        <v>V</v>
      </c>
      <c r="S6" s="12" t="str">
        <f t="shared" si="1"/>
        <v>S</v>
      </c>
      <c r="T6" s="12" t="str">
        <f t="shared" si="1"/>
        <v>D</v>
      </c>
      <c r="U6" s="12" t="str">
        <f t="shared" si="1"/>
        <v>L</v>
      </c>
      <c r="V6" s="12" t="str">
        <f t="shared" si="1"/>
        <v>Ma</v>
      </c>
      <c r="W6" s="12" t="str">
        <f t="shared" si="1"/>
        <v>Mi</v>
      </c>
      <c r="X6" s="12" t="str">
        <f t="shared" si="1"/>
        <v>J</v>
      </c>
      <c r="Y6" s="12" t="str">
        <f t="shared" si="1"/>
        <v>V</v>
      </c>
      <c r="Z6" s="12" t="str">
        <f t="shared" si="1"/>
        <v>S</v>
      </c>
      <c r="AA6" s="12" t="str">
        <f t="shared" si="1"/>
        <v>D</v>
      </c>
      <c r="AB6" s="12" t="str">
        <f t="shared" si="1"/>
        <v>L</v>
      </c>
      <c r="AC6" s="12" t="str">
        <f t="shared" si="1"/>
        <v>Ma</v>
      </c>
      <c r="AD6" s="12" t="str">
        <f t="shared" si="1"/>
        <v>Mi</v>
      </c>
      <c r="AE6" s="12" t="str">
        <f t="shared" si="1"/>
        <v>J</v>
      </c>
      <c r="AF6" s="12" t="str">
        <f t="shared" si="1"/>
        <v>V</v>
      </c>
      <c r="AG6" s="12" t="str">
        <f t="shared" si="1"/>
        <v>S</v>
      </c>
      <c r="AH6" s="12" t="str">
        <f t="shared" si="1"/>
        <v>D</v>
      </c>
      <c r="AI6" s="29"/>
      <c r="AJ6" s="29"/>
      <c r="AK6" s="29"/>
      <c r="AL6" s="29"/>
      <c r="AM6" s="29"/>
      <c r="AN6" s="29"/>
      <c r="AO6" s="29"/>
      <c r="AP6" s="29"/>
    </row>
    <row r="7" spans="1:42" hidden="1" x14ac:dyDescent="0.2">
      <c r="A7" s="5"/>
      <c r="B7" s="5"/>
      <c r="C7" s="5"/>
      <c r="D7" s="5">
        <f>IF(1&lt;=DAY(EOMONTH(DATE(An,Luna,1),0)),DATE(An,Luna,1),"")</f>
        <v>46388</v>
      </c>
      <c r="E7" s="5">
        <f>IF(2&lt;=DAY(EOMONTH(DATE(An,Luna,1),0)),DATE(An,Luna,2),"")</f>
        <v>46389</v>
      </c>
      <c r="F7" s="5">
        <f>IF(3&lt;=DAY(EOMONTH(DATE(An,Luna,1),0)),DATE(An,Luna,3),"")</f>
        <v>46390</v>
      </c>
      <c r="G7" s="5">
        <f>IF(4&lt;=DAY(EOMONTH(DATE(An,Luna,1),0)),DATE(An,Luna,4),"")</f>
        <v>46391</v>
      </c>
      <c r="H7" s="5">
        <f>IF(5&lt;=DAY(EOMONTH(DATE(An,Luna,1),0)),DATE(An,Luna,5),"")</f>
        <v>46392</v>
      </c>
      <c r="I7" s="5">
        <f>IF(6&lt;=DAY(EOMONTH(DATE(An,Luna,1),0)),DATE(An,Luna,6),"")</f>
        <v>46393</v>
      </c>
      <c r="J7" s="5">
        <f>IF(7&lt;=DAY(EOMONTH(DATE(An,Luna,1),0)),DATE(An,Luna,7),"")</f>
        <v>46394</v>
      </c>
      <c r="K7" s="5">
        <f>IF(8&lt;=DAY(EOMONTH(DATE(An,Luna,1),0)),DATE(An,Luna,8),"")</f>
        <v>46395</v>
      </c>
      <c r="L7" s="5">
        <f>IF(9&lt;=DAY(EOMONTH(DATE(An,Luna,1),0)),DATE(An,Luna,9),"")</f>
        <v>46396</v>
      </c>
      <c r="M7" s="5">
        <f>IF(10&lt;=DAY(EOMONTH(DATE(An,Luna,1),0)),DATE(An,Luna,10),"")</f>
        <v>46397</v>
      </c>
      <c r="N7" s="5">
        <f>IF(11&lt;=DAY(EOMONTH(DATE(An,Luna,1),0)),DATE(An,Luna,11),"")</f>
        <v>46398</v>
      </c>
      <c r="O7" s="5">
        <f>IF(12&lt;=DAY(EOMONTH(DATE(An,Luna,1),0)),DATE(An,Luna,12),"")</f>
        <v>46399</v>
      </c>
      <c r="P7" s="5">
        <f>IF(13&lt;=DAY(EOMONTH(DATE(An,Luna,1),0)),DATE(An,Luna,13),"")</f>
        <v>46400</v>
      </c>
      <c r="Q7" s="5">
        <f>IF(14&lt;=DAY(EOMONTH(DATE(An,Luna,1),0)),DATE(An,Luna,14),"")</f>
        <v>46401</v>
      </c>
      <c r="R7" s="5">
        <f>IF(15&lt;=DAY(EOMONTH(DATE(An,Luna,1),0)),DATE(An,Luna,15),"")</f>
        <v>46402</v>
      </c>
      <c r="S7" s="5">
        <f>IF(16&lt;=DAY(EOMONTH(DATE(An,Luna,1),0)),DATE(An,Luna,16),"")</f>
        <v>46403</v>
      </c>
      <c r="T7" s="5">
        <f>IF(17&lt;=DAY(EOMONTH(DATE(An,Luna,1),0)),DATE(An,Luna,17),"")</f>
        <v>46404</v>
      </c>
      <c r="U7" s="5">
        <f>IF(18&lt;=DAY(EOMONTH(DATE(An,Luna,1),0)),DATE(An,Luna,18),"")</f>
        <v>46405</v>
      </c>
      <c r="V7" s="5">
        <f>IF(19&lt;=DAY(EOMONTH(DATE(An,Luna,1),0)),DATE(An,Luna,19),"")</f>
        <v>46406</v>
      </c>
      <c r="W7" s="5">
        <f>IF(20&lt;=DAY(EOMONTH(DATE(An,Luna,1),0)),DATE(An,Luna,20),"")</f>
        <v>46407</v>
      </c>
      <c r="X7" s="5">
        <f>IF(21&lt;=DAY(EOMONTH(DATE(An,Luna,1),0)),DATE(An,Luna,21),"")</f>
        <v>46408</v>
      </c>
      <c r="Y7" s="5">
        <f>IF(22&lt;=DAY(EOMONTH(DATE(An,Luna,1),0)),DATE(An,Luna,22),"")</f>
        <v>46409</v>
      </c>
      <c r="Z7" s="5">
        <f>IF(23&lt;=DAY(EOMONTH(DATE(An,Luna,1),0)),DATE(An,Luna,23),"")</f>
        <v>46410</v>
      </c>
      <c r="AA7" s="5">
        <f>IF(24&lt;=DAY(EOMONTH(DATE(An,Luna,1),0)),DATE(An,Luna,24),"")</f>
        <v>46411</v>
      </c>
      <c r="AB7" s="5">
        <f>IF(25&lt;=DAY(EOMONTH(DATE(An,Luna,1),0)),DATE(An,Luna,25),"")</f>
        <v>46412</v>
      </c>
      <c r="AC7" s="5">
        <f>IF(26&lt;=DAY(EOMONTH(DATE(An,Luna,1),0)),DATE(An,Luna,26),"")</f>
        <v>46413</v>
      </c>
      <c r="AD7" s="5">
        <f>IF(27&lt;=DAY(EOMONTH(DATE(An,Luna,1),0)),DATE(An,Luna,27),"")</f>
        <v>46414</v>
      </c>
      <c r="AE7" s="5">
        <f>IF(28&lt;=DAY(EOMONTH(DATE(An,Luna,1),0)),DATE(An,Luna,28),"")</f>
        <v>46415</v>
      </c>
      <c r="AF7" s="5">
        <f>IF(29&lt;=DAY(EOMONTH(DATE(An,Luna,1),0)),DATE(An,Luna,29),"")</f>
        <v>46416</v>
      </c>
      <c r="AG7" s="5">
        <f>IF(30&lt;=DAY(EOMONTH(DATE(An,Luna,1),0)),DATE(An,Luna,30),"")</f>
        <v>46417</v>
      </c>
      <c r="AH7" s="5">
        <f>IF(31&lt;=DAY(EOMONTH(DATE(An,Luna,1),0)),DATE(An,Luna,31),"")</f>
        <v>46418</v>
      </c>
      <c r="AI7" s="5"/>
      <c r="AJ7" s="5"/>
      <c r="AK7" s="5"/>
      <c r="AL7" s="5"/>
      <c r="AM7" s="5"/>
      <c r="AN7" s="5"/>
      <c r="AO7" s="5"/>
      <c r="AP7" s="5"/>
    </row>
    <row r="8" spans="1:42" hidden="1" x14ac:dyDescent="0.2">
      <c r="A8" s="5"/>
      <c r="B8" s="5"/>
      <c r="C8" s="5"/>
      <c r="D8" s="5">
        <f t="shared" ref="D8:AH8" si="2">IF(D$7="","",IF(OR(WEEKDAY(D$7,2)&gt;5,COUNTIF(Sarbatori,D$7)&gt;0),1,0))</f>
        <v>1</v>
      </c>
      <c r="E8" s="5">
        <f t="shared" si="2"/>
        <v>1</v>
      </c>
      <c r="F8" s="5">
        <f t="shared" si="2"/>
        <v>1</v>
      </c>
      <c r="G8" s="5">
        <f t="shared" si="2"/>
        <v>0</v>
      </c>
      <c r="H8" s="5">
        <f t="shared" si="2"/>
        <v>0</v>
      </c>
      <c r="I8" s="5">
        <f t="shared" si="2"/>
        <v>1</v>
      </c>
      <c r="J8" s="5">
        <f t="shared" si="2"/>
        <v>1</v>
      </c>
      <c r="K8" s="5">
        <f t="shared" si="2"/>
        <v>0</v>
      </c>
      <c r="L8" s="5">
        <f t="shared" si="2"/>
        <v>1</v>
      </c>
      <c r="M8" s="5">
        <f t="shared" si="2"/>
        <v>1</v>
      </c>
      <c r="N8" s="5">
        <f t="shared" si="2"/>
        <v>0</v>
      </c>
      <c r="O8" s="5">
        <f t="shared" si="2"/>
        <v>0</v>
      </c>
      <c r="P8" s="5">
        <f t="shared" si="2"/>
        <v>0</v>
      </c>
      <c r="Q8" s="5">
        <f t="shared" si="2"/>
        <v>0</v>
      </c>
      <c r="R8" s="5">
        <f t="shared" si="2"/>
        <v>0</v>
      </c>
      <c r="S8" s="5">
        <f t="shared" si="2"/>
        <v>1</v>
      </c>
      <c r="T8" s="5">
        <f t="shared" si="2"/>
        <v>1</v>
      </c>
      <c r="U8" s="5">
        <f t="shared" si="2"/>
        <v>0</v>
      </c>
      <c r="V8" s="5">
        <f t="shared" si="2"/>
        <v>0</v>
      </c>
      <c r="W8" s="5">
        <f t="shared" si="2"/>
        <v>0</v>
      </c>
      <c r="X8" s="5">
        <f t="shared" si="2"/>
        <v>0</v>
      </c>
      <c r="Y8" s="5">
        <f t="shared" si="2"/>
        <v>0</v>
      </c>
      <c r="Z8" s="5">
        <f t="shared" si="2"/>
        <v>1</v>
      </c>
      <c r="AA8" s="5">
        <f t="shared" si="2"/>
        <v>1</v>
      </c>
      <c r="AB8" s="5">
        <f t="shared" si="2"/>
        <v>0</v>
      </c>
      <c r="AC8" s="5">
        <f t="shared" si="2"/>
        <v>0</v>
      </c>
      <c r="AD8" s="5">
        <f t="shared" si="2"/>
        <v>0</v>
      </c>
      <c r="AE8" s="5">
        <f t="shared" si="2"/>
        <v>0</v>
      </c>
      <c r="AF8" s="5">
        <f t="shared" si="2"/>
        <v>0</v>
      </c>
      <c r="AG8" s="5">
        <f t="shared" si="2"/>
        <v>1</v>
      </c>
      <c r="AH8" s="5">
        <f t="shared" si="2"/>
        <v>1</v>
      </c>
      <c r="AI8" s="5"/>
      <c r="AJ8" s="5"/>
      <c r="AK8" s="5"/>
      <c r="AL8" s="5"/>
      <c r="AM8" s="5"/>
      <c r="AN8" s="5"/>
      <c r="AO8" s="5"/>
      <c r="AP8" s="5"/>
    </row>
    <row r="9" spans="1:42" x14ac:dyDescent="0.2">
      <c r="A9" s="14">
        <v>1</v>
      </c>
      <c r="B9" s="16" t="s">
        <v>45</v>
      </c>
      <c r="C9" s="16" t="s">
        <v>46</v>
      </c>
      <c r="D9" s="14"/>
      <c r="E9" s="14"/>
      <c r="F9" s="14"/>
      <c r="G9" s="14" t="s">
        <v>5</v>
      </c>
      <c r="H9" s="14" t="s">
        <v>5</v>
      </c>
      <c r="I9" s="14"/>
      <c r="J9" s="14"/>
      <c r="K9" s="14" t="s">
        <v>5</v>
      </c>
      <c r="L9" s="14"/>
      <c r="M9" s="14"/>
      <c r="N9" s="14">
        <v>8</v>
      </c>
      <c r="O9" s="14">
        <v>8</v>
      </c>
      <c r="P9" s="14">
        <v>8</v>
      </c>
      <c r="Q9" s="14">
        <v>8</v>
      </c>
      <c r="R9" s="14">
        <v>8</v>
      </c>
      <c r="S9" s="14"/>
      <c r="T9" s="14"/>
      <c r="U9" s="14">
        <v>8</v>
      </c>
      <c r="V9" s="14">
        <v>8</v>
      </c>
      <c r="W9" s="14">
        <v>8</v>
      </c>
      <c r="X9" s="14">
        <v>8</v>
      </c>
      <c r="Y9" s="14">
        <v>8</v>
      </c>
      <c r="Z9" s="14"/>
      <c r="AA9" s="14"/>
      <c r="AB9" s="14">
        <v>8</v>
      </c>
      <c r="AC9" s="14">
        <v>8</v>
      </c>
      <c r="AD9" s="14">
        <v>8</v>
      </c>
      <c r="AE9" s="14">
        <v>8</v>
      </c>
      <c r="AF9" s="14">
        <v>8</v>
      </c>
      <c r="AG9" s="14"/>
      <c r="AH9" s="14"/>
      <c r="AI9" s="19">
        <f t="shared" ref="AI9:AI33" si="3">IF($B9="","",SUM($D9:$AH9))</f>
        <v>120</v>
      </c>
      <c r="AJ9" s="19">
        <f t="shared" ref="AJ9:AJ33" si="4">IF($B9="","",SUMIFS($D9:$AH9,$D$8:$AH$8,0,$D9:$AH9,"&gt;"&amp;Norma)-Norma*COUNTIFS($D9:$AH9,"&gt;"&amp;Norma,$D$8:$AH$8,0)+SUMIFS($D9:$AH9,$D$8:$AH$8,1))</f>
        <v>0</v>
      </c>
      <c r="AK9" s="20">
        <f t="shared" ref="AK9:AK33" si="5">IF($B9="","",COUNTIF($D9:$AH9,"&gt;0"))</f>
        <v>15</v>
      </c>
      <c r="AL9" s="20">
        <f t="shared" ref="AL9:AL33" si="6">IF($B9="","",COUNTIF($D9:$AH9,"CO"))</f>
        <v>3</v>
      </c>
      <c r="AM9" s="20">
        <f t="shared" ref="AM9:AM33" si="7">IF($B9="","",COUNTIF($D9:$AH9,"CM"))</f>
        <v>0</v>
      </c>
      <c r="AN9" s="20">
        <f t="shared" ref="AN9:AN33" si="8">IF($B9="","",COUNTIF($D9:$AH9,"CFP"))</f>
        <v>0</v>
      </c>
      <c r="AO9" s="20">
        <f t="shared" ref="AO9:AO33" si="9">IF($B9="","",COUNTIF($D9:$AH9,"EV"))</f>
        <v>0</v>
      </c>
      <c r="AP9" s="20">
        <f t="shared" ref="AP9:AP33" si="10">IF($B9="","",COUNTIF($D9:$AH9,"N"))</f>
        <v>0</v>
      </c>
    </row>
    <row r="10" spans="1:42" x14ac:dyDescent="0.2">
      <c r="A10" s="14">
        <v>2</v>
      </c>
      <c r="B10" s="16" t="s">
        <v>47</v>
      </c>
      <c r="C10" s="16" t="s">
        <v>48</v>
      </c>
      <c r="D10" s="14"/>
      <c r="E10" s="14"/>
      <c r="F10" s="14"/>
      <c r="G10" s="14">
        <v>8</v>
      </c>
      <c r="H10" s="14">
        <v>8</v>
      </c>
      <c r="I10" s="14"/>
      <c r="J10" s="14"/>
      <c r="K10" s="14">
        <v>8</v>
      </c>
      <c r="L10" s="14">
        <v>4</v>
      </c>
      <c r="M10" s="14"/>
      <c r="N10" s="14">
        <v>8</v>
      </c>
      <c r="O10" s="14">
        <v>10</v>
      </c>
      <c r="P10" s="14">
        <v>8</v>
      </c>
      <c r="Q10" s="14">
        <v>8</v>
      </c>
      <c r="R10" s="14">
        <v>8</v>
      </c>
      <c r="S10" s="14"/>
      <c r="T10" s="14"/>
      <c r="U10" s="14">
        <v>8</v>
      </c>
      <c r="V10" s="14">
        <v>10</v>
      </c>
      <c r="W10" s="14">
        <v>8</v>
      </c>
      <c r="X10" s="14">
        <v>8</v>
      </c>
      <c r="Y10" s="14">
        <v>8</v>
      </c>
      <c r="Z10" s="14"/>
      <c r="AA10" s="14"/>
      <c r="AB10" s="14">
        <v>8</v>
      </c>
      <c r="AC10" s="14">
        <v>8</v>
      </c>
      <c r="AD10" s="14">
        <v>8</v>
      </c>
      <c r="AE10" s="14">
        <v>8</v>
      </c>
      <c r="AF10" s="14">
        <v>8</v>
      </c>
      <c r="AG10" s="14"/>
      <c r="AH10" s="14"/>
      <c r="AI10" s="19">
        <f t="shared" si="3"/>
        <v>152</v>
      </c>
      <c r="AJ10" s="19">
        <f t="shared" si="4"/>
        <v>8</v>
      </c>
      <c r="AK10" s="20">
        <f t="shared" si="5"/>
        <v>19</v>
      </c>
      <c r="AL10" s="20">
        <f t="shared" si="6"/>
        <v>0</v>
      </c>
      <c r="AM10" s="20">
        <f t="shared" si="7"/>
        <v>0</v>
      </c>
      <c r="AN10" s="20">
        <f t="shared" si="8"/>
        <v>0</v>
      </c>
      <c r="AO10" s="20">
        <f t="shared" si="9"/>
        <v>0</v>
      </c>
      <c r="AP10" s="20">
        <f t="shared" si="10"/>
        <v>0</v>
      </c>
    </row>
    <row r="11" spans="1:42" x14ac:dyDescent="0.2">
      <c r="A11" s="14">
        <v>3</v>
      </c>
      <c r="B11" s="16" t="s">
        <v>49</v>
      </c>
      <c r="C11" s="16" t="s">
        <v>50</v>
      </c>
      <c r="D11" s="14"/>
      <c r="E11" s="14"/>
      <c r="F11" s="14"/>
      <c r="G11" s="14">
        <v>8</v>
      </c>
      <c r="H11" s="14">
        <v>8</v>
      </c>
      <c r="I11" s="14"/>
      <c r="J11" s="14"/>
      <c r="K11" s="14">
        <v>8</v>
      </c>
      <c r="L11" s="14"/>
      <c r="M11" s="14"/>
      <c r="N11" s="14" t="s">
        <v>7</v>
      </c>
      <c r="O11" s="14" t="s">
        <v>7</v>
      </c>
      <c r="P11" s="14" t="s">
        <v>7</v>
      </c>
      <c r="Q11" s="14" t="s">
        <v>7</v>
      </c>
      <c r="R11" s="14" t="s">
        <v>7</v>
      </c>
      <c r="S11" s="14"/>
      <c r="T11" s="14"/>
      <c r="U11" s="14">
        <v>8</v>
      </c>
      <c r="V11" s="14">
        <v>8</v>
      </c>
      <c r="W11" s="14">
        <v>8</v>
      </c>
      <c r="X11" s="14">
        <v>8</v>
      </c>
      <c r="Y11" s="14">
        <v>8</v>
      </c>
      <c r="Z11" s="14"/>
      <c r="AA11" s="14"/>
      <c r="AB11" s="14">
        <v>8</v>
      </c>
      <c r="AC11" s="14">
        <v>8</v>
      </c>
      <c r="AD11" s="14">
        <v>8</v>
      </c>
      <c r="AE11" s="14">
        <v>8</v>
      </c>
      <c r="AF11" s="14">
        <v>8</v>
      </c>
      <c r="AG11" s="14"/>
      <c r="AH11" s="14"/>
      <c r="AI11" s="19">
        <f t="shared" si="3"/>
        <v>104</v>
      </c>
      <c r="AJ11" s="19">
        <f t="shared" si="4"/>
        <v>0</v>
      </c>
      <c r="AK11" s="20">
        <f t="shared" si="5"/>
        <v>13</v>
      </c>
      <c r="AL11" s="20">
        <f t="shared" si="6"/>
        <v>0</v>
      </c>
      <c r="AM11" s="20">
        <f t="shared" si="7"/>
        <v>5</v>
      </c>
      <c r="AN11" s="20">
        <f t="shared" si="8"/>
        <v>0</v>
      </c>
      <c r="AO11" s="20">
        <f t="shared" si="9"/>
        <v>0</v>
      </c>
      <c r="AP11" s="20">
        <f t="shared" si="10"/>
        <v>0</v>
      </c>
    </row>
    <row r="12" spans="1:42" x14ac:dyDescent="0.2">
      <c r="A12" s="14">
        <v>4</v>
      </c>
      <c r="B12" s="16"/>
      <c r="C12" s="16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9" t="str">
        <f t="shared" si="3"/>
        <v/>
      </c>
      <c r="AJ12" s="19" t="str">
        <f t="shared" si="4"/>
        <v/>
      </c>
      <c r="AK12" s="20" t="str">
        <f t="shared" si="5"/>
        <v/>
      </c>
      <c r="AL12" s="20" t="str">
        <f t="shared" si="6"/>
        <v/>
      </c>
      <c r="AM12" s="20" t="str">
        <f t="shared" si="7"/>
        <v/>
      </c>
      <c r="AN12" s="20" t="str">
        <f t="shared" si="8"/>
        <v/>
      </c>
      <c r="AO12" s="20" t="str">
        <f t="shared" si="9"/>
        <v/>
      </c>
      <c r="AP12" s="20" t="str">
        <f t="shared" si="10"/>
        <v/>
      </c>
    </row>
    <row r="13" spans="1:42" x14ac:dyDescent="0.2">
      <c r="A13" s="14">
        <v>5</v>
      </c>
      <c r="B13" s="16"/>
      <c r="C13" s="16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9" t="str">
        <f t="shared" si="3"/>
        <v/>
      </c>
      <c r="AJ13" s="19" t="str">
        <f t="shared" si="4"/>
        <v/>
      </c>
      <c r="AK13" s="20" t="str">
        <f t="shared" si="5"/>
        <v/>
      </c>
      <c r="AL13" s="20" t="str">
        <f t="shared" si="6"/>
        <v/>
      </c>
      <c r="AM13" s="20" t="str">
        <f t="shared" si="7"/>
        <v/>
      </c>
      <c r="AN13" s="20" t="str">
        <f t="shared" si="8"/>
        <v/>
      </c>
      <c r="AO13" s="20" t="str">
        <f t="shared" si="9"/>
        <v/>
      </c>
      <c r="AP13" s="20" t="str">
        <f t="shared" si="10"/>
        <v/>
      </c>
    </row>
    <row r="14" spans="1:42" x14ac:dyDescent="0.2">
      <c r="A14" s="14">
        <v>6</v>
      </c>
      <c r="B14" s="16"/>
      <c r="C14" s="16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9" t="str">
        <f t="shared" si="3"/>
        <v/>
      </c>
      <c r="AJ14" s="19" t="str">
        <f t="shared" si="4"/>
        <v/>
      </c>
      <c r="AK14" s="20" t="str">
        <f t="shared" si="5"/>
        <v/>
      </c>
      <c r="AL14" s="20" t="str">
        <f t="shared" si="6"/>
        <v/>
      </c>
      <c r="AM14" s="20" t="str">
        <f t="shared" si="7"/>
        <v/>
      </c>
      <c r="AN14" s="20" t="str">
        <f t="shared" si="8"/>
        <v/>
      </c>
      <c r="AO14" s="20" t="str">
        <f t="shared" si="9"/>
        <v/>
      </c>
      <c r="AP14" s="20" t="str">
        <f t="shared" si="10"/>
        <v/>
      </c>
    </row>
    <row r="15" spans="1:42" x14ac:dyDescent="0.2">
      <c r="A15" s="14">
        <v>7</v>
      </c>
      <c r="B15" s="16"/>
      <c r="C15" s="16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9" t="str">
        <f t="shared" si="3"/>
        <v/>
      </c>
      <c r="AJ15" s="19" t="str">
        <f t="shared" si="4"/>
        <v/>
      </c>
      <c r="AK15" s="20" t="str">
        <f t="shared" si="5"/>
        <v/>
      </c>
      <c r="AL15" s="20" t="str">
        <f t="shared" si="6"/>
        <v/>
      </c>
      <c r="AM15" s="20" t="str">
        <f t="shared" si="7"/>
        <v/>
      </c>
      <c r="AN15" s="20" t="str">
        <f t="shared" si="8"/>
        <v/>
      </c>
      <c r="AO15" s="20" t="str">
        <f t="shared" si="9"/>
        <v/>
      </c>
      <c r="AP15" s="20" t="str">
        <f t="shared" si="10"/>
        <v/>
      </c>
    </row>
    <row r="16" spans="1:42" x14ac:dyDescent="0.2">
      <c r="A16" s="14">
        <v>8</v>
      </c>
      <c r="B16" s="16"/>
      <c r="C16" s="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9" t="str">
        <f t="shared" si="3"/>
        <v/>
      </c>
      <c r="AJ16" s="19" t="str">
        <f t="shared" si="4"/>
        <v/>
      </c>
      <c r="AK16" s="20" t="str">
        <f t="shared" si="5"/>
        <v/>
      </c>
      <c r="AL16" s="20" t="str">
        <f t="shared" si="6"/>
        <v/>
      </c>
      <c r="AM16" s="20" t="str">
        <f t="shared" si="7"/>
        <v/>
      </c>
      <c r="AN16" s="20" t="str">
        <f t="shared" si="8"/>
        <v/>
      </c>
      <c r="AO16" s="20" t="str">
        <f t="shared" si="9"/>
        <v/>
      </c>
      <c r="AP16" s="20" t="str">
        <f t="shared" si="10"/>
        <v/>
      </c>
    </row>
    <row r="17" spans="1:42" x14ac:dyDescent="0.2">
      <c r="A17" s="14">
        <v>9</v>
      </c>
      <c r="B17" s="16"/>
      <c r="C17" s="16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9" t="str">
        <f t="shared" si="3"/>
        <v/>
      </c>
      <c r="AJ17" s="19" t="str">
        <f t="shared" si="4"/>
        <v/>
      </c>
      <c r="AK17" s="20" t="str">
        <f t="shared" si="5"/>
        <v/>
      </c>
      <c r="AL17" s="20" t="str">
        <f t="shared" si="6"/>
        <v/>
      </c>
      <c r="AM17" s="20" t="str">
        <f t="shared" si="7"/>
        <v/>
      </c>
      <c r="AN17" s="20" t="str">
        <f t="shared" si="8"/>
        <v/>
      </c>
      <c r="AO17" s="20" t="str">
        <f t="shared" si="9"/>
        <v/>
      </c>
      <c r="AP17" s="20" t="str">
        <f t="shared" si="10"/>
        <v/>
      </c>
    </row>
    <row r="18" spans="1:42" x14ac:dyDescent="0.2">
      <c r="A18" s="14">
        <v>10</v>
      </c>
      <c r="B18" s="16"/>
      <c r="C18" s="16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9" t="str">
        <f t="shared" si="3"/>
        <v/>
      </c>
      <c r="AJ18" s="19" t="str">
        <f t="shared" si="4"/>
        <v/>
      </c>
      <c r="AK18" s="20" t="str">
        <f t="shared" si="5"/>
        <v/>
      </c>
      <c r="AL18" s="20" t="str">
        <f t="shared" si="6"/>
        <v/>
      </c>
      <c r="AM18" s="20" t="str">
        <f t="shared" si="7"/>
        <v/>
      </c>
      <c r="AN18" s="20" t="str">
        <f t="shared" si="8"/>
        <v/>
      </c>
      <c r="AO18" s="20" t="str">
        <f t="shared" si="9"/>
        <v/>
      </c>
      <c r="AP18" s="20" t="str">
        <f t="shared" si="10"/>
        <v/>
      </c>
    </row>
    <row r="19" spans="1:42" x14ac:dyDescent="0.2">
      <c r="A19" s="14">
        <v>11</v>
      </c>
      <c r="B19" s="16"/>
      <c r="C19" s="16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9" t="str">
        <f t="shared" si="3"/>
        <v/>
      </c>
      <c r="AJ19" s="19" t="str">
        <f t="shared" si="4"/>
        <v/>
      </c>
      <c r="AK19" s="20" t="str">
        <f t="shared" si="5"/>
        <v/>
      </c>
      <c r="AL19" s="20" t="str">
        <f t="shared" si="6"/>
        <v/>
      </c>
      <c r="AM19" s="20" t="str">
        <f t="shared" si="7"/>
        <v/>
      </c>
      <c r="AN19" s="20" t="str">
        <f t="shared" si="8"/>
        <v/>
      </c>
      <c r="AO19" s="20" t="str">
        <f t="shared" si="9"/>
        <v/>
      </c>
      <c r="AP19" s="20" t="str">
        <f t="shared" si="10"/>
        <v/>
      </c>
    </row>
    <row r="20" spans="1:42" x14ac:dyDescent="0.2">
      <c r="A20" s="14">
        <v>12</v>
      </c>
      <c r="B20" s="16"/>
      <c r="C20" s="16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9" t="str">
        <f t="shared" si="3"/>
        <v/>
      </c>
      <c r="AJ20" s="19" t="str">
        <f t="shared" si="4"/>
        <v/>
      </c>
      <c r="AK20" s="20" t="str">
        <f t="shared" si="5"/>
        <v/>
      </c>
      <c r="AL20" s="20" t="str">
        <f t="shared" si="6"/>
        <v/>
      </c>
      <c r="AM20" s="20" t="str">
        <f t="shared" si="7"/>
        <v/>
      </c>
      <c r="AN20" s="20" t="str">
        <f t="shared" si="8"/>
        <v/>
      </c>
      <c r="AO20" s="20" t="str">
        <f t="shared" si="9"/>
        <v/>
      </c>
      <c r="AP20" s="20" t="str">
        <f t="shared" si="10"/>
        <v/>
      </c>
    </row>
    <row r="21" spans="1:42" x14ac:dyDescent="0.2">
      <c r="A21" s="14">
        <v>13</v>
      </c>
      <c r="B21" s="16"/>
      <c r="C21" s="16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9" t="str">
        <f t="shared" si="3"/>
        <v/>
      </c>
      <c r="AJ21" s="19" t="str">
        <f t="shared" si="4"/>
        <v/>
      </c>
      <c r="AK21" s="20" t="str">
        <f t="shared" si="5"/>
        <v/>
      </c>
      <c r="AL21" s="20" t="str">
        <f t="shared" si="6"/>
        <v/>
      </c>
      <c r="AM21" s="20" t="str">
        <f t="shared" si="7"/>
        <v/>
      </c>
      <c r="AN21" s="20" t="str">
        <f t="shared" si="8"/>
        <v/>
      </c>
      <c r="AO21" s="20" t="str">
        <f t="shared" si="9"/>
        <v/>
      </c>
      <c r="AP21" s="20" t="str">
        <f t="shared" si="10"/>
        <v/>
      </c>
    </row>
    <row r="22" spans="1:42" x14ac:dyDescent="0.2">
      <c r="A22" s="14">
        <v>14</v>
      </c>
      <c r="B22" s="16"/>
      <c r="C22" s="16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9" t="str">
        <f t="shared" si="3"/>
        <v/>
      </c>
      <c r="AJ22" s="19" t="str">
        <f t="shared" si="4"/>
        <v/>
      </c>
      <c r="AK22" s="20" t="str">
        <f t="shared" si="5"/>
        <v/>
      </c>
      <c r="AL22" s="20" t="str">
        <f t="shared" si="6"/>
        <v/>
      </c>
      <c r="AM22" s="20" t="str">
        <f t="shared" si="7"/>
        <v/>
      </c>
      <c r="AN22" s="20" t="str">
        <f t="shared" si="8"/>
        <v/>
      </c>
      <c r="AO22" s="20" t="str">
        <f t="shared" si="9"/>
        <v/>
      </c>
      <c r="AP22" s="20" t="str">
        <f t="shared" si="10"/>
        <v/>
      </c>
    </row>
    <row r="23" spans="1:42" x14ac:dyDescent="0.2">
      <c r="A23" s="14">
        <v>15</v>
      </c>
      <c r="B23" s="16"/>
      <c r="C23" s="16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9" t="str">
        <f t="shared" si="3"/>
        <v/>
      </c>
      <c r="AJ23" s="19" t="str">
        <f t="shared" si="4"/>
        <v/>
      </c>
      <c r="AK23" s="20" t="str">
        <f t="shared" si="5"/>
        <v/>
      </c>
      <c r="AL23" s="20" t="str">
        <f t="shared" si="6"/>
        <v/>
      </c>
      <c r="AM23" s="20" t="str">
        <f t="shared" si="7"/>
        <v/>
      </c>
      <c r="AN23" s="20" t="str">
        <f t="shared" si="8"/>
        <v/>
      </c>
      <c r="AO23" s="20" t="str">
        <f t="shared" si="9"/>
        <v/>
      </c>
      <c r="AP23" s="20" t="str">
        <f t="shared" si="10"/>
        <v/>
      </c>
    </row>
    <row r="24" spans="1:42" x14ac:dyDescent="0.2">
      <c r="A24" s="14">
        <v>16</v>
      </c>
      <c r="B24" s="16"/>
      <c r="C24" s="16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9" t="str">
        <f t="shared" si="3"/>
        <v/>
      </c>
      <c r="AJ24" s="19" t="str">
        <f t="shared" si="4"/>
        <v/>
      </c>
      <c r="AK24" s="20" t="str">
        <f t="shared" si="5"/>
        <v/>
      </c>
      <c r="AL24" s="20" t="str">
        <f t="shared" si="6"/>
        <v/>
      </c>
      <c r="AM24" s="20" t="str">
        <f t="shared" si="7"/>
        <v/>
      </c>
      <c r="AN24" s="20" t="str">
        <f t="shared" si="8"/>
        <v/>
      </c>
      <c r="AO24" s="20" t="str">
        <f t="shared" si="9"/>
        <v/>
      </c>
      <c r="AP24" s="20" t="str">
        <f t="shared" si="10"/>
        <v/>
      </c>
    </row>
    <row r="25" spans="1:42" x14ac:dyDescent="0.2">
      <c r="A25" s="14">
        <v>17</v>
      </c>
      <c r="B25" s="16"/>
      <c r="C25" s="16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9" t="str">
        <f t="shared" si="3"/>
        <v/>
      </c>
      <c r="AJ25" s="19" t="str">
        <f t="shared" si="4"/>
        <v/>
      </c>
      <c r="AK25" s="20" t="str">
        <f t="shared" si="5"/>
        <v/>
      </c>
      <c r="AL25" s="20" t="str">
        <f t="shared" si="6"/>
        <v/>
      </c>
      <c r="AM25" s="20" t="str">
        <f t="shared" si="7"/>
        <v/>
      </c>
      <c r="AN25" s="20" t="str">
        <f t="shared" si="8"/>
        <v/>
      </c>
      <c r="AO25" s="20" t="str">
        <f t="shared" si="9"/>
        <v/>
      </c>
      <c r="AP25" s="20" t="str">
        <f t="shared" si="10"/>
        <v/>
      </c>
    </row>
    <row r="26" spans="1:42" x14ac:dyDescent="0.2">
      <c r="A26" s="14">
        <v>18</v>
      </c>
      <c r="B26" s="16"/>
      <c r="C26" s="16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9" t="str">
        <f t="shared" si="3"/>
        <v/>
      </c>
      <c r="AJ26" s="19" t="str">
        <f t="shared" si="4"/>
        <v/>
      </c>
      <c r="AK26" s="20" t="str">
        <f t="shared" si="5"/>
        <v/>
      </c>
      <c r="AL26" s="20" t="str">
        <f t="shared" si="6"/>
        <v/>
      </c>
      <c r="AM26" s="20" t="str">
        <f t="shared" si="7"/>
        <v/>
      </c>
      <c r="AN26" s="20" t="str">
        <f t="shared" si="8"/>
        <v/>
      </c>
      <c r="AO26" s="20" t="str">
        <f t="shared" si="9"/>
        <v/>
      </c>
      <c r="AP26" s="20" t="str">
        <f t="shared" si="10"/>
        <v/>
      </c>
    </row>
    <row r="27" spans="1:42" x14ac:dyDescent="0.2">
      <c r="A27" s="14">
        <v>19</v>
      </c>
      <c r="B27" s="16"/>
      <c r="C27" s="16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9" t="str">
        <f t="shared" si="3"/>
        <v/>
      </c>
      <c r="AJ27" s="19" t="str">
        <f t="shared" si="4"/>
        <v/>
      </c>
      <c r="AK27" s="20" t="str">
        <f t="shared" si="5"/>
        <v/>
      </c>
      <c r="AL27" s="20" t="str">
        <f t="shared" si="6"/>
        <v/>
      </c>
      <c r="AM27" s="20" t="str">
        <f t="shared" si="7"/>
        <v/>
      </c>
      <c r="AN27" s="20" t="str">
        <f t="shared" si="8"/>
        <v/>
      </c>
      <c r="AO27" s="20" t="str">
        <f t="shared" si="9"/>
        <v/>
      </c>
      <c r="AP27" s="20" t="str">
        <f t="shared" si="10"/>
        <v/>
      </c>
    </row>
    <row r="28" spans="1:42" x14ac:dyDescent="0.2">
      <c r="A28" s="14">
        <v>20</v>
      </c>
      <c r="B28" s="16"/>
      <c r="C28" s="16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9" t="str">
        <f t="shared" si="3"/>
        <v/>
      </c>
      <c r="AJ28" s="19" t="str">
        <f t="shared" si="4"/>
        <v/>
      </c>
      <c r="AK28" s="20" t="str">
        <f t="shared" si="5"/>
        <v/>
      </c>
      <c r="AL28" s="20" t="str">
        <f t="shared" si="6"/>
        <v/>
      </c>
      <c r="AM28" s="20" t="str">
        <f t="shared" si="7"/>
        <v/>
      </c>
      <c r="AN28" s="20" t="str">
        <f t="shared" si="8"/>
        <v/>
      </c>
      <c r="AO28" s="20" t="str">
        <f t="shared" si="9"/>
        <v/>
      </c>
      <c r="AP28" s="20" t="str">
        <f t="shared" si="10"/>
        <v/>
      </c>
    </row>
    <row r="29" spans="1:42" x14ac:dyDescent="0.2">
      <c r="A29" s="14">
        <v>21</v>
      </c>
      <c r="B29" s="16"/>
      <c r="C29" s="16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9" t="str">
        <f t="shared" si="3"/>
        <v/>
      </c>
      <c r="AJ29" s="19" t="str">
        <f t="shared" si="4"/>
        <v/>
      </c>
      <c r="AK29" s="20" t="str">
        <f t="shared" si="5"/>
        <v/>
      </c>
      <c r="AL29" s="20" t="str">
        <f t="shared" si="6"/>
        <v/>
      </c>
      <c r="AM29" s="20" t="str">
        <f t="shared" si="7"/>
        <v/>
      </c>
      <c r="AN29" s="20" t="str">
        <f t="shared" si="8"/>
        <v/>
      </c>
      <c r="AO29" s="20" t="str">
        <f t="shared" si="9"/>
        <v/>
      </c>
      <c r="AP29" s="20" t="str">
        <f t="shared" si="10"/>
        <v/>
      </c>
    </row>
    <row r="30" spans="1:42" x14ac:dyDescent="0.2">
      <c r="A30" s="14">
        <v>22</v>
      </c>
      <c r="B30" s="16"/>
      <c r="C30" s="16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9" t="str">
        <f t="shared" si="3"/>
        <v/>
      </c>
      <c r="AJ30" s="19" t="str">
        <f t="shared" si="4"/>
        <v/>
      </c>
      <c r="AK30" s="20" t="str">
        <f t="shared" si="5"/>
        <v/>
      </c>
      <c r="AL30" s="20" t="str">
        <f t="shared" si="6"/>
        <v/>
      </c>
      <c r="AM30" s="20" t="str">
        <f t="shared" si="7"/>
        <v/>
      </c>
      <c r="AN30" s="20" t="str">
        <f t="shared" si="8"/>
        <v/>
      </c>
      <c r="AO30" s="20" t="str">
        <f t="shared" si="9"/>
        <v/>
      </c>
      <c r="AP30" s="20" t="str">
        <f t="shared" si="10"/>
        <v/>
      </c>
    </row>
    <row r="31" spans="1:42" x14ac:dyDescent="0.2">
      <c r="A31" s="14">
        <v>23</v>
      </c>
      <c r="B31" s="16"/>
      <c r="C31" s="16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9" t="str">
        <f t="shared" si="3"/>
        <v/>
      </c>
      <c r="AJ31" s="19" t="str">
        <f t="shared" si="4"/>
        <v/>
      </c>
      <c r="AK31" s="20" t="str">
        <f t="shared" si="5"/>
        <v/>
      </c>
      <c r="AL31" s="20" t="str">
        <f t="shared" si="6"/>
        <v/>
      </c>
      <c r="AM31" s="20" t="str">
        <f t="shared" si="7"/>
        <v/>
      </c>
      <c r="AN31" s="20" t="str">
        <f t="shared" si="8"/>
        <v/>
      </c>
      <c r="AO31" s="20" t="str">
        <f t="shared" si="9"/>
        <v/>
      </c>
      <c r="AP31" s="20" t="str">
        <f t="shared" si="10"/>
        <v/>
      </c>
    </row>
    <row r="32" spans="1:42" x14ac:dyDescent="0.2">
      <c r="A32" s="14">
        <v>24</v>
      </c>
      <c r="B32" s="16"/>
      <c r="C32" s="16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9" t="str">
        <f t="shared" si="3"/>
        <v/>
      </c>
      <c r="AJ32" s="19" t="str">
        <f t="shared" si="4"/>
        <v/>
      </c>
      <c r="AK32" s="20" t="str">
        <f t="shared" si="5"/>
        <v/>
      </c>
      <c r="AL32" s="20" t="str">
        <f t="shared" si="6"/>
        <v/>
      </c>
      <c r="AM32" s="20" t="str">
        <f t="shared" si="7"/>
        <v/>
      </c>
      <c r="AN32" s="20" t="str">
        <f t="shared" si="8"/>
        <v/>
      </c>
      <c r="AO32" s="20" t="str">
        <f t="shared" si="9"/>
        <v/>
      </c>
      <c r="AP32" s="20" t="str">
        <f t="shared" si="10"/>
        <v/>
      </c>
    </row>
    <row r="33" spans="1:42" x14ac:dyDescent="0.2">
      <c r="A33" s="14">
        <v>25</v>
      </c>
      <c r="B33" s="16"/>
      <c r="C33" s="16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9" t="str">
        <f t="shared" si="3"/>
        <v/>
      </c>
      <c r="AJ33" s="19" t="str">
        <f t="shared" si="4"/>
        <v/>
      </c>
      <c r="AK33" s="20" t="str">
        <f t="shared" si="5"/>
        <v/>
      </c>
      <c r="AL33" s="20" t="str">
        <f t="shared" si="6"/>
        <v/>
      </c>
      <c r="AM33" s="20" t="str">
        <f t="shared" si="7"/>
        <v/>
      </c>
      <c r="AN33" s="20" t="str">
        <f t="shared" si="8"/>
        <v/>
      </c>
      <c r="AO33" s="20" t="str">
        <f t="shared" si="9"/>
        <v/>
      </c>
      <c r="AP33" s="20" t="str">
        <f t="shared" si="10"/>
        <v/>
      </c>
    </row>
    <row r="34" spans="1:42" x14ac:dyDescent="0.2">
      <c r="A34" s="15"/>
      <c r="B34" s="17" t="s">
        <v>44</v>
      </c>
      <c r="C34" s="17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>
        <f t="shared" ref="AI34:AP34" si="11">SUM(AI9:AI33)</f>
        <v>376</v>
      </c>
      <c r="AJ34" s="15">
        <f t="shared" si="11"/>
        <v>8</v>
      </c>
      <c r="AK34" s="15">
        <f t="shared" si="11"/>
        <v>47</v>
      </c>
      <c r="AL34" s="15">
        <f t="shared" si="11"/>
        <v>3</v>
      </c>
      <c r="AM34" s="15">
        <f t="shared" si="11"/>
        <v>5</v>
      </c>
      <c r="AN34" s="15">
        <f t="shared" si="11"/>
        <v>0</v>
      </c>
      <c r="AO34" s="15">
        <f t="shared" si="11"/>
        <v>0</v>
      </c>
      <c r="AP34" s="15">
        <f t="shared" si="11"/>
        <v>0</v>
      </c>
    </row>
    <row r="37" spans="1:42" x14ac:dyDescent="0.2">
      <c r="B37" s="1" t="s">
        <v>51</v>
      </c>
      <c r="T37" s="1" t="s">
        <v>52</v>
      </c>
    </row>
    <row r="39" spans="1:42" x14ac:dyDescent="0.2">
      <c r="B39" s="1" t="s">
        <v>53</v>
      </c>
      <c r="T39" s="1" t="s">
        <v>53</v>
      </c>
    </row>
    <row r="40" spans="1:42" x14ac:dyDescent="0.2">
      <c r="B40" s="21" t="s">
        <v>54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 t="s">
        <v>55</v>
      </c>
    </row>
    <row r="999" spans="702:702" ht="15" x14ac:dyDescent="0.25">
      <c r="ZZ999"/>
    </row>
    <row r="1000" spans="702:702" ht="15" x14ac:dyDescent="0.25">
      <c r="ZZ1000"/>
    </row>
  </sheetData>
  <mergeCells count="13">
    <mergeCell ref="AI5:AI6"/>
    <mergeCell ref="D3:F3"/>
    <mergeCell ref="D2:F2"/>
    <mergeCell ref="C5:C6"/>
    <mergeCell ref="B5:B6"/>
    <mergeCell ref="A5:A6"/>
    <mergeCell ref="AP5:AP6"/>
    <mergeCell ref="AJ5:AJ6"/>
    <mergeCell ref="AK5:AK6"/>
    <mergeCell ref="AL5:AL6"/>
    <mergeCell ref="AM5:AM6"/>
    <mergeCell ref="AN5:AN6"/>
    <mergeCell ref="AO5:AO6"/>
  </mergeCells>
  <conditionalFormatting sqref="D5:AH6">
    <cfRule type="expression" dxfId="12" priority="9" stopIfTrue="1">
      <formula>AND(D$7&lt;&gt;"",COUNTIF(Sarbatori,D$7)&gt;0)</formula>
    </cfRule>
    <cfRule type="expression" dxfId="11" priority="10" stopIfTrue="1">
      <formula>D$8=1</formula>
    </cfRule>
  </conditionalFormatting>
  <conditionalFormatting sqref="D9:AH33">
    <cfRule type="expression" dxfId="10" priority="1" stopIfTrue="1">
      <formula>D$7=""</formula>
    </cfRule>
    <cfRule type="expression" dxfId="9" priority="2" stopIfTrue="1">
      <formula>D9="CO"</formula>
    </cfRule>
    <cfRule type="expression" dxfId="8" priority="3" stopIfTrue="1">
      <formula>D9="CM"</formula>
    </cfRule>
    <cfRule type="expression" dxfId="7" priority="4" stopIfTrue="1">
      <formula>D9="CFP"</formula>
    </cfRule>
    <cfRule type="expression" dxfId="6" priority="5" stopIfTrue="1">
      <formula>D9="EV"</formula>
    </cfRule>
    <cfRule type="expression" dxfId="5" priority="6" stopIfTrue="1">
      <formula>D9="N"</formula>
    </cfRule>
    <cfRule type="expression" dxfId="4" priority="7" stopIfTrue="1">
      <formula>AND(ISNUMBER(D9),D$8=1)</formula>
    </cfRule>
    <cfRule type="expression" dxfId="3" priority="8" stopIfTrue="1">
      <formula>D$8=1</formula>
    </cfRule>
  </conditionalFormatting>
  <conditionalFormatting sqref="AJ9:AJ33">
    <cfRule type="expression" dxfId="2" priority="11" stopIfTrue="1">
      <formula>AND(ISNUMBER(AJ9),AJ9&gt;0)</formula>
    </cfRule>
  </conditionalFormatting>
  <dataValidations count="2">
    <dataValidation type="list" allowBlank="1" showInputMessage="1" showErrorMessage="1" sqref="B3" xr:uid="{2CF6262B-2219-4CF0-868C-20CFDF612F37}">
      <formula1>ListaLuni</formula1>
    </dataValidation>
    <dataValidation type="custom" allowBlank="1" showInputMessage="1" showErrorMessage="1" errorTitle="Valoare greșită" error="Scrie orele lucrate (0–24) sau unul dintre codurile: CO, CM, CFP, EV, N." sqref="D9:AH33" xr:uid="{208B319A-4D0A-4FF1-80CB-88176F268E91}">
      <formula1>OR(AND(ISNUMBER(D9),D9&gt;=0,D9&lt;=24),COUNTIF(Coduri,D9)&gt;0)</formula1>
    </dataValidation>
  </dataValidations>
  <pageMargins left="0.7" right="0.7" top="0.75" bottom="0.75" header="0.3" footer="0.3"/>
  <pageSetup scale="51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A96A2-A786-4787-B227-182CB02000C8}">
  <sheetPr>
    <pageSetUpPr fitToPage="1"/>
  </sheetPr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12.7109375" style="1" customWidth="1"/>
    <col min="3" max="7" width="11.7109375" style="1" customWidth="1"/>
    <col min="8" max="8" width="26.7109375" style="1" customWidth="1"/>
    <col min="9" max="9" width="11.42578125" style="1"/>
    <col min="10" max="10" width="0" style="1" hidden="1" customWidth="1"/>
    <col min="11" max="16384" width="11.42578125" style="1"/>
  </cols>
  <sheetData>
    <row r="1" spans="2:10" ht="23.25" x14ac:dyDescent="0.35">
      <c r="B1" s="6" t="s">
        <v>56</v>
      </c>
    </row>
    <row r="2" spans="2:10" ht="27.95" customHeight="1" x14ac:dyDescent="0.2">
      <c r="B2" s="31" t="s">
        <v>57</v>
      </c>
      <c r="C2" s="32"/>
      <c r="D2" s="32"/>
      <c r="E2" s="32"/>
      <c r="F2" s="32"/>
      <c r="G2" s="32"/>
      <c r="H2" s="32"/>
    </row>
    <row r="3" spans="2:10" x14ac:dyDescent="0.2">
      <c r="B3" s="3" t="s">
        <v>58</v>
      </c>
      <c r="C3" s="33" t="s">
        <v>45</v>
      </c>
      <c r="D3" s="34"/>
    </row>
    <row r="4" spans="2:10" x14ac:dyDescent="0.2">
      <c r="B4" s="3" t="s">
        <v>59</v>
      </c>
      <c r="C4" s="3" t="str">
        <f>'Pontaj lunar'!B3&amp;" "&amp;An</f>
        <v>Ianuarie 2027</v>
      </c>
    </row>
    <row r="6" spans="2:10" x14ac:dyDescent="0.2"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  <c r="G6" s="22" t="s">
        <v>41</v>
      </c>
      <c r="H6" s="22" t="s">
        <v>65</v>
      </c>
    </row>
    <row r="7" spans="2:10" x14ac:dyDescent="0.2">
      <c r="B7" s="14" t="str">
        <f t="shared" ref="B7:B37" si="0">IF($J7="","",RIGHT("0"&amp;DAY($J7),2)&amp;"."&amp;RIGHT("0"&amp;MONTH($J7),2)&amp;"."&amp;YEAR($J7))</f>
        <v>01.01.2027</v>
      </c>
      <c r="C7" s="16" t="str">
        <f t="shared" ref="C7:C37" si="1">IF($J7="","",CHOOSE(WEEKDAY($J7,2),"luni","marți","miercuri","joi","vineri","sâmbătă","duminică"))</f>
        <v>vineri</v>
      </c>
      <c r="D7" s="24"/>
      <c r="E7" s="24"/>
      <c r="F7" s="25"/>
      <c r="G7" s="14" t="str">
        <f t="shared" ref="G7:G37" si="2">IF(OR(D7="",E7=""),"",ROUND(MOD(E7-D7,1)*24-N(F7)/60,2))</f>
        <v/>
      </c>
      <c r="H7" s="5"/>
      <c r="J7" s="1">
        <f>IF(1&lt;=DAY(EOMONTH(DATE(An,Luna,1),0)),DATE(An,Luna,1),"")</f>
        <v>46388</v>
      </c>
    </row>
    <row r="8" spans="2:10" x14ac:dyDescent="0.2">
      <c r="B8" s="14" t="str">
        <f t="shared" si="0"/>
        <v>02.01.2027</v>
      </c>
      <c r="C8" s="16" t="str">
        <f t="shared" si="1"/>
        <v>sâmbătă</v>
      </c>
      <c r="D8" s="24"/>
      <c r="E8" s="24"/>
      <c r="F8" s="25"/>
      <c r="G8" s="14" t="str">
        <f t="shared" si="2"/>
        <v/>
      </c>
      <c r="H8" s="5"/>
      <c r="J8" s="1">
        <f>IF(2&lt;=DAY(EOMONTH(DATE(An,Luna,1),0)),DATE(An,Luna,2),"")</f>
        <v>46389</v>
      </c>
    </row>
    <row r="9" spans="2:10" x14ac:dyDescent="0.2">
      <c r="B9" s="14" t="str">
        <f t="shared" si="0"/>
        <v>03.01.2027</v>
      </c>
      <c r="C9" s="16" t="str">
        <f t="shared" si="1"/>
        <v>duminică</v>
      </c>
      <c r="D9" s="24"/>
      <c r="E9" s="24"/>
      <c r="F9" s="25"/>
      <c r="G9" s="14" t="str">
        <f t="shared" si="2"/>
        <v/>
      </c>
      <c r="H9" s="5"/>
      <c r="J9" s="1">
        <f>IF(3&lt;=DAY(EOMONTH(DATE(An,Luna,1),0)),DATE(An,Luna,3),"")</f>
        <v>46390</v>
      </c>
    </row>
    <row r="10" spans="2:10" x14ac:dyDescent="0.2">
      <c r="B10" s="14" t="str">
        <f t="shared" si="0"/>
        <v>04.01.2027</v>
      </c>
      <c r="C10" s="16" t="str">
        <f t="shared" si="1"/>
        <v>luni</v>
      </c>
      <c r="D10" s="24"/>
      <c r="E10" s="24"/>
      <c r="F10" s="25"/>
      <c r="G10" s="14" t="str">
        <f t="shared" si="2"/>
        <v/>
      </c>
      <c r="H10" s="5" t="s">
        <v>5</v>
      </c>
      <c r="J10" s="1">
        <f>IF(4&lt;=DAY(EOMONTH(DATE(An,Luna,1),0)),DATE(An,Luna,4),"")</f>
        <v>46391</v>
      </c>
    </row>
    <row r="11" spans="2:10" x14ac:dyDescent="0.2">
      <c r="B11" s="14" t="str">
        <f t="shared" si="0"/>
        <v>05.01.2027</v>
      </c>
      <c r="C11" s="16" t="str">
        <f t="shared" si="1"/>
        <v>marți</v>
      </c>
      <c r="D11" s="24"/>
      <c r="E11" s="24"/>
      <c r="F11" s="25"/>
      <c r="G11" s="14" t="str">
        <f t="shared" si="2"/>
        <v/>
      </c>
      <c r="H11" s="5" t="s">
        <v>5</v>
      </c>
      <c r="J11" s="1">
        <f>IF(5&lt;=DAY(EOMONTH(DATE(An,Luna,1),0)),DATE(An,Luna,5),"")</f>
        <v>46392</v>
      </c>
    </row>
    <row r="12" spans="2:10" x14ac:dyDescent="0.2">
      <c r="B12" s="14" t="str">
        <f t="shared" si="0"/>
        <v>06.01.2027</v>
      </c>
      <c r="C12" s="16" t="str">
        <f t="shared" si="1"/>
        <v>miercuri</v>
      </c>
      <c r="D12" s="24"/>
      <c r="E12" s="24"/>
      <c r="F12" s="25"/>
      <c r="G12" s="14" t="str">
        <f t="shared" si="2"/>
        <v/>
      </c>
      <c r="H12" s="5"/>
      <c r="J12" s="1">
        <f>IF(6&lt;=DAY(EOMONTH(DATE(An,Luna,1),0)),DATE(An,Luna,6),"")</f>
        <v>46393</v>
      </c>
    </row>
    <row r="13" spans="2:10" x14ac:dyDescent="0.2">
      <c r="B13" s="14" t="str">
        <f t="shared" si="0"/>
        <v>07.01.2027</v>
      </c>
      <c r="C13" s="16" t="str">
        <f t="shared" si="1"/>
        <v>joi</v>
      </c>
      <c r="D13" s="24"/>
      <c r="E13" s="24"/>
      <c r="F13" s="25"/>
      <c r="G13" s="14" t="str">
        <f t="shared" si="2"/>
        <v/>
      </c>
      <c r="H13" s="5"/>
      <c r="J13" s="1">
        <f>IF(7&lt;=DAY(EOMONTH(DATE(An,Luna,1),0)),DATE(An,Luna,7),"")</f>
        <v>46394</v>
      </c>
    </row>
    <row r="14" spans="2:10" x14ac:dyDescent="0.2">
      <c r="B14" s="14" t="str">
        <f t="shared" si="0"/>
        <v>08.01.2027</v>
      </c>
      <c r="C14" s="16" t="str">
        <f t="shared" si="1"/>
        <v>vineri</v>
      </c>
      <c r="D14" s="24"/>
      <c r="E14" s="24"/>
      <c r="F14" s="25"/>
      <c r="G14" s="14" t="str">
        <f t="shared" si="2"/>
        <v/>
      </c>
      <c r="H14" s="5" t="s">
        <v>5</v>
      </c>
      <c r="J14" s="1">
        <f>IF(8&lt;=DAY(EOMONTH(DATE(An,Luna,1),0)),DATE(An,Luna,8),"")</f>
        <v>46395</v>
      </c>
    </row>
    <row r="15" spans="2:10" x14ac:dyDescent="0.2">
      <c r="B15" s="14" t="str">
        <f t="shared" si="0"/>
        <v>09.01.2027</v>
      </c>
      <c r="C15" s="16" t="str">
        <f t="shared" si="1"/>
        <v>sâmbătă</v>
      </c>
      <c r="D15" s="24"/>
      <c r="E15" s="24"/>
      <c r="F15" s="25"/>
      <c r="G15" s="14" t="str">
        <f t="shared" si="2"/>
        <v/>
      </c>
      <c r="H15" s="5"/>
      <c r="J15" s="1">
        <f>IF(9&lt;=DAY(EOMONTH(DATE(An,Luna,1),0)),DATE(An,Luna,9),"")</f>
        <v>46396</v>
      </c>
    </row>
    <row r="16" spans="2:10" x14ac:dyDescent="0.2">
      <c r="B16" s="14" t="str">
        <f t="shared" si="0"/>
        <v>10.01.2027</v>
      </c>
      <c r="C16" s="16" t="str">
        <f t="shared" si="1"/>
        <v>duminică</v>
      </c>
      <c r="D16" s="24"/>
      <c r="E16" s="24"/>
      <c r="F16" s="25"/>
      <c r="G16" s="14" t="str">
        <f t="shared" si="2"/>
        <v/>
      </c>
      <c r="H16" s="5"/>
      <c r="J16" s="1">
        <f>IF(10&lt;=DAY(EOMONTH(DATE(An,Luna,1),0)),DATE(An,Luna,10),"")</f>
        <v>46397</v>
      </c>
    </row>
    <row r="17" spans="2:10" x14ac:dyDescent="0.2">
      <c r="B17" s="14" t="str">
        <f t="shared" si="0"/>
        <v>11.01.2027</v>
      </c>
      <c r="C17" s="16" t="str">
        <f t="shared" si="1"/>
        <v>luni</v>
      </c>
      <c r="D17" s="24">
        <v>0.33333333333333331</v>
      </c>
      <c r="E17" s="24">
        <v>0.6875</v>
      </c>
      <c r="F17" s="25">
        <v>30</v>
      </c>
      <c r="G17" s="14">
        <f t="shared" si="2"/>
        <v>8</v>
      </c>
      <c r="H17" s="5"/>
      <c r="J17" s="1">
        <f>IF(11&lt;=DAY(EOMONTH(DATE(An,Luna,1),0)),DATE(An,Luna,11),"")</f>
        <v>46398</v>
      </c>
    </row>
    <row r="18" spans="2:10" x14ac:dyDescent="0.2">
      <c r="B18" s="14" t="str">
        <f t="shared" si="0"/>
        <v>12.01.2027</v>
      </c>
      <c r="C18" s="16" t="str">
        <f t="shared" si="1"/>
        <v>marți</v>
      </c>
      <c r="D18" s="24">
        <v>0.33333333333333331</v>
      </c>
      <c r="E18" s="24">
        <v>0.6875</v>
      </c>
      <c r="F18" s="25">
        <v>30</v>
      </c>
      <c r="G18" s="14">
        <f t="shared" si="2"/>
        <v>8</v>
      </c>
      <c r="H18" s="5"/>
      <c r="J18" s="1">
        <f>IF(12&lt;=DAY(EOMONTH(DATE(An,Luna,1),0)),DATE(An,Luna,12),"")</f>
        <v>46399</v>
      </c>
    </row>
    <row r="19" spans="2:10" x14ac:dyDescent="0.2">
      <c r="B19" s="14" t="str">
        <f t="shared" si="0"/>
        <v>13.01.2027</v>
      </c>
      <c r="C19" s="16" t="str">
        <f t="shared" si="1"/>
        <v>miercuri</v>
      </c>
      <c r="D19" s="24">
        <v>0.33333333333333331</v>
      </c>
      <c r="E19" s="24">
        <v>0.6875</v>
      </c>
      <c r="F19" s="25">
        <v>30</v>
      </c>
      <c r="G19" s="14">
        <f t="shared" si="2"/>
        <v>8</v>
      </c>
      <c r="H19" s="5"/>
      <c r="J19" s="1">
        <f>IF(13&lt;=DAY(EOMONTH(DATE(An,Luna,1),0)),DATE(An,Luna,13),"")</f>
        <v>46400</v>
      </c>
    </row>
    <row r="20" spans="2:10" x14ac:dyDescent="0.2">
      <c r="B20" s="14" t="str">
        <f t="shared" si="0"/>
        <v>14.01.2027</v>
      </c>
      <c r="C20" s="16" t="str">
        <f t="shared" si="1"/>
        <v>joi</v>
      </c>
      <c r="D20" s="24">
        <v>0.33333333333333331</v>
      </c>
      <c r="E20" s="24">
        <v>0.6875</v>
      </c>
      <c r="F20" s="25">
        <v>30</v>
      </c>
      <c r="G20" s="14">
        <f t="shared" si="2"/>
        <v>8</v>
      </c>
      <c r="H20" s="5"/>
      <c r="J20" s="1">
        <f>IF(14&lt;=DAY(EOMONTH(DATE(An,Luna,1),0)),DATE(An,Luna,14),"")</f>
        <v>46401</v>
      </c>
    </row>
    <row r="21" spans="2:10" x14ac:dyDescent="0.2">
      <c r="B21" s="14" t="str">
        <f t="shared" si="0"/>
        <v>15.01.2027</v>
      </c>
      <c r="C21" s="16" t="str">
        <f t="shared" si="1"/>
        <v>vineri</v>
      </c>
      <c r="D21" s="24">
        <v>0.33333333333333331</v>
      </c>
      <c r="E21" s="24">
        <v>0.6875</v>
      </c>
      <c r="F21" s="25">
        <v>30</v>
      </c>
      <c r="G21" s="14">
        <f t="shared" si="2"/>
        <v>8</v>
      </c>
      <c r="H21" s="5"/>
      <c r="J21" s="1">
        <f>IF(15&lt;=DAY(EOMONTH(DATE(An,Luna,1),0)),DATE(An,Luna,15),"")</f>
        <v>46402</v>
      </c>
    </row>
    <row r="22" spans="2:10" x14ac:dyDescent="0.2">
      <c r="B22" s="14" t="str">
        <f t="shared" si="0"/>
        <v>16.01.2027</v>
      </c>
      <c r="C22" s="16" t="str">
        <f t="shared" si="1"/>
        <v>sâmbătă</v>
      </c>
      <c r="D22" s="24"/>
      <c r="E22" s="24"/>
      <c r="F22" s="25"/>
      <c r="G22" s="14" t="str">
        <f t="shared" si="2"/>
        <v/>
      </c>
      <c r="H22" s="5"/>
      <c r="J22" s="1">
        <f>IF(16&lt;=DAY(EOMONTH(DATE(An,Luna,1),0)),DATE(An,Luna,16),"")</f>
        <v>46403</v>
      </c>
    </row>
    <row r="23" spans="2:10" x14ac:dyDescent="0.2">
      <c r="B23" s="14" t="str">
        <f t="shared" si="0"/>
        <v>17.01.2027</v>
      </c>
      <c r="C23" s="16" t="str">
        <f t="shared" si="1"/>
        <v>duminică</v>
      </c>
      <c r="D23" s="24"/>
      <c r="E23" s="24"/>
      <c r="F23" s="25"/>
      <c r="G23" s="14" t="str">
        <f t="shared" si="2"/>
        <v/>
      </c>
      <c r="H23" s="5"/>
      <c r="J23" s="1">
        <f>IF(17&lt;=DAY(EOMONTH(DATE(An,Luna,1),0)),DATE(An,Luna,17),"")</f>
        <v>46404</v>
      </c>
    </row>
    <row r="24" spans="2:10" x14ac:dyDescent="0.2">
      <c r="B24" s="14" t="str">
        <f t="shared" si="0"/>
        <v>18.01.2027</v>
      </c>
      <c r="C24" s="16" t="str">
        <f t="shared" si="1"/>
        <v>luni</v>
      </c>
      <c r="D24" s="24">
        <v>0.33333333333333331</v>
      </c>
      <c r="E24" s="24">
        <v>0.6875</v>
      </c>
      <c r="F24" s="25">
        <v>30</v>
      </c>
      <c r="G24" s="14">
        <f t="shared" si="2"/>
        <v>8</v>
      </c>
      <c r="H24" s="5"/>
      <c r="J24" s="1">
        <f>IF(18&lt;=DAY(EOMONTH(DATE(An,Luna,1),0)),DATE(An,Luna,18),"")</f>
        <v>46405</v>
      </c>
    </row>
    <row r="25" spans="2:10" x14ac:dyDescent="0.2">
      <c r="B25" s="14" t="str">
        <f t="shared" si="0"/>
        <v>19.01.2027</v>
      </c>
      <c r="C25" s="16" t="str">
        <f t="shared" si="1"/>
        <v>marți</v>
      </c>
      <c r="D25" s="24">
        <v>0.33333333333333331</v>
      </c>
      <c r="E25" s="24">
        <v>0.6875</v>
      </c>
      <c r="F25" s="25">
        <v>30</v>
      </c>
      <c r="G25" s="14">
        <f t="shared" si="2"/>
        <v>8</v>
      </c>
      <c r="H25" s="5"/>
      <c r="J25" s="1">
        <f>IF(19&lt;=DAY(EOMONTH(DATE(An,Luna,1),0)),DATE(An,Luna,19),"")</f>
        <v>46406</v>
      </c>
    </row>
    <row r="26" spans="2:10" x14ac:dyDescent="0.2">
      <c r="B26" s="14" t="str">
        <f t="shared" si="0"/>
        <v>20.01.2027</v>
      </c>
      <c r="C26" s="16" t="str">
        <f t="shared" si="1"/>
        <v>miercuri</v>
      </c>
      <c r="D26" s="24">
        <v>0.33333333333333331</v>
      </c>
      <c r="E26" s="24">
        <v>0.6875</v>
      </c>
      <c r="F26" s="25">
        <v>30</v>
      </c>
      <c r="G26" s="14">
        <f t="shared" si="2"/>
        <v>8</v>
      </c>
      <c r="H26" s="5"/>
      <c r="J26" s="1">
        <f>IF(20&lt;=DAY(EOMONTH(DATE(An,Luna,1),0)),DATE(An,Luna,20),"")</f>
        <v>46407</v>
      </c>
    </row>
    <row r="27" spans="2:10" x14ac:dyDescent="0.2">
      <c r="B27" s="14" t="str">
        <f t="shared" si="0"/>
        <v>21.01.2027</v>
      </c>
      <c r="C27" s="16" t="str">
        <f t="shared" si="1"/>
        <v>joi</v>
      </c>
      <c r="D27" s="24">
        <v>0.33333333333333331</v>
      </c>
      <c r="E27" s="24">
        <v>0.6875</v>
      </c>
      <c r="F27" s="25">
        <v>30</v>
      </c>
      <c r="G27" s="14">
        <f t="shared" si="2"/>
        <v>8</v>
      </c>
      <c r="H27" s="5"/>
      <c r="J27" s="1">
        <f>IF(21&lt;=DAY(EOMONTH(DATE(An,Luna,1),0)),DATE(An,Luna,21),"")</f>
        <v>46408</v>
      </c>
    </row>
    <row r="28" spans="2:10" x14ac:dyDescent="0.2">
      <c r="B28" s="14" t="str">
        <f t="shared" si="0"/>
        <v>22.01.2027</v>
      </c>
      <c r="C28" s="16" t="str">
        <f t="shared" si="1"/>
        <v>vineri</v>
      </c>
      <c r="D28" s="24">
        <v>0.33333333333333331</v>
      </c>
      <c r="E28" s="24">
        <v>0.6875</v>
      </c>
      <c r="F28" s="25">
        <v>30</v>
      </c>
      <c r="G28" s="14">
        <f t="shared" si="2"/>
        <v>8</v>
      </c>
      <c r="H28" s="5"/>
      <c r="J28" s="1">
        <f>IF(22&lt;=DAY(EOMONTH(DATE(An,Luna,1),0)),DATE(An,Luna,22),"")</f>
        <v>46409</v>
      </c>
    </row>
    <row r="29" spans="2:10" x14ac:dyDescent="0.2">
      <c r="B29" s="14" t="str">
        <f t="shared" si="0"/>
        <v>23.01.2027</v>
      </c>
      <c r="C29" s="16" t="str">
        <f t="shared" si="1"/>
        <v>sâmbătă</v>
      </c>
      <c r="D29" s="24"/>
      <c r="E29" s="24"/>
      <c r="F29" s="25"/>
      <c r="G29" s="14" t="str">
        <f t="shared" si="2"/>
        <v/>
      </c>
      <c r="H29" s="5"/>
      <c r="J29" s="1">
        <f>IF(23&lt;=DAY(EOMONTH(DATE(An,Luna,1),0)),DATE(An,Luna,23),"")</f>
        <v>46410</v>
      </c>
    </row>
    <row r="30" spans="2:10" x14ac:dyDescent="0.2">
      <c r="B30" s="14" t="str">
        <f t="shared" si="0"/>
        <v>24.01.2027</v>
      </c>
      <c r="C30" s="16" t="str">
        <f t="shared" si="1"/>
        <v>duminică</v>
      </c>
      <c r="D30" s="24"/>
      <c r="E30" s="24"/>
      <c r="F30" s="25"/>
      <c r="G30" s="14" t="str">
        <f t="shared" si="2"/>
        <v/>
      </c>
      <c r="H30" s="5"/>
      <c r="J30" s="1">
        <f>IF(24&lt;=DAY(EOMONTH(DATE(An,Luna,1),0)),DATE(An,Luna,24),"")</f>
        <v>46411</v>
      </c>
    </row>
    <row r="31" spans="2:10" x14ac:dyDescent="0.2">
      <c r="B31" s="14" t="str">
        <f t="shared" si="0"/>
        <v>25.01.2027</v>
      </c>
      <c r="C31" s="16" t="str">
        <f t="shared" si="1"/>
        <v>luni</v>
      </c>
      <c r="D31" s="24">
        <v>0.33333333333333331</v>
      </c>
      <c r="E31" s="24">
        <v>0.6875</v>
      </c>
      <c r="F31" s="25">
        <v>30</v>
      </c>
      <c r="G31" s="14">
        <f t="shared" si="2"/>
        <v>8</v>
      </c>
      <c r="H31" s="5"/>
      <c r="J31" s="1">
        <f>IF(25&lt;=DAY(EOMONTH(DATE(An,Luna,1),0)),DATE(An,Luna,25),"")</f>
        <v>46412</v>
      </c>
    </row>
    <row r="32" spans="2:10" x14ac:dyDescent="0.2">
      <c r="B32" s="14" t="str">
        <f t="shared" si="0"/>
        <v>26.01.2027</v>
      </c>
      <c r="C32" s="16" t="str">
        <f t="shared" si="1"/>
        <v>marți</v>
      </c>
      <c r="D32" s="24">
        <v>0.33333333333333331</v>
      </c>
      <c r="E32" s="24">
        <v>0.6875</v>
      </c>
      <c r="F32" s="25">
        <v>30</v>
      </c>
      <c r="G32" s="14">
        <f t="shared" si="2"/>
        <v>8</v>
      </c>
      <c r="H32" s="5"/>
      <c r="J32" s="1">
        <f>IF(26&lt;=DAY(EOMONTH(DATE(An,Luna,1),0)),DATE(An,Luna,26),"")</f>
        <v>46413</v>
      </c>
    </row>
    <row r="33" spans="2:10" x14ac:dyDescent="0.2">
      <c r="B33" s="14" t="str">
        <f t="shared" si="0"/>
        <v>27.01.2027</v>
      </c>
      <c r="C33" s="16" t="str">
        <f t="shared" si="1"/>
        <v>miercuri</v>
      </c>
      <c r="D33" s="24">
        <v>0.33333333333333331</v>
      </c>
      <c r="E33" s="24">
        <v>0.6875</v>
      </c>
      <c r="F33" s="25">
        <v>30</v>
      </c>
      <c r="G33" s="14">
        <f t="shared" si="2"/>
        <v>8</v>
      </c>
      <c r="H33" s="5"/>
      <c r="J33" s="1">
        <f>IF(27&lt;=DAY(EOMONTH(DATE(An,Luna,1),0)),DATE(An,Luna,27),"")</f>
        <v>46414</v>
      </c>
    </row>
    <row r="34" spans="2:10" x14ac:dyDescent="0.2">
      <c r="B34" s="14" t="str">
        <f t="shared" si="0"/>
        <v>28.01.2027</v>
      </c>
      <c r="C34" s="16" t="str">
        <f t="shared" si="1"/>
        <v>joi</v>
      </c>
      <c r="D34" s="24">
        <v>0.33333333333333331</v>
      </c>
      <c r="E34" s="24">
        <v>0.6875</v>
      </c>
      <c r="F34" s="25">
        <v>30</v>
      </c>
      <c r="G34" s="14">
        <f t="shared" si="2"/>
        <v>8</v>
      </c>
      <c r="H34" s="5"/>
      <c r="J34" s="1">
        <f>IF(28&lt;=DAY(EOMONTH(DATE(An,Luna,1),0)),DATE(An,Luna,28),"")</f>
        <v>46415</v>
      </c>
    </row>
    <row r="35" spans="2:10" x14ac:dyDescent="0.2">
      <c r="B35" s="14" t="str">
        <f t="shared" si="0"/>
        <v>29.01.2027</v>
      </c>
      <c r="C35" s="16" t="str">
        <f t="shared" si="1"/>
        <v>vineri</v>
      </c>
      <c r="D35" s="24">
        <v>0.33333333333333331</v>
      </c>
      <c r="E35" s="24">
        <v>0.6875</v>
      </c>
      <c r="F35" s="25">
        <v>30</v>
      </c>
      <c r="G35" s="14">
        <f t="shared" si="2"/>
        <v>8</v>
      </c>
      <c r="H35" s="5"/>
      <c r="J35" s="1">
        <f>IF(29&lt;=DAY(EOMONTH(DATE(An,Luna,1),0)),DATE(An,Luna,29),"")</f>
        <v>46416</v>
      </c>
    </row>
    <row r="36" spans="2:10" x14ac:dyDescent="0.2">
      <c r="B36" s="14" t="str">
        <f t="shared" si="0"/>
        <v>30.01.2027</v>
      </c>
      <c r="C36" s="16" t="str">
        <f t="shared" si="1"/>
        <v>sâmbătă</v>
      </c>
      <c r="D36" s="24"/>
      <c r="E36" s="24"/>
      <c r="F36" s="25"/>
      <c r="G36" s="14" t="str">
        <f t="shared" si="2"/>
        <v/>
      </c>
      <c r="H36" s="5"/>
      <c r="J36" s="1">
        <f>IF(30&lt;=DAY(EOMONTH(DATE(An,Luna,1),0)),DATE(An,Luna,30),"")</f>
        <v>46417</v>
      </c>
    </row>
    <row r="37" spans="2:10" x14ac:dyDescent="0.2">
      <c r="B37" s="14" t="str">
        <f t="shared" si="0"/>
        <v>31.01.2027</v>
      </c>
      <c r="C37" s="16" t="str">
        <f t="shared" si="1"/>
        <v>duminică</v>
      </c>
      <c r="D37" s="24"/>
      <c r="E37" s="24"/>
      <c r="F37" s="25"/>
      <c r="G37" s="14" t="str">
        <f t="shared" si="2"/>
        <v/>
      </c>
      <c r="H37" s="5"/>
      <c r="J37" s="1">
        <f>IF(31&lt;=DAY(EOMONTH(DATE(An,Luna,1),0)),DATE(An,Luna,31),"")</f>
        <v>46418</v>
      </c>
    </row>
    <row r="38" spans="2:10" x14ac:dyDescent="0.2">
      <c r="B38" s="17" t="s">
        <v>66</v>
      </c>
      <c r="C38" s="15"/>
      <c r="D38" s="15"/>
      <c r="E38" s="15"/>
      <c r="F38" s="15"/>
      <c r="G38" s="15">
        <f>SUM(G7:G37)</f>
        <v>120</v>
      </c>
      <c r="H38" s="13"/>
    </row>
    <row r="39" spans="2:10" x14ac:dyDescent="0.2">
      <c r="B39" s="23" t="s">
        <v>43</v>
      </c>
      <c r="C39" s="18"/>
      <c r="D39" s="18"/>
      <c r="E39" s="18"/>
      <c r="F39" s="18"/>
      <c r="G39" s="18">
        <f>COUNT(G7:G37)</f>
        <v>15</v>
      </c>
      <c r="H39" s="5"/>
    </row>
    <row r="42" spans="2:10" x14ac:dyDescent="0.2">
      <c r="B42" s="1" t="s">
        <v>67</v>
      </c>
      <c r="F42" s="1" t="s">
        <v>68</v>
      </c>
    </row>
    <row r="1000" spans="702:702" ht="15" x14ac:dyDescent="0.25">
      <c r="ZZ1000"/>
    </row>
  </sheetData>
  <mergeCells count="2">
    <mergeCell ref="B2:H2"/>
    <mergeCell ref="C3:D3"/>
  </mergeCells>
  <conditionalFormatting sqref="B7:H37">
    <cfRule type="expression" dxfId="1" priority="1" stopIfTrue="1">
      <formula>AND($J7&lt;&gt;"",OR(WEEKDAY($J7,2)&gt;5,COUNTIF(Sarbatori,$J7)&gt;0))</formula>
    </cfRule>
    <cfRule type="expression" dxfId="0" priority="2" stopIfTrue="1">
      <formula>$J7=""</formula>
    </cfRule>
  </conditionalFormatting>
  <pageMargins left="0.7" right="0.7" top="0.75" bottom="0.75" header="0.3" footer="0.3"/>
  <pageSetup scale="89" orientation="portrait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E6D69-9A04-41B5-9422-12780290FE3F}">
  <sheetPr>
    <pageSetUpPr fitToPage="1"/>
  </sheetPr>
  <dimension ref="B2:G2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4.7109375" style="1" customWidth="1"/>
    <col min="3" max="3" width="13.7109375" style="1" customWidth="1"/>
    <col min="4" max="4" width="16.7109375" style="1" customWidth="1"/>
    <col min="5" max="6" width="11.42578125" style="1"/>
    <col min="7" max="7" width="0" style="1" hidden="1" customWidth="1"/>
    <col min="8" max="16384" width="11.42578125" style="1"/>
  </cols>
  <sheetData>
    <row r="2" spans="2:7" ht="26.25" x14ac:dyDescent="0.4">
      <c r="B2" s="26" t="s">
        <v>69</v>
      </c>
      <c r="E2" s="27">
        <f>An</f>
        <v>2027</v>
      </c>
    </row>
    <row r="3" spans="2:7" ht="27.95" customHeight="1" x14ac:dyDescent="0.2">
      <c r="B3" s="31" t="s">
        <v>70</v>
      </c>
      <c r="C3" s="32"/>
      <c r="D3" s="32"/>
      <c r="E3" s="32"/>
    </row>
    <row r="5" spans="2:7" x14ac:dyDescent="0.2">
      <c r="B5" s="1" t="s">
        <v>71</v>
      </c>
      <c r="E5" s="10" t="str">
        <f>RIGHT("0"&amp;DAY(G5),2)&amp;"."&amp;RIGHT("0"&amp;MONTH(G5),2)&amp;"."&amp;YEAR(G5)</f>
        <v>02.05.2027</v>
      </c>
      <c r="G5" s="28">
        <f>DATE(An,INT((MOD(19*MOD(An,19)+15,30)+MOD(2*MOD(An,4)+4*MOD(An,7)-MOD(19*MOD(An,19)+15,30)+34,7)+114)/31),MOD(MOD(19*MOD(An,19)+15,30)+MOD(2*MOD(An,4)+4*MOD(An,7)-MOD(19*MOD(An,19)+15,30)+34,7)+114,31)+1)+13</f>
        <v>46509</v>
      </c>
    </row>
    <row r="7" spans="2:7" x14ac:dyDescent="0.2">
      <c r="B7" s="4" t="s">
        <v>72</v>
      </c>
      <c r="C7" s="4" t="s">
        <v>60</v>
      </c>
      <c r="D7" s="4" t="s">
        <v>73</v>
      </c>
    </row>
    <row r="8" spans="2:7" x14ac:dyDescent="0.2">
      <c r="B8" s="5" t="s">
        <v>74</v>
      </c>
      <c r="C8" s="5" t="str">
        <f t="shared" ref="C8:C24" si="0">RIGHT("0"&amp;DAY(G8),2)&amp;"."&amp;RIGHT("0"&amp;MONTH(G8),2)&amp;"."&amp;YEAR(G8)</f>
        <v>01.01.2027</v>
      </c>
      <c r="D8" s="5" t="str">
        <f t="shared" ref="D8:D24" si="1">CHOOSE(WEEKDAY(G8,2),"luni","marți","miercuri","joi","vineri","sâmbătă","duminică")</f>
        <v>vineri</v>
      </c>
      <c r="G8" s="28">
        <f>DATE(An,1,1)</f>
        <v>46388</v>
      </c>
    </row>
    <row r="9" spans="2:7" x14ac:dyDescent="0.2">
      <c r="B9" s="5" t="s">
        <v>75</v>
      </c>
      <c r="C9" s="5" t="str">
        <f t="shared" si="0"/>
        <v>02.01.2027</v>
      </c>
      <c r="D9" s="5" t="str">
        <f t="shared" si="1"/>
        <v>sâmbătă</v>
      </c>
      <c r="G9" s="28">
        <f>DATE(An,1,2)</f>
        <v>46389</v>
      </c>
    </row>
    <row r="10" spans="2:7" x14ac:dyDescent="0.2">
      <c r="B10" s="5" t="s">
        <v>76</v>
      </c>
      <c r="C10" s="5" t="str">
        <f t="shared" si="0"/>
        <v>06.01.2027</v>
      </c>
      <c r="D10" s="5" t="str">
        <f t="shared" si="1"/>
        <v>miercuri</v>
      </c>
      <c r="G10" s="28">
        <f>DATE(An,1,6)</f>
        <v>46393</v>
      </c>
    </row>
    <row r="11" spans="2:7" x14ac:dyDescent="0.2">
      <c r="B11" s="5" t="s">
        <v>77</v>
      </c>
      <c r="C11" s="5" t="str">
        <f t="shared" si="0"/>
        <v>07.01.2027</v>
      </c>
      <c r="D11" s="5" t="str">
        <f t="shared" si="1"/>
        <v>joi</v>
      </c>
      <c r="G11" s="28">
        <f>DATE(An,1,7)</f>
        <v>46394</v>
      </c>
    </row>
    <row r="12" spans="2:7" x14ac:dyDescent="0.2">
      <c r="B12" s="5" t="s">
        <v>78</v>
      </c>
      <c r="C12" s="5" t="str">
        <f t="shared" si="0"/>
        <v>24.01.2027</v>
      </c>
      <c r="D12" s="5" t="str">
        <f t="shared" si="1"/>
        <v>duminică</v>
      </c>
      <c r="G12" s="28">
        <f>DATE(An,1,24)</f>
        <v>46411</v>
      </c>
    </row>
    <row r="13" spans="2:7" x14ac:dyDescent="0.2">
      <c r="B13" s="5" t="s">
        <v>79</v>
      </c>
      <c r="C13" s="5" t="str">
        <f t="shared" si="0"/>
        <v>30.04.2027</v>
      </c>
      <c r="D13" s="5" t="str">
        <f t="shared" si="1"/>
        <v>vineri</v>
      </c>
      <c r="G13" s="28">
        <f>$G$5-2</f>
        <v>46507</v>
      </c>
    </row>
    <row r="14" spans="2:7" x14ac:dyDescent="0.2">
      <c r="B14" s="5" t="s">
        <v>80</v>
      </c>
      <c r="C14" s="5" t="str">
        <f t="shared" si="0"/>
        <v>02.05.2027</v>
      </c>
      <c r="D14" s="5" t="str">
        <f t="shared" si="1"/>
        <v>duminică</v>
      </c>
      <c r="G14" s="28">
        <f>$G$5</f>
        <v>46509</v>
      </c>
    </row>
    <row r="15" spans="2:7" x14ac:dyDescent="0.2">
      <c r="B15" s="5" t="s">
        <v>81</v>
      </c>
      <c r="C15" s="5" t="str">
        <f t="shared" si="0"/>
        <v>03.05.2027</v>
      </c>
      <c r="D15" s="5" t="str">
        <f t="shared" si="1"/>
        <v>luni</v>
      </c>
      <c r="G15" s="28">
        <f>$G$5+1</f>
        <v>46510</v>
      </c>
    </row>
    <row r="16" spans="2:7" x14ac:dyDescent="0.2">
      <c r="B16" s="5" t="s">
        <v>82</v>
      </c>
      <c r="C16" s="5" t="str">
        <f t="shared" si="0"/>
        <v>01.05.2027</v>
      </c>
      <c r="D16" s="5" t="str">
        <f t="shared" si="1"/>
        <v>sâmbătă</v>
      </c>
      <c r="G16" s="28">
        <f>DATE(An,5,1)</f>
        <v>46508</v>
      </c>
    </row>
    <row r="17" spans="2:7" x14ac:dyDescent="0.2">
      <c r="B17" s="5" t="s">
        <v>83</v>
      </c>
      <c r="C17" s="5" t="str">
        <f t="shared" si="0"/>
        <v>01.06.2027</v>
      </c>
      <c r="D17" s="5" t="str">
        <f t="shared" si="1"/>
        <v>marți</v>
      </c>
      <c r="G17" s="28">
        <f>DATE(An,6,1)</f>
        <v>46539</v>
      </c>
    </row>
    <row r="18" spans="2:7" x14ac:dyDescent="0.2">
      <c r="B18" s="5" t="s">
        <v>84</v>
      </c>
      <c r="C18" s="5" t="str">
        <f t="shared" si="0"/>
        <v>20.06.2027</v>
      </c>
      <c r="D18" s="5" t="str">
        <f t="shared" si="1"/>
        <v>duminică</v>
      </c>
      <c r="G18" s="28">
        <f>$G$5+49</f>
        <v>46558</v>
      </c>
    </row>
    <row r="19" spans="2:7" x14ac:dyDescent="0.2">
      <c r="B19" s="5" t="s">
        <v>85</v>
      </c>
      <c r="C19" s="5" t="str">
        <f t="shared" si="0"/>
        <v>21.06.2027</v>
      </c>
      <c r="D19" s="5" t="str">
        <f t="shared" si="1"/>
        <v>luni</v>
      </c>
      <c r="G19" s="28">
        <f>$G$5+50</f>
        <v>46559</v>
      </c>
    </row>
    <row r="20" spans="2:7" x14ac:dyDescent="0.2">
      <c r="B20" s="5" t="s">
        <v>86</v>
      </c>
      <c r="C20" s="5" t="str">
        <f t="shared" si="0"/>
        <v>15.08.2027</v>
      </c>
      <c r="D20" s="5" t="str">
        <f t="shared" si="1"/>
        <v>duminică</v>
      </c>
      <c r="G20" s="28">
        <f>DATE(An,8,15)</f>
        <v>46614</v>
      </c>
    </row>
    <row r="21" spans="2:7" x14ac:dyDescent="0.2">
      <c r="B21" s="5" t="s">
        <v>87</v>
      </c>
      <c r="C21" s="5" t="str">
        <f t="shared" si="0"/>
        <v>30.11.2027</v>
      </c>
      <c r="D21" s="5" t="str">
        <f t="shared" si="1"/>
        <v>marți</v>
      </c>
      <c r="G21" s="28">
        <f>DATE(An,11,30)</f>
        <v>46721</v>
      </c>
    </row>
    <row r="22" spans="2:7" x14ac:dyDescent="0.2">
      <c r="B22" s="5" t="s">
        <v>88</v>
      </c>
      <c r="C22" s="5" t="str">
        <f t="shared" si="0"/>
        <v>01.12.2027</v>
      </c>
      <c r="D22" s="5" t="str">
        <f t="shared" si="1"/>
        <v>miercuri</v>
      </c>
      <c r="G22" s="28">
        <f>DATE(An,12,1)</f>
        <v>46722</v>
      </c>
    </row>
    <row r="23" spans="2:7" x14ac:dyDescent="0.2">
      <c r="B23" s="5" t="s">
        <v>89</v>
      </c>
      <c r="C23" s="5" t="str">
        <f t="shared" si="0"/>
        <v>25.12.2027</v>
      </c>
      <c r="D23" s="5" t="str">
        <f t="shared" si="1"/>
        <v>sâmbătă</v>
      </c>
      <c r="G23" s="28">
        <f>DATE(An,12,25)</f>
        <v>46746</v>
      </c>
    </row>
    <row r="24" spans="2:7" x14ac:dyDescent="0.2">
      <c r="B24" s="5" t="s">
        <v>90</v>
      </c>
      <c r="C24" s="5" t="str">
        <f t="shared" si="0"/>
        <v>26.12.2027</v>
      </c>
      <c r="D24" s="5" t="str">
        <f t="shared" si="1"/>
        <v>duminică</v>
      </c>
      <c r="G24" s="28">
        <f>DATE(An,12,26)</f>
        <v>46747</v>
      </c>
    </row>
  </sheetData>
  <mergeCells count="1">
    <mergeCell ref="B3:E3"/>
  </mergeCells>
  <pageMargins left="0.7" right="0.7" top="0.75" bottom="0.75" header="0.3" footer="0.3"/>
  <pageSetup orientation="portrait" r:id="rId1"/>
  <headerFooter>
    <oddFooter>&amp;Cmodelexcel.ro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8D59-84BC-4E77-A44E-E74DC06C191D}">
  <sheetPr>
    <pageSetUpPr fitToPage="1"/>
  </sheetPr>
  <dimension ref="B2:L41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18.7109375" style="1" customWidth="1"/>
    <col min="3" max="3" width="55.7109375" style="1" customWidth="1"/>
    <col min="4" max="11" width="11.42578125" style="1"/>
    <col min="12" max="12" width="0" style="1" hidden="1" customWidth="1"/>
    <col min="13" max="16384" width="11.42578125" style="1"/>
  </cols>
  <sheetData>
    <row r="2" spans="2:3" ht="21" x14ac:dyDescent="0.35">
      <c r="B2" s="2" t="s">
        <v>0</v>
      </c>
    </row>
    <row r="4" spans="2:3" x14ac:dyDescent="0.2">
      <c r="B4" s="4" t="s">
        <v>1</v>
      </c>
      <c r="C4" s="4" t="s">
        <v>2</v>
      </c>
    </row>
    <row r="5" spans="2:3" x14ac:dyDescent="0.2">
      <c r="B5" s="5" t="s">
        <v>3</v>
      </c>
      <c r="C5" s="5" t="s">
        <v>4</v>
      </c>
    </row>
    <row r="6" spans="2:3" x14ac:dyDescent="0.2">
      <c r="B6" s="5" t="s">
        <v>5</v>
      </c>
      <c r="C6" s="5" t="s">
        <v>6</v>
      </c>
    </row>
    <row r="7" spans="2:3" x14ac:dyDescent="0.2">
      <c r="B7" s="5" t="s">
        <v>7</v>
      </c>
      <c r="C7" s="5" t="s">
        <v>8</v>
      </c>
    </row>
    <row r="8" spans="2:3" x14ac:dyDescent="0.2">
      <c r="B8" s="5" t="s">
        <v>9</v>
      </c>
      <c r="C8" s="5" t="s">
        <v>10</v>
      </c>
    </row>
    <row r="9" spans="2:3" x14ac:dyDescent="0.2">
      <c r="B9" s="5" t="s">
        <v>11</v>
      </c>
      <c r="C9" s="5" t="s">
        <v>12</v>
      </c>
    </row>
    <row r="10" spans="2:3" x14ac:dyDescent="0.2">
      <c r="B10" s="5" t="s">
        <v>13</v>
      </c>
      <c r="C10" s="5" t="s">
        <v>14</v>
      </c>
    </row>
    <row r="12" spans="2:3" ht="42" customHeight="1" x14ac:dyDescent="0.2">
      <c r="B12" s="31" t="s">
        <v>15</v>
      </c>
      <c r="C12" s="32"/>
    </row>
    <row r="30" spans="12:12" x14ac:dyDescent="0.2">
      <c r="L30" s="1" t="s">
        <v>20</v>
      </c>
    </row>
    <row r="31" spans="12:12" x14ac:dyDescent="0.2">
      <c r="L31" s="1" t="s">
        <v>23</v>
      </c>
    </row>
    <row r="32" spans="12:12" x14ac:dyDescent="0.2">
      <c r="L32" s="1" t="s">
        <v>24</v>
      </c>
    </row>
    <row r="33" spans="12:12" x14ac:dyDescent="0.2">
      <c r="L33" s="1" t="s">
        <v>25</v>
      </c>
    </row>
    <row r="34" spans="12:12" x14ac:dyDescent="0.2">
      <c r="L34" s="1" t="s">
        <v>26</v>
      </c>
    </row>
    <row r="35" spans="12:12" x14ac:dyDescent="0.2">
      <c r="L35" s="1" t="s">
        <v>27</v>
      </c>
    </row>
    <row r="36" spans="12:12" x14ac:dyDescent="0.2">
      <c r="L36" s="1" t="s">
        <v>28</v>
      </c>
    </row>
    <row r="37" spans="12:12" x14ac:dyDescent="0.2">
      <c r="L37" s="1" t="s">
        <v>29</v>
      </c>
    </row>
    <row r="38" spans="12:12" x14ac:dyDescent="0.2">
      <c r="L38" s="1" t="s">
        <v>30</v>
      </c>
    </row>
    <row r="39" spans="12:12" x14ac:dyDescent="0.2">
      <c r="L39" s="1" t="s">
        <v>31</v>
      </c>
    </row>
    <row r="40" spans="12:12" x14ac:dyDescent="0.2">
      <c r="L40" s="1" t="s">
        <v>32</v>
      </c>
    </row>
    <row r="41" spans="12:12" x14ac:dyDescent="0.2">
      <c r="L41" s="1" t="s">
        <v>33</v>
      </c>
    </row>
  </sheetData>
  <mergeCells count="1">
    <mergeCell ref="B12:C12"/>
  </mergeCells>
  <pageMargins left="0.7" right="0.7" top="0.75" bottom="0.75" header="0.3" footer="0.3"/>
  <pageSetup orientation="portrait" r:id="rId1"/>
  <headerFooter>
    <oddFooter>&amp;Cmodelexcel.ro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59ECE-A9DC-4A56-A927-C2CA4F5DB5E9}">
  <dimension ref="B1:B5"/>
  <sheetViews>
    <sheetView workbookViewId="0"/>
  </sheetViews>
  <sheetFormatPr baseColWidth="10" defaultRowHeight="12.75" x14ac:dyDescent="0.2"/>
  <cols>
    <col min="1" max="1" width="2.7109375" style="1" customWidth="1"/>
    <col min="2" max="16384" width="11.42578125" style="1"/>
  </cols>
  <sheetData>
    <row r="1" spans="2:2" ht="18.75" x14ac:dyDescent="0.3">
      <c r="B1" s="35" t="s">
        <v>91</v>
      </c>
    </row>
    <row r="3" spans="2:2" ht="15" x14ac:dyDescent="0.25">
      <c r="B3" s="36" t="s">
        <v>92</v>
      </c>
    </row>
    <row r="4" spans="2:2" ht="15" x14ac:dyDescent="0.25">
      <c r="B4" s="37" t="s">
        <v>93</v>
      </c>
    </row>
    <row r="5" spans="2:2" ht="15" x14ac:dyDescent="0.25">
      <c r="B5" s="38" t="s">
        <v>94</v>
      </c>
    </row>
  </sheetData>
  <hyperlinks>
    <hyperlink ref="B5" r:id="rId1" tooltip="Instrucțiuni și alte modele gratuite" xr:uid="{107920B3-0760-4D32-87A2-D168D80356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Pontaj lunar</vt:lpstr>
      <vt:lpstr>Evidență zilnică</vt:lpstr>
      <vt:lpstr>Zile libere</vt:lpstr>
      <vt:lpstr>Coduri</vt:lpstr>
      <vt:lpstr>Despre model</vt:lpstr>
      <vt:lpstr>An</vt:lpstr>
      <vt:lpstr>'Pontaj lunar'!Área_de_impresión</vt:lpstr>
      <vt:lpstr>Coduri</vt:lpstr>
      <vt:lpstr>ListaLuni</vt:lpstr>
      <vt:lpstr>Luna</vt:lpstr>
      <vt:lpstr>Norma</vt:lpstr>
      <vt:lpstr>Sarbatori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pontaj Excel</dc:title>
  <dc:subject>Model Excel gratuit în limba română</dc:subject>
  <dc:creator>Ray Moreno · modelexcel.ro</dc:creator>
  <cp:keywords>modelexcel.ro, model Excel, Model pontaj Excel</cp:keywords>
  <dc:description>© 2026 Ray Moreno – modelexcel.ro. Model gratuit: îl poți folosi și adapta în activitatea ta. Nu este permisă revânzarea lui sau publicarea pe alte site-uri. https://modelexcel.ro/model-pontaj-excel/</dc:description>
  <cp:lastModifiedBy>Ray Moreno · modelexcel.ro</cp:lastModifiedBy>
  <dcterms:created xsi:type="dcterms:W3CDTF">2026-10-10T18:09:39Z</dcterms:created>
  <dcterms:modified xsi:type="dcterms:W3CDTF">2026-10-13T17:32:03Z</dcterms:modified>
  <cp:category>Model Excel</cp:category>
</cp:coreProperties>
</file>