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69A3DBE3-FD11-4643-81BF-C9D793D56B30}" xr6:coauthVersionLast="47" xr6:coauthVersionMax="47" xr10:uidLastSave="{00000000-0000-0000-0000-000000000000}"/>
  <bookViews>
    <workbookView xWindow="-28920" yWindow="-120" windowWidth="29040" windowHeight="15720" xr2:uid="{06B9FC14-7794-4C5F-BF05-5D04B1BC7E29}"/>
  </bookViews>
  <sheets>
    <sheet name="Stat de plată" sheetId="1" r:id="rId1"/>
    <sheet name="Luna anterioară" sheetId="2" r:id="rId2"/>
    <sheet name="Centralizator" sheetId="3" r:id="rId3"/>
    <sheet name="Setări" sheetId="4" r:id="rId4"/>
  </sheets>
  <definedNames>
    <definedName name="_xlnm.Print_Area" localSheetId="1">'Luna anterioară'!$A$1:$AC$41</definedName>
    <definedName name="_xlnm.Print_Area" localSheetId="0">'Stat de plată'!$A$1:$AF$41</definedName>
    <definedName name="CIF">Setări!$C$4</definedName>
    <definedName name="CotaCAM">Setări!$C$8</definedName>
    <definedName name="CotaCAS">Setări!$C$5</definedName>
    <definedName name="CotaCASS">Setări!$C$6</definedName>
    <definedName name="CotaImp">Setări!$C$7</definedName>
    <definedName name="DaNu">Setări!$I$3:$I$4</definedName>
    <definedName name="Firma">Setări!$C$3</definedName>
    <definedName name="ListaLuniSP">Setări!$I$50:$I$61</definedName>
    <definedName name="NormaZi">Setări!$C$10</definedName>
    <definedName name="PerData">Setări!$B$15:$B$21</definedName>
    <definedName name="PerNetax">Setări!$D$15:$D$21</definedName>
    <definedName name="PerPlafon">Setări!$E$15:$E$21</definedName>
    <definedName name="PerSM">Setări!$C$15:$C$21</definedName>
    <definedName name="PragDif">Setări!$C$11</definedName>
    <definedName name="Sarbatori">Setări!$G$3:$G$40</definedName>
    <definedName name="SporSupl">Setări!$C$9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9" i="3" l="1"/>
  <c r="C18" i="3"/>
  <c r="E15" i="3"/>
  <c r="D15" i="3"/>
  <c r="C15" i="3"/>
  <c r="E14" i="3"/>
  <c r="D14" i="3"/>
  <c r="C14" i="3"/>
  <c r="E13" i="3"/>
  <c r="D13" i="3"/>
  <c r="C13" i="3"/>
  <c r="E12" i="3"/>
  <c r="D12" i="3"/>
  <c r="C12" i="3"/>
  <c r="E11" i="3"/>
  <c r="D11" i="3"/>
  <c r="C11" i="3"/>
  <c r="E10" i="3"/>
  <c r="D10" i="3"/>
  <c r="C10" i="3"/>
  <c r="E9" i="3"/>
  <c r="D9" i="3"/>
  <c r="C9" i="3"/>
  <c r="E8" i="3"/>
  <c r="D8" i="3"/>
  <c r="C8" i="3"/>
  <c r="E7" i="3"/>
  <c r="D7" i="3"/>
  <c r="C7" i="3"/>
  <c r="E6" i="3"/>
  <c r="D6" i="3"/>
  <c r="C6" i="3"/>
  <c r="E5" i="3"/>
  <c r="D5" i="3"/>
  <c r="C5" i="3"/>
  <c r="B2" i="3"/>
  <c r="AE38" i="1"/>
  <c r="AD38" i="1"/>
  <c r="AC38" i="1"/>
  <c r="AB38" i="1"/>
  <c r="AA38" i="1"/>
  <c r="Z38" i="1"/>
  <c r="Y38" i="1"/>
  <c r="X38" i="1"/>
  <c r="W38" i="1"/>
  <c r="V38" i="1"/>
  <c r="U38" i="1"/>
  <c r="T38" i="1"/>
  <c r="S38" i="1"/>
  <c r="R38" i="1"/>
  <c r="Q38" i="1"/>
  <c r="P38" i="1"/>
  <c r="N38" i="1"/>
  <c r="M38" i="1"/>
  <c r="J38" i="1"/>
  <c r="I38" i="1"/>
  <c r="H38" i="1"/>
  <c r="G38" i="1"/>
  <c r="F38" i="1"/>
  <c r="E38" i="1"/>
  <c r="AF14" i="1"/>
  <c r="AF15" i="1"/>
  <c r="AF16" i="1"/>
  <c r="AF17" i="1"/>
  <c r="AF18" i="1"/>
  <c r="AF19" i="1"/>
  <c r="AF20" i="1"/>
  <c r="AF21" i="1"/>
  <c r="AF22" i="1"/>
  <c r="AF23" i="1"/>
  <c r="AF24" i="1"/>
  <c r="AF25" i="1"/>
  <c r="AF26" i="1"/>
  <c r="AF27" i="1"/>
  <c r="AF28" i="1"/>
  <c r="AF29" i="1"/>
  <c r="AF30" i="1"/>
  <c r="AF31" i="1"/>
  <c r="AF32" i="1"/>
  <c r="AF33" i="1"/>
  <c r="AF34" i="1"/>
  <c r="AF35" i="1"/>
  <c r="AF36" i="1"/>
  <c r="AF37" i="1"/>
  <c r="AE14" i="1"/>
  <c r="AE15" i="1"/>
  <c r="AE16" i="1"/>
  <c r="AE17" i="1"/>
  <c r="AE18" i="1"/>
  <c r="AE19" i="1"/>
  <c r="AE20" i="1"/>
  <c r="AE21" i="1"/>
  <c r="AE22" i="1"/>
  <c r="AE23" i="1"/>
  <c r="AE24" i="1"/>
  <c r="AE25" i="1"/>
  <c r="AE26" i="1"/>
  <c r="AE27" i="1"/>
  <c r="AE28" i="1"/>
  <c r="AE29" i="1"/>
  <c r="AE30" i="1"/>
  <c r="AE31" i="1"/>
  <c r="AE32" i="1"/>
  <c r="AE33" i="1"/>
  <c r="AE34" i="1"/>
  <c r="AE35" i="1"/>
  <c r="AE36" i="1"/>
  <c r="AE37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M8" i="1"/>
  <c r="AD8" i="1" s="1"/>
  <c r="AM9" i="1"/>
  <c r="AD9" i="1" s="1"/>
  <c r="AM10" i="1"/>
  <c r="AD10" i="1" s="1"/>
  <c r="AM11" i="1"/>
  <c r="AD11" i="1" s="1"/>
  <c r="AM12" i="1"/>
  <c r="AD12" i="1" s="1"/>
  <c r="AM13" i="1"/>
  <c r="AD13" i="1" s="1"/>
  <c r="AM14" i="1"/>
  <c r="AM15" i="1"/>
  <c r="AM16" i="1"/>
  <c r="AM17" i="1"/>
  <c r="AM18" i="1"/>
  <c r="AM19" i="1"/>
  <c r="AM20" i="1"/>
  <c r="AM21" i="1"/>
  <c r="AM22" i="1"/>
  <c r="AM23" i="1"/>
  <c r="AM24" i="1"/>
  <c r="AM25" i="1"/>
  <c r="AM26" i="1"/>
  <c r="AM27" i="1"/>
  <c r="AM28" i="1"/>
  <c r="AM29" i="1"/>
  <c r="AM30" i="1"/>
  <c r="AM31" i="1"/>
  <c r="AM32" i="1"/>
  <c r="AM33" i="1"/>
  <c r="AM34" i="1"/>
  <c r="AM35" i="1"/>
  <c r="AM36" i="1"/>
  <c r="AM37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29" i="1"/>
  <c r="AB30" i="1"/>
  <c r="AB31" i="1"/>
  <c r="AB32" i="1"/>
  <c r="AB33" i="1"/>
  <c r="AB34" i="1"/>
  <c r="AB35" i="1"/>
  <c r="AB36" i="1"/>
  <c r="AB37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34" i="1"/>
  <c r="AC35" i="1"/>
  <c r="AC36" i="1"/>
  <c r="AC37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P8" i="1"/>
  <c r="R8" i="1" s="1"/>
  <c r="P9" i="1"/>
  <c r="P10" i="1"/>
  <c r="P11" i="1"/>
  <c r="R11" i="1" s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M4" i="1"/>
  <c r="J4" i="1"/>
  <c r="G4" i="1"/>
  <c r="AL4" i="1"/>
  <c r="B1" i="1"/>
  <c r="AC38" i="2"/>
  <c r="AB38" i="2"/>
  <c r="AA38" i="2"/>
  <c r="Z38" i="2"/>
  <c r="Y38" i="2"/>
  <c r="X38" i="2"/>
  <c r="W38" i="2"/>
  <c r="V38" i="2"/>
  <c r="U38" i="2"/>
  <c r="T38" i="2"/>
  <c r="S38" i="2"/>
  <c r="R38" i="2"/>
  <c r="Q38" i="2"/>
  <c r="P38" i="2"/>
  <c r="N38" i="2"/>
  <c r="M38" i="2"/>
  <c r="J38" i="2"/>
  <c r="I38" i="2"/>
  <c r="H38" i="2"/>
  <c r="G38" i="2"/>
  <c r="F38" i="2"/>
  <c r="E38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Z14" i="2"/>
  <c r="Z15" i="2"/>
  <c r="Z16" i="2"/>
  <c r="Z17" i="2"/>
  <c r="Z18" i="2"/>
  <c r="Z19" i="2"/>
  <c r="Z20" i="2"/>
  <c r="Z21" i="2"/>
  <c r="Z22" i="2"/>
  <c r="Z23" i="2"/>
  <c r="Z24" i="2"/>
  <c r="Z25" i="2"/>
  <c r="Z26" i="2"/>
  <c r="Z27" i="2"/>
  <c r="Z28" i="2"/>
  <c r="Z29" i="2"/>
  <c r="Z30" i="2"/>
  <c r="Z31" i="2"/>
  <c r="Z32" i="2"/>
  <c r="Z33" i="2"/>
  <c r="Z34" i="2"/>
  <c r="Z35" i="2"/>
  <c r="Z36" i="2"/>
  <c r="Z37" i="2"/>
  <c r="AA14" i="2"/>
  <c r="AA15" i="2"/>
  <c r="AA16" i="2"/>
  <c r="AA17" i="2"/>
  <c r="AA18" i="2"/>
  <c r="AA19" i="2"/>
  <c r="AA20" i="2"/>
  <c r="AA21" i="2"/>
  <c r="AA22" i="2"/>
  <c r="AA23" i="2"/>
  <c r="AA24" i="2"/>
  <c r="AA25" i="2"/>
  <c r="AA26" i="2"/>
  <c r="AA27" i="2"/>
  <c r="AA28" i="2"/>
  <c r="AA29" i="2"/>
  <c r="AA30" i="2"/>
  <c r="AA31" i="2"/>
  <c r="AA32" i="2"/>
  <c r="AA33" i="2"/>
  <c r="AA34" i="2"/>
  <c r="AA35" i="2"/>
  <c r="AA36" i="2"/>
  <c r="AA37" i="2"/>
  <c r="AB14" i="2"/>
  <c r="AB15" i="2"/>
  <c r="AB16" i="2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31" i="2"/>
  <c r="AB32" i="2"/>
  <c r="AB33" i="2"/>
  <c r="AB34" i="2"/>
  <c r="AB35" i="2"/>
  <c r="AB36" i="2"/>
  <c r="AB37" i="2"/>
  <c r="AC14" i="2"/>
  <c r="AC15" i="2"/>
  <c r="AC16" i="2"/>
  <c r="AC17" i="2"/>
  <c r="AC18" i="2"/>
  <c r="AC19" i="2"/>
  <c r="AC20" i="2"/>
  <c r="AC21" i="2"/>
  <c r="AC22" i="2"/>
  <c r="AC23" i="2"/>
  <c r="AC24" i="2"/>
  <c r="AC25" i="2"/>
  <c r="AC26" i="2"/>
  <c r="AC27" i="2"/>
  <c r="AC28" i="2"/>
  <c r="AC29" i="2"/>
  <c r="AC30" i="2"/>
  <c r="AC31" i="2"/>
  <c r="AC32" i="2"/>
  <c r="AC33" i="2"/>
  <c r="AC34" i="2"/>
  <c r="AC35" i="2"/>
  <c r="AC36" i="2"/>
  <c r="AC37" i="2"/>
  <c r="Y14" i="2"/>
  <c r="Y15" i="2"/>
  <c r="Y16" i="2"/>
  <c r="Y17" i="2"/>
  <c r="Y18" i="2"/>
  <c r="Y19" i="2"/>
  <c r="Y20" i="2"/>
  <c r="Y21" i="2"/>
  <c r="Y22" i="2"/>
  <c r="Y23" i="2"/>
  <c r="Y24" i="2"/>
  <c r="Y25" i="2"/>
  <c r="Y26" i="2"/>
  <c r="Y27" i="2"/>
  <c r="Y28" i="2"/>
  <c r="Y29" i="2"/>
  <c r="Y30" i="2"/>
  <c r="Y31" i="2"/>
  <c r="Y32" i="2"/>
  <c r="Y33" i="2"/>
  <c r="Y34" i="2"/>
  <c r="Y35" i="2"/>
  <c r="Y36" i="2"/>
  <c r="Y3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P8" i="2"/>
  <c r="R8" i="2" s="1"/>
  <c r="P9" i="2"/>
  <c r="R9" i="2" s="1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S14" i="2"/>
  <c r="S15" i="2"/>
  <c r="S16" i="2"/>
  <c r="S17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/>
  <c r="S36" i="2"/>
  <c r="S37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/>
  <c r="T27" i="2"/>
  <c r="T28" i="2"/>
  <c r="T29" i="2"/>
  <c r="T30" i="2"/>
  <c r="T31" i="2"/>
  <c r="T32" i="2"/>
  <c r="T33" i="2"/>
  <c r="T34" i="2"/>
  <c r="T35" i="2"/>
  <c r="T36" i="2"/>
  <c r="T37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V14" i="2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M4" i="2"/>
  <c r="J4" i="2"/>
  <c r="G4" i="2"/>
  <c r="AL4" i="2"/>
  <c r="B1" i="2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5" i="4"/>
  <c r="G4" i="4"/>
  <c r="G3" i="4"/>
  <c r="B16" i="4"/>
  <c r="B15" i="4"/>
  <c r="R13" i="1" l="1"/>
  <c r="S13" i="1"/>
  <c r="T13" i="1" s="1"/>
  <c r="W13" i="1"/>
  <c r="R12" i="1"/>
  <c r="S12" i="1"/>
  <c r="T12" i="1" s="1"/>
  <c r="W12" i="1"/>
  <c r="W11" i="1"/>
  <c r="S11" i="1"/>
  <c r="T11" i="1" s="1"/>
  <c r="R10" i="1"/>
  <c r="W10" i="1" s="1"/>
  <c r="S10" i="1"/>
  <c r="T10" i="1" s="1"/>
  <c r="R9" i="1"/>
  <c r="W8" i="1"/>
  <c r="S8" i="1"/>
  <c r="T8" i="1" s="1"/>
  <c r="R13" i="2"/>
  <c r="S13" i="2"/>
  <c r="T13" i="2" s="1"/>
  <c r="W13" i="2"/>
  <c r="R12" i="2"/>
  <c r="S12" i="2"/>
  <c r="T12" i="2" s="1"/>
  <c r="W12" i="2"/>
  <c r="R11" i="2"/>
  <c r="R10" i="2"/>
  <c r="W9" i="2"/>
  <c r="S9" i="2"/>
  <c r="T9" i="2" s="1"/>
  <c r="W8" i="2"/>
  <c r="S8" i="2"/>
  <c r="T8" i="2" s="1"/>
  <c r="V13" i="1" l="1"/>
  <c r="U13" i="1"/>
  <c r="AB13" i="1"/>
  <c r="AC13" i="1" s="1"/>
  <c r="AB12" i="1"/>
  <c r="AC12" i="1" s="1"/>
  <c r="V12" i="1"/>
  <c r="U12" i="1"/>
  <c r="U11" i="1"/>
  <c r="AB11" i="1"/>
  <c r="AC11" i="1" s="1"/>
  <c r="V11" i="1"/>
  <c r="X11" i="1" s="1"/>
  <c r="Y11" i="1" s="1"/>
  <c r="V10" i="1"/>
  <c r="U10" i="1"/>
  <c r="X10" i="1" s="1"/>
  <c r="Y10" i="1" s="1"/>
  <c r="AB10" i="1"/>
  <c r="AC10" i="1" s="1"/>
  <c r="W9" i="1"/>
  <c r="S9" i="1"/>
  <c r="T9" i="1" s="1"/>
  <c r="V8" i="1"/>
  <c r="U8" i="1"/>
  <c r="X8" i="1" s="1"/>
  <c r="Y8" i="1" s="1"/>
  <c r="Z8" i="1" s="1"/>
  <c r="AB8" i="1"/>
  <c r="AC8" i="1" s="1"/>
  <c r="V13" i="2"/>
  <c r="U13" i="2"/>
  <c r="X13" i="2" s="1"/>
  <c r="Y13" i="2" s="1"/>
  <c r="AB13" i="2"/>
  <c r="AC13" i="2" s="1"/>
  <c r="AB12" i="2"/>
  <c r="AC12" i="2" s="1"/>
  <c r="V12" i="2"/>
  <c r="U12" i="2"/>
  <c r="S11" i="2"/>
  <c r="T11" i="2" s="1"/>
  <c r="W11" i="2"/>
  <c r="W10" i="2"/>
  <c r="S10" i="2"/>
  <c r="T10" i="2" s="1"/>
  <c r="AB9" i="2"/>
  <c r="AC9" i="2" s="1"/>
  <c r="V9" i="2"/>
  <c r="U9" i="2"/>
  <c r="AB8" i="2"/>
  <c r="AC8" i="2" s="1"/>
  <c r="V8" i="2"/>
  <c r="U8" i="2"/>
  <c r="X13" i="1" l="1"/>
  <c r="Y13" i="1" s="1"/>
  <c r="Z13" i="1" s="1"/>
  <c r="X12" i="1"/>
  <c r="Y12" i="1" s="1"/>
  <c r="Z12" i="1" s="1"/>
  <c r="Z11" i="1"/>
  <c r="Z10" i="1"/>
  <c r="AB9" i="1"/>
  <c r="AC9" i="1" s="1"/>
  <c r="U9" i="1"/>
  <c r="V9" i="1"/>
  <c r="AA8" i="1"/>
  <c r="AE8" i="1"/>
  <c r="AF8" i="1" s="1"/>
  <c r="Z13" i="2"/>
  <c r="AA13" i="2" s="1"/>
  <c r="X12" i="2"/>
  <c r="Y12" i="2" s="1"/>
  <c r="Z12" i="2" s="1"/>
  <c r="AA12" i="2" s="1"/>
  <c r="AB11" i="2"/>
  <c r="AC11" i="2" s="1"/>
  <c r="U11" i="2"/>
  <c r="V11" i="2"/>
  <c r="U10" i="2"/>
  <c r="V10" i="2"/>
  <c r="AB10" i="2"/>
  <c r="AC10" i="2" s="1"/>
  <c r="X9" i="2"/>
  <c r="Y9" i="2" s="1"/>
  <c r="Z9" i="2" s="1"/>
  <c r="AA9" i="2" s="1"/>
  <c r="X8" i="2"/>
  <c r="Y8" i="2" s="1"/>
  <c r="Z8" i="2" s="1"/>
  <c r="AA8" i="2" s="1"/>
  <c r="AE13" i="1" l="1"/>
  <c r="AF13" i="1" s="1"/>
  <c r="AA13" i="1"/>
  <c r="AE12" i="1"/>
  <c r="AF12" i="1" s="1"/>
  <c r="AA12" i="1"/>
  <c r="AE11" i="1"/>
  <c r="AF11" i="1" s="1"/>
  <c r="AA11" i="1"/>
  <c r="AE10" i="1"/>
  <c r="AF10" i="1" s="1"/>
  <c r="AA10" i="1"/>
  <c r="X9" i="1"/>
  <c r="Y9" i="1" s="1"/>
  <c r="Z9" i="1" s="1"/>
  <c r="X11" i="2"/>
  <c r="Y11" i="2" s="1"/>
  <c r="Z11" i="2" s="1"/>
  <c r="AA11" i="2" s="1"/>
  <c r="X10" i="2"/>
  <c r="Y10" i="2" s="1"/>
  <c r="Z10" i="2" s="1"/>
  <c r="AA10" i="2" s="1"/>
  <c r="AA9" i="1" l="1"/>
  <c r="AE9" i="1"/>
  <c r="AF9" i="1" s="1"/>
</calcChain>
</file>

<file path=xl/sharedStrings.xml><?xml version="1.0" encoding="utf-8"?>
<sst xmlns="http://schemas.openxmlformats.org/spreadsheetml/2006/main" count="175" uniqueCount="110">
  <si>
    <t>Setări – firmă, cote și salariul minim</t>
  </si>
  <si>
    <t>Unitatea</t>
  </si>
  <si>
    <t>Exemplu Instalații SRL</t>
  </si>
  <si>
    <t>CIF</t>
  </si>
  <si>
    <t>RO12345678</t>
  </si>
  <si>
    <t>CAS (pensie) – angajat</t>
  </si>
  <si>
    <t>CASS (sănătate) – angajat</t>
  </si>
  <si>
    <t>Impozit pe venit</t>
  </si>
  <si>
    <t>CAM – angajator</t>
  </si>
  <si>
    <t>Spor ore suplimentare</t>
  </si>
  <si>
    <t>Ore pe zi (normă întreagă)</t>
  </si>
  <si>
    <t>Prag de verificare față de luna anterioară</t>
  </si>
  <si>
    <t>Salariul minim și suma netaxabilă (pe perioade)</t>
  </si>
  <si>
    <t>Valabil de la</t>
  </si>
  <si>
    <t>Salariul minim brut</t>
  </si>
  <si>
    <t>Sumă netaxabilă</t>
  </si>
  <si>
    <t>Plafon venit brut</t>
  </si>
  <si>
    <t>Când se schimbă salariul minim, adaugă un rând nou cu data de la care se aplică.</t>
  </si>
  <si>
    <t>Sărbători legale</t>
  </si>
  <si>
    <t>Adaugă sărbătorile anului următor.</t>
  </si>
  <si>
    <t>Da/Nu</t>
  </si>
  <si>
    <t>Da</t>
  </si>
  <si>
    <t>Nu</t>
  </si>
  <si>
    <t>Ianuarie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</si>
  <si>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</si>
  <si>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</si>
  <si>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</si>
  <si>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</si>
  <si>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</si>
  <si>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</si>
  <si>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</si>
  <si>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</si>
  <si>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Octombrie</t>
  </si>
  <si>
    <t>Noiembrie</t>
  </si>
  <si>
    <t>Decembrie</t>
  </si>
  <si>
    <t>STAT DE PLATĂ – LUNA ANTERIOARĂ</t>
  </si>
  <si>
    <t>Luna:</t>
  </si>
  <si>
    <t>Zile lucrătoare:</t>
  </si>
  <si>
    <t>Salariul minim:</t>
  </si>
  <si>
    <t>Sumă netaxabilă / plafon:</t>
  </si>
  <si>
    <t>Nr.</t>
  </si>
  <si>
    <t>Nume și prenume</t>
  </si>
  <si>
    <t>Funcția</t>
  </si>
  <si>
    <t>Salariu de bază</t>
  </si>
  <si>
    <t>Zile lucrate</t>
  </si>
  <si>
    <t>Zile CO</t>
  </si>
  <si>
    <t>Zile CM</t>
  </si>
  <si>
    <t>Ore supli-mentare</t>
  </si>
  <si>
    <t>Prime / bonusuri</t>
  </si>
  <si>
    <t>Pers. în între-ținere</t>
  </si>
  <si>
    <t>Funcție de bază</t>
  </si>
  <si>
    <t>Avans</t>
  </si>
  <si>
    <t>Alte rețineri</t>
  </si>
  <si>
    <t>Absențe (zile)</t>
  </si>
  <si>
    <t>Salariu realizat</t>
  </si>
  <si>
    <t>Plată ore supl.</t>
  </si>
  <si>
    <t>Venit brut</t>
  </si>
  <si>
    <t>Bază CAS / CASS</t>
  </si>
  <si>
    <t>CAS 25%</t>
  </si>
  <si>
    <t>CASS 10%</t>
  </si>
  <si>
    <t>Deducere personală</t>
  </si>
  <si>
    <t>Bază impozit</t>
  </si>
  <si>
    <t>Impozit 10%</t>
  </si>
  <si>
    <t>Salariu net</t>
  </si>
  <si>
    <t>Rest de plată</t>
  </si>
  <si>
    <t>CAM 2,25%</t>
  </si>
  <si>
    <t>Cost total angajator</t>
  </si>
  <si>
    <t>Ana Popescu</t>
  </si>
  <si>
    <t>Contabil</t>
  </si>
  <si>
    <t>Mihai Ionescu</t>
  </si>
  <si>
    <t>Electrician</t>
  </si>
  <si>
    <t>Elena Dumitru</t>
  </si>
  <si>
    <t>Agent vânzări</t>
  </si>
  <si>
    <t>Radu Stan</t>
  </si>
  <si>
    <t>Ioana Marin</t>
  </si>
  <si>
    <t>Gestionar</t>
  </si>
  <si>
    <t>Vlad Georgescu</t>
  </si>
  <si>
    <t>Șofer</t>
  </si>
  <si>
    <t>TOTAL</t>
  </si>
  <si>
    <t>Întocmit: _______________</t>
  </si>
  <si>
    <t>Verificat: _______________</t>
  </si>
  <si>
    <t>Aprobat (administrator): _______________</t>
  </si>
  <si>
    <t>La începutul lunii, copiază aici datele introduse în statul lunii trecute (sau păstrează o copie a fișierului pentru fiecare lună).</t>
  </si>
  <si>
    <t>STAT DE PLATĂ</t>
  </si>
  <si>
    <t>Net luna anterioară</t>
  </si>
  <si>
    <t>Diferență net</t>
  </si>
  <si>
    <t>Verificare și explicații</t>
  </si>
  <si>
    <t>Coloanele deschise la culoare se completează; restul se calculează automat. Indemnizația de concediu medical nu este inclusă: se calculează separat, conform OUG nr. 158/2005.</t>
  </si>
  <si>
    <t>Centralizator – plăți și obligații la buget</t>
  </si>
  <si>
    <t>Luna curentă</t>
  </si>
  <si>
    <t>Luna anterioară</t>
  </si>
  <si>
    <t>Diferență</t>
  </si>
  <si>
    <t>Indicator</t>
  </si>
  <si>
    <t>Număr de angajați</t>
  </si>
  <si>
    <t>Total venit brut</t>
  </si>
  <si>
    <t>CAS 25% (reținut din salarii)</t>
  </si>
  <si>
    <t>CASS 10% (reținut din salarii)</t>
  </si>
  <si>
    <t>Impozit pe venit 10%</t>
  </si>
  <si>
    <t>CAM 2,25% (datorat de angajator)</t>
  </si>
  <si>
    <t>Total salarii nete</t>
  </si>
  <si>
    <t>Avansuri plătite</t>
  </si>
  <si>
    <t>Rest de plată către angajați</t>
  </si>
  <si>
    <t>Cost total salarial</t>
  </si>
  <si>
    <t>De plătit la buget prin declarația 112</t>
  </si>
  <si>
    <t>CAS + CASS + impozit + CAM</t>
  </si>
  <si>
    <t>Termen de depunere și plată</t>
  </si>
  <si>
    <t>Verifică totalurile cu statul semnat și cu ordinele de plată înainte de a vira salariile și contribuțiile.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</si>
  <si>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</si>
  <si>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</si>
  <si>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modelexcel.ro/model-stat-de-plata-excel/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</si>
</sst>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000%"/>
    <numFmt numFmtId="165" formatCode="\+0%;\-0%;0%"/>
    <numFmt numFmtId="166" formatCode="#,##0;\-#,##0;0"/>
  </numFmts>
  <fonts count="15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6A3D9A"/>
      <name val="Calibri"/>
      <family val="2"/>
    </font>
    <font>
      <b/>
      <sz val="10"/>
      <color theme="1"/>
      <name val="Calibri"/>
      <family val="2"/>
    </font>
    <font>
      <b/>
      <sz val="10"/>
      <color rgb="FF6A3D9A"/>
      <name val="Calibri"/>
      <family val="2"/>
    </font>
    <font>
      <b/>
      <sz val="10"/>
      <color rgb="FFFFFFFF"/>
      <name val="Calibri"/>
      <family val="2"/>
    </font>
    <font>
      <i/>
      <sz val="10"/>
      <color rgb="FF5D6B64"/>
      <name val="Calibri"/>
      <family val="2"/>
    </font>
    <font>
      <sz val="10"/>
      <color rgb="FFFFFFFF"/>
      <name val="Calibri"/>
      <family val="2"/>
    </font>
    <font>
      <b/>
      <sz val="18"/>
      <color rgb="FF6A3D9A"/>
      <name val="Calibri"/>
      <family val="2"/>
    </font>
    <font>
      <sz val="10"/>
      <color rgb="FFB4322A"/>
      <name val="Calibri"/>
      <family val="2"/>
    </font>
    <font>
      <b/>
      <sz val="12"/>
      <color rgb="FF6A3D9A"/>
      <name val="Calibri"/>
      <family val="2"/>
    </font>
    <font>
      <b/>
      <sz val="9"/>
      <color rgb="FF6D6D6D"/>
      <name val="Calibri"/>
      <family val="2"/>
    </font>
    <font>
      <i/>
      <sz val="9"/>
      <color rgb="FF6D6D6D"/>
      <name val="Calibri"/>
      <family val="2"/>
    </font>
    <font>
      <u/>
      <sz val="11"/>
      <color theme="10"/>
      <name val="Aptos Narrow"/>
      <family val="2"/>
      <scheme val="minor"/>
    </font>
    <font>
      <u/>
      <sz val="9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F8FD"/>
        <bgColor indexed="64"/>
      </patternFill>
    </fill>
    <fill>
      <patternFill patternType="solid">
        <fgColor rgb="FF6A3D9A"/>
        <bgColor indexed="64"/>
      </patternFill>
    </fill>
    <fill>
      <patternFill patternType="solid">
        <fgColor rgb="FFEDE4F5"/>
        <bgColor indexed="64"/>
      </patternFill>
    </fill>
  </fills>
  <borders count="2">
    <border>
      <left/>
      <right/>
      <top/>
      <bottom/>
      <diagonal/>
    </border>
    <border>
      <left style="thin">
        <color rgb="FFDAD3DC"/>
      </left>
      <right style="thin">
        <color rgb="FFDAD3DC"/>
      </right>
      <top style="thin">
        <color rgb="FFDAD3DC"/>
      </top>
      <bottom style="thin">
        <color rgb="FFDAD3DC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1" fillId="2" borderId="1" xfId="0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9" fontId="1" fillId="2" borderId="1" xfId="0" applyNumberFormat="1" applyFont="1" applyFill="1" applyBorder="1" applyAlignment="1">
      <alignment horizontal="right"/>
    </xf>
    <xf numFmtId="0" fontId="4" fillId="0" borderId="0" xfId="0" applyFont="1"/>
    <xf numFmtId="0" fontId="5" fillId="3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/>
    <xf numFmtId="3" fontId="1" fillId="2" borderId="1" xfId="0" applyNumberFormat="1" applyFont="1" applyFill="1" applyBorder="1"/>
    <xf numFmtId="0" fontId="1" fillId="2" borderId="1" xfId="0" applyFont="1" applyFill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4" borderId="0" xfId="0" applyFont="1" applyFill="1"/>
    <xf numFmtId="0" fontId="3" fillId="4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14" fontId="7" fillId="0" borderId="0" xfId="0" applyNumberFormat="1" applyFont="1"/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3" fontId="1" fillId="0" borderId="1" xfId="0" applyNumberFormat="1" applyFont="1" applyBorder="1"/>
    <xf numFmtId="3" fontId="3" fillId="0" borderId="1" xfId="0" applyNumberFormat="1" applyFont="1" applyBorder="1"/>
    <xf numFmtId="0" fontId="3" fillId="4" borderId="1" xfId="0" applyFont="1" applyFill="1" applyBorder="1"/>
    <xf numFmtId="3" fontId="3" fillId="4" borderId="1" xfId="0" applyNumberFormat="1" applyFont="1" applyFill="1" applyBorder="1"/>
    <xf numFmtId="165" fontId="1" fillId="0" borderId="1" xfId="0" applyNumberFormat="1" applyFont="1" applyBorder="1"/>
    <xf numFmtId="0" fontId="9" fillId="0" borderId="1" xfId="0" applyFont="1" applyBorder="1" applyAlignment="1">
      <alignment wrapText="1"/>
    </xf>
    <xf numFmtId="165" fontId="3" fillId="4" borderId="1" xfId="0" applyNumberFormat="1" applyFont="1" applyFill="1" applyBorder="1"/>
    <xf numFmtId="0" fontId="1" fillId="0" borderId="1" xfId="0" applyFont="1" applyBorder="1"/>
    <xf numFmtId="166" fontId="1" fillId="0" borderId="1" xfId="0" applyNumberFormat="1" applyFont="1" applyBorder="1" applyAlignment="1">
      <alignment horizontal="right"/>
    </xf>
    <xf numFmtId="166" fontId="3" fillId="0" borderId="1" xfId="0" applyNumberFormat="1" applyFont="1" applyBorder="1" applyAlignment="1">
      <alignment horizontal="right"/>
    </xf>
    <xf numFmtId="0" fontId="10" fillId="0" borderId="0" xfId="0" applyFont="1"/>
    <xf numFmtId="3" fontId="3" fillId="4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4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2">
    <dxf>
      <font>
        <color rgb="FFFFFFFF"/>
      </font>
      <fill>
        <patternFill>
          <bgColor rgb="FFB4322A"/>
        </patternFill>
      </fill>
    </dxf>
    <dxf>
      <fill>
        <patternFill>
          <bgColor rgb="FFFFE68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model-stat-de-plata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7837A-5663-4912-BB82-3C1D3D668910}">
  <sheetPr>
    <pageSetUpPr fitToPage="1"/>
  </sheetPr>
  <dimension ref="B1:ZZ1000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baseColWidth="10" defaultRowHeight="12.75" x14ac:dyDescent="0.2"/>
  <cols>
    <col min="1" max="1" width="2.7109375" style="1" customWidth="1"/>
    <col min="2" max="2" width="4.7109375" style="1" customWidth="1"/>
    <col min="3" max="3" width="18.7109375" style="1" customWidth="1"/>
    <col min="4" max="4" width="13.7109375" style="1" customWidth="1"/>
    <col min="5" max="5" width="9.7109375" style="1" customWidth="1"/>
    <col min="6" max="9" width="7.7109375" style="1" customWidth="1"/>
    <col min="10" max="10" width="9.7109375" style="1" customWidth="1"/>
    <col min="11" max="12" width="7.7109375" style="1" customWidth="1"/>
    <col min="13" max="14" width="9.7109375" style="1" customWidth="1"/>
    <col min="15" max="15" width="7.7109375" style="1" customWidth="1"/>
    <col min="16" max="31" width="9.7109375" style="1" customWidth="1"/>
    <col min="32" max="32" width="46.7109375" style="1" customWidth="1"/>
    <col min="33" max="38" width="11.42578125" style="1"/>
    <col min="39" max="39" width="0" style="1" hidden="1" customWidth="1"/>
    <col min="40" max="16384" width="11.42578125" style="1"/>
  </cols>
  <sheetData>
    <row r="1" spans="2:39" x14ac:dyDescent="0.2">
      <c r="B1" s="3" t="str">
        <f>"Unitatea: "&amp;Firma&amp;"   CIF: "&amp;CIF</f>
        <v>Unitatea: Exemplu Instalații SRL   CIF: RO12345678</v>
      </c>
    </row>
    <row r="2" spans="2:39" ht="23.25" x14ac:dyDescent="0.35">
      <c r="B2" s="16" t="s">
        <v>83</v>
      </c>
    </row>
    <row r="4" spans="2:39" x14ac:dyDescent="0.2">
      <c r="B4" s="3" t="s">
        <v>36</v>
      </c>
      <c r="C4" s="17" t="s">
        <v>31</v>
      </c>
      <c r="D4" s="18">
        <v>2026</v>
      </c>
      <c r="F4" s="19" t="s">
        <v>37</v>
      </c>
      <c r="G4" s="21">
        <f>NETWORKDAYS($AL$4,EOMONTH($AL$4,0),Sarbatori)</f>
        <v>22</v>
      </c>
      <c r="I4" s="19" t="s">
        <v>38</v>
      </c>
      <c r="J4" s="22">
        <f>INDEX(PerSM,MATCH($AL$4,PerData,1))</f>
        <v>4325</v>
      </c>
      <c r="L4" s="19" t="s">
        <v>39</v>
      </c>
      <c r="M4" s="23" t="str">
        <f>INDEX(PerNetax,MATCH($AL$4,PerData,1))&amp;" / "&amp;INDEX(PerPlafon,MATCH($AL$4,PerData,1))&amp;" lei"</f>
        <v>200 / 4600 lei</v>
      </c>
      <c r="AL4" s="20">
        <f>DATE($D$4,MATCH($C$4,ListaLuniSP,0),1)</f>
        <v>46266</v>
      </c>
    </row>
    <row r="5" spans="2:39" x14ac:dyDescent="0.2">
      <c r="B5" s="14" t="s">
        <v>87</v>
      </c>
    </row>
    <row r="7" spans="2:39" ht="44.1" customHeight="1" x14ac:dyDescent="0.2">
      <c r="B7" s="10" t="s">
        <v>40</v>
      </c>
      <c r="C7" s="10" t="s">
        <v>41</v>
      </c>
      <c r="D7" s="10" t="s">
        <v>42</v>
      </c>
      <c r="E7" s="10" t="s">
        <v>43</v>
      </c>
      <c r="F7" s="10" t="s">
        <v>44</v>
      </c>
      <c r="G7" s="10" t="s">
        <v>45</v>
      </c>
      <c r="H7" s="10" t="s">
        <v>46</v>
      </c>
      <c r="I7" s="10" t="s">
        <v>47</v>
      </c>
      <c r="J7" s="10" t="s">
        <v>48</v>
      </c>
      <c r="K7" s="10" t="s">
        <v>49</v>
      </c>
      <c r="L7" s="10" t="s">
        <v>50</v>
      </c>
      <c r="M7" s="10" t="s">
        <v>51</v>
      </c>
      <c r="N7" s="10" t="s">
        <v>52</v>
      </c>
      <c r="O7" s="10" t="s">
        <v>53</v>
      </c>
      <c r="P7" s="10" t="s">
        <v>54</v>
      </c>
      <c r="Q7" s="10" t="s">
        <v>55</v>
      </c>
      <c r="R7" s="10" t="s">
        <v>56</v>
      </c>
      <c r="S7" s="10" t="s">
        <v>15</v>
      </c>
      <c r="T7" s="10" t="s">
        <v>57</v>
      </c>
      <c r="U7" s="10" t="s">
        <v>58</v>
      </c>
      <c r="V7" s="10" t="s">
        <v>59</v>
      </c>
      <c r="W7" s="10" t="s">
        <v>60</v>
      </c>
      <c r="X7" s="10" t="s">
        <v>61</v>
      </c>
      <c r="Y7" s="10" t="s">
        <v>62</v>
      </c>
      <c r="Z7" s="10" t="s">
        <v>63</v>
      </c>
      <c r="AA7" s="10" t="s">
        <v>64</v>
      </c>
      <c r="AB7" s="10" t="s">
        <v>65</v>
      </c>
      <c r="AC7" s="10" t="s">
        <v>66</v>
      </c>
      <c r="AD7" s="10" t="s">
        <v>84</v>
      </c>
      <c r="AE7" s="10" t="s">
        <v>85</v>
      </c>
      <c r="AF7" s="10" t="s">
        <v>86</v>
      </c>
    </row>
    <row r="8" spans="2:39" x14ac:dyDescent="0.2">
      <c r="B8" s="24">
        <f t="shared" ref="B8:B37" si="0">IF($C8="","",ROW()-7)</f>
        <v>1</v>
      </c>
      <c r="C8" s="13" t="s">
        <v>67</v>
      </c>
      <c r="D8" s="13" t="s">
        <v>68</v>
      </c>
      <c r="E8" s="12">
        <v>6500</v>
      </c>
      <c r="F8" s="25">
        <v>17</v>
      </c>
      <c r="G8" s="25">
        <v>5</v>
      </c>
      <c r="H8" s="25"/>
      <c r="I8" s="25"/>
      <c r="J8" s="26"/>
      <c r="K8" s="25">
        <v>1</v>
      </c>
      <c r="L8" s="25" t="s">
        <v>21</v>
      </c>
      <c r="M8" s="12">
        <v>1500</v>
      </c>
      <c r="N8" s="12"/>
      <c r="O8" s="24">
        <f t="shared" ref="O8:O37" si="1">IF($C8="","",$G$4-N(F8)-N(G8)-N(H8))</f>
        <v>0</v>
      </c>
      <c r="P8" s="27">
        <f t="shared" ref="P8:P37" si="2">IF($C8="","",ROUND(E8/$G$4*(N(F8)+N(G8)),0))</f>
        <v>6500</v>
      </c>
      <c r="Q8" s="27">
        <f t="shared" ref="Q8:Q37" si="3">IF($C8="","",ROUND(E8/($G$4*NormaZi)*N(I8)*(1+SporSupl),0))</f>
        <v>0</v>
      </c>
      <c r="R8" s="27">
        <f t="shared" ref="R8:R37" si="4">IF($C8="","",P8+Q8+N(J8))</f>
        <v>6500</v>
      </c>
      <c r="S8" s="27">
        <f t="shared" ref="S8:S37" si="5">IF($C8="","",IF(AND(E8=$J$4,R8&lt;=INDEX(PerPlafon,MATCH($AL$4,PerData,1)),L8="Da"),ROUND(INDEX(PerNetax,MATCH($AL$4,PerData,1))*MIN(1,(N(F8)+N(G8))/$G$4),0),0))</f>
        <v>0</v>
      </c>
      <c r="T8" s="27">
        <f t="shared" ref="T8:T37" si="6">IF($C8="","",R8-S8)</f>
        <v>6500</v>
      </c>
      <c r="U8" s="27">
        <f t="shared" ref="U8:U37" si="7">IF($C8="","",ROUND(T8*CotaCAS,0))</f>
        <v>1625</v>
      </c>
      <c r="V8" s="27">
        <f t="shared" ref="V8:V37" si="8">IF($C8="","",ROUND(T8*CotaCASS,0))</f>
        <v>650</v>
      </c>
      <c r="W8" s="27">
        <f t="shared" ref="W8:W37" si="9">IF($C8="","",IF(OR(L8&lt;&gt;"Da",R8&gt;$J$4+2000),0,ROUND($J$4*MAX(0,CHOOSE(MIN(N(K8),4)+1,0.2,0.25,0.3,0.35,0.45)-0.005*MAX(0,ROUNDUP((R8-$J$4)/50,0))),0)))</f>
        <v>0</v>
      </c>
      <c r="X8" s="27">
        <f t="shared" ref="X8:X37" si="10">IF($C8="","",MAX(0,T8-U8-V8-W8))</f>
        <v>4225</v>
      </c>
      <c r="Y8" s="27">
        <f t="shared" ref="Y8:Y37" si="11">IF($C8="","",ROUND(X8*CotaImp,0))</f>
        <v>423</v>
      </c>
      <c r="Z8" s="28">
        <f t="shared" ref="Z8:Z37" si="12">IF($C8="","",R8-U8-V8-Y8)</f>
        <v>3802</v>
      </c>
      <c r="AA8" s="28">
        <f t="shared" ref="AA8:AA37" si="13">IF($C8="","",Z8-N(M8)-N(N8))</f>
        <v>2302</v>
      </c>
      <c r="AB8" s="27">
        <f t="shared" ref="AB8:AB37" si="14">IF($C8="","",ROUND(T8*CotaCAM,0))</f>
        <v>146</v>
      </c>
      <c r="AC8" s="27">
        <f t="shared" ref="AC8:AC37" si="15">IF($C8="","",R8+AB8)</f>
        <v>6646</v>
      </c>
      <c r="AD8" s="27">
        <f>IF(N($AM8)=0,"",INDEX('Luna anterioară'!$Z$8:$Z$37,$AM8))</f>
        <v>3802</v>
      </c>
      <c r="AE8" s="31">
        <f t="shared" ref="AE8:AE37" si="16">IF(OR(AD8="",N(AD8)=0),"",Z8/AD8-1)</f>
        <v>0</v>
      </c>
      <c r="AF8" s="32" t="str">
        <f>IF($C8="","",TRIM(IF(O8&lt;0,"Zile peste zilele lucrătoare! ",IF(O8&gt;0,O8&amp;" zi(le) neplătite (absențe) – verifică pontajul. ",""))&amp;IF(N($AM8)=0,"Angajat nou față de luna anterioară. ",IF(AND(ISNUMBER(AE8),ABS(AE8)&gt;=PragDif),"Net "&amp;IF(AE8&gt;0,"+","")&amp;ROUND(AE8*100,0)&amp;"%: "&amp;IF(E8&lt;&gt;INDEX('Luna anterioară'!$E$8:$E$37,$AM8),"salariul de bază "&amp;TEXT(INDEX('Luna anterioară'!$E$8:$E$37,$AM8),"0")&amp;" → "&amp;TEXT(E8,"0")&amp;"; ","")&amp;IF(N(F8)+N(G8)&lt;&gt;N(INDEX('Luna anterioară'!$F$8:$F$37,$AM8))+N(INDEX('Luna anterioară'!$G$8:$G$37,$AM8)),"zile plătite "&amp;(N(INDEX('Luna anterioară'!$F$8:$F$37,$AM8))+N(INDEX('Luna anterioară'!$G$8:$G$37,$AM8)))&amp;" → "&amp;(N(F8)+N(G8))&amp;"; ","")&amp;IF(N(H8)&lt;&gt;N(INDEX('Luna anterioară'!$H$8:$H$37,$AM8)),"zile CM "&amp;N(INDEX('Luna anterioară'!$H$8:$H$37,$AM8))&amp;" → "&amp;N(H8)&amp;"; ","")&amp;IF(N(I8)&lt;&gt;N(INDEX('Luna anterioară'!$I$8:$I$37,$AM8)),"ore supl. "&amp;N(INDEX('Luna anterioară'!$I$8:$I$37,$AM8))&amp;" → "&amp;N(I8)&amp;"; ","")&amp;IF(N(J8)&lt;&gt;N(INDEX('Luna anterioară'!$J$8:$J$37,$AM8)),"prime "&amp;N(INDEX('Luna anterioară'!$J$8:$J$37,$AM8))&amp;" → "&amp;N(J8)&amp;"; ","")&amp;IF(N(K8)&lt;&gt;N(INDEX('Luna anterioară'!$K$8:$K$37,$AM8)),"persoane în întreținere "&amp;N(INDEX('Luna anterioară'!$K$8:$K$37,$AM8))&amp;" → "&amp;N(K8)&amp;"; ",""),""))))</f>
        <v/>
      </c>
      <c r="AM8" s="1">
        <f>IF($C8="","",IFERROR(MATCH($C8,'Luna anterioară'!$C$8:$C$37,0),""))</f>
        <v>1</v>
      </c>
    </row>
    <row r="9" spans="2:39" x14ac:dyDescent="0.2">
      <c r="B9" s="24">
        <f t="shared" si="0"/>
        <v>2</v>
      </c>
      <c r="C9" s="13" t="s">
        <v>69</v>
      </c>
      <c r="D9" s="13" t="s">
        <v>70</v>
      </c>
      <c r="E9" s="12">
        <v>5200</v>
      </c>
      <c r="F9" s="25">
        <v>22</v>
      </c>
      <c r="G9" s="25"/>
      <c r="H9" s="25"/>
      <c r="I9" s="25">
        <v>2</v>
      </c>
      <c r="J9" s="26">
        <v>300</v>
      </c>
      <c r="K9" s="25">
        <v>2</v>
      </c>
      <c r="L9" s="25" t="s">
        <v>21</v>
      </c>
      <c r="M9" s="12">
        <v>1000</v>
      </c>
      <c r="N9" s="12"/>
      <c r="O9" s="24">
        <f t="shared" si="1"/>
        <v>0</v>
      </c>
      <c r="P9" s="27">
        <f t="shared" si="2"/>
        <v>5200</v>
      </c>
      <c r="Q9" s="27">
        <f t="shared" si="3"/>
        <v>103</v>
      </c>
      <c r="R9" s="27">
        <f t="shared" si="4"/>
        <v>5603</v>
      </c>
      <c r="S9" s="27">
        <f t="shared" si="5"/>
        <v>0</v>
      </c>
      <c r="T9" s="27">
        <f t="shared" si="6"/>
        <v>5603</v>
      </c>
      <c r="U9" s="27">
        <f t="shared" si="7"/>
        <v>1401</v>
      </c>
      <c r="V9" s="27">
        <f t="shared" si="8"/>
        <v>560</v>
      </c>
      <c r="W9" s="27">
        <f t="shared" si="9"/>
        <v>735</v>
      </c>
      <c r="X9" s="27">
        <f t="shared" si="10"/>
        <v>2907</v>
      </c>
      <c r="Y9" s="27">
        <f t="shared" si="11"/>
        <v>291</v>
      </c>
      <c r="Z9" s="28">
        <f t="shared" si="12"/>
        <v>3351</v>
      </c>
      <c r="AA9" s="28">
        <f t="shared" si="13"/>
        <v>2351</v>
      </c>
      <c r="AB9" s="27">
        <f t="shared" si="14"/>
        <v>126</v>
      </c>
      <c r="AC9" s="27">
        <f t="shared" si="15"/>
        <v>5729</v>
      </c>
      <c r="AD9" s="27">
        <f>IF(N($AM9)=0,"",INDEX('Luna anterioară'!$Z$8:$Z$37,$AM9))</f>
        <v>3133</v>
      </c>
      <c r="AE9" s="31">
        <f t="shared" si="16"/>
        <v>6.9581870411745905E-2</v>
      </c>
      <c r="AF9" s="32" t="str">
        <f>IF($C9="","",TRIM(IF(O9&lt;0,"Zile peste zilele lucrătoare! ",IF(O9&gt;0,O9&amp;" zi(le) neplătite (absențe) – verifică pontajul. ",""))&amp;IF(N($AM9)=0,"Angajat nou față de luna anterioară. ",IF(AND(ISNUMBER(AE9),ABS(AE9)&gt;=PragDif),"Net "&amp;IF(AE9&gt;0,"+","")&amp;ROUND(AE9*100,0)&amp;"%: "&amp;IF(E9&lt;&gt;INDEX('Luna anterioară'!$E$8:$E$37,$AM9),"salariul de bază "&amp;TEXT(INDEX('Luna anterioară'!$E$8:$E$37,$AM9),"0")&amp;" → "&amp;TEXT(E9,"0")&amp;"; ","")&amp;IF(N(F9)+N(G9)&lt;&gt;N(INDEX('Luna anterioară'!$F$8:$F$37,$AM9))+N(INDEX('Luna anterioară'!$G$8:$G$37,$AM9)),"zile plătite "&amp;(N(INDEX('Luna anterioară'!$F$8:$F$37,$AM9))+N(INDEX('Luna anterioară'!$G$8:$G$37,$AM9)))&amp;" → "&amp;(N(F9)+N(G9))&amp;"; ","")&amp;IF(N(H9)&lt;&gt;N(INDEX('Luna anterioară'!$H$8:$H$37,$AM9)),"zile CM "&amp;N(INDEX('Luna anterioară'!$H$8:$H$37,$AM9))&amp;" → "&amp;N(H9)&amp;"; ","")&amp;IF(N(I9)&lt;&gt;N(INDEX('Luna anterioară'!$I$8:$I$37,$AM9)),"ore supl. "&amp;N(INDEX('Luna anterioară'!$I$8:$I$37,$AM9))&amp;" → "&amp;N(I9)&amp;"; ","")&amp;IF(N(J9)&lt;&gt;N(INDEX('Luna anterioară'!$J$8:$J$37,$AM9)),"prime "&amp;N(INDEX('Luna anterioară'!$J$8:$J$37,$AM9))&amp;" → "&amp;N(J9)&amp;"; ","")&amp;IF(N(K9)&lt;&gt;N(INDEX('Luna anterioară'!$K$8:$K$37,$AM9)),"persoane în întreținere "&amp;N(INDEX('Luna anterioară'!$K$8:$K$37,$AM9))&amp;" → "&amp;N(K9)&amp;"; ",""),""))))</f>
        <v/>
      </c>
      <c r="AM9" s="1">
        <f>IF($C9="","",IFERROR(MATCH($C9,'Luna anterioară'!$C$8:$C$37,0),""))</f>
        <v>2</v>
      </c>
    </row>
    <row r="10" spans="2:39" x14ac:dyDescent="0.2">
      <c r="B10" s="24">
        <f t="shared" si="0"/>
        <v>3</v>
      </c>
      <c r="C10" s="13" t="s">
        <v>71</v>
      </c>
      <c r="D10" s="13" t="s">
        <v>72</v>
      </c>
      <c r="E10" s="12">
        <v>4800</v>
      </c>
      <c r="F10" s="25">
        <v>22</v>
      </c>
      <c r="G10" s="25"/>
      <c r="H10" s="25"/>
      <c r="I10" s="25">
        <v>9</v>
      </c>
      <c r="J10" s="26">
        <v>900</v>
      </c>
      <c r="K10" s="25"/>
      <c r="L10" s="25" t="s">
        <v>21</v>
      </c>
      <c r="M10" s="12">
        <v>1000</v>
      </c>
      <c r="N10" s="12"/>
      <c r="O10" s="24">
        <f t="shared" si="1"/>
        <v>0</v>
      </c>
      <c r="P10" s="27">
        <f t="shared" si="2"/>
        <v>4800</v>
      </c>
      <c r="Q10" s="27">
        <f t="shared" si="3"/>
        <v>430</v>
      </c>
      <c r="R10" s="27">
        <f t="shared" si="4"/>
        <v>6130</v>
      </c>
      <c r="S10" s="27">
        <f t="shared" si="5"/>
        <v>0</v>
      </c>
      <c r="T10" s="27">
        <f t="shared" si="6"/>
        <v>6130</v>
      </c>
      <c r="U10" s="27">
        <f t="shared" si="7"/>
        <v>1533</v>
      </c>
      <c r="V10" s="27">
        <f t="shared" si="8"/>
        <v>613</v>
      </c>
      <c r="W10" s="27">
        <f t="shared" si="9"/>
        <v>65</v>
      </c>
      <c r="X10" s="27">
        <f t="shared" si="10"/>
        <v>3919</v>
      </c>
      <c r="Y10" s="27">
        <f t="shared" si="11"/>
        <v>392</v>
      </c>
      <c r="Z10" s="28">
        <f t="shared" si="12"/>
        <v>3592</v>
      </c>
      <c r="AA10" s="28">
        <f t="shared" si="13"/>
        <v>2592</v>
      </c>
      <c r="AB10" s="27">
        <f t="shared" si="14"/>
        <v>138</v>
      </c>
      <c r="AC10" s="27">
        <f t="shared" si="15"/>
        <v>6268</v>
      </c>
      <c r="AD10" s="27">
        <f>IF(N($AM10)=0,"",INDEX('Luna anterioară'!$Z$8:$Z$37,$AM10))</f>
        <v>3306</v>
      </c>
      <c r="AE10" s="31">
        <f t="shared" si="16"/>
        <v>8.6509376890502088E-2</v>
      </c>
      <c r="AF10" s="32" t="str">
        <f>IF($C10="","",TRIM(IF(O10&lt;0,"Zile peste zilele lucrătoare! ",IF(O10&gt;0,O10&amp;" zi(le) neplătite (absențe) – verifică pontajul. ",""))&amp;IF(N($AM10)=0,"Angajat nou față de luna anterioară. ",IF(AND(ISNUMBER(AE10),ABS(AE10)&gt;=PragDif),"Net "&amp;IF(AE10&gt;0,"+","")&amp;ROUND(AE10*100,0)&amp;"%: "&amp;IF(E10&lt;&gt;INDEX('Luna anterioară'!$E$8:$E$37,$AM10),"salariul de bază "&amp;TEXT(INDEX('Luna anterioară'!$E$8:$E$37,$AM10),"0")&amp;" → "&amp;TEXT(E10,"0")&amp;"; ","")&amp;IF(N(F10)+N(G10)&lt;&gt;N(INDEX('Luna anterioară'!$F$8:$F$37,$AM10))+N(INDEX('Luna anterioară'!$G$8:$G$37,$AM10)),"zile plătite "&amp;(N(INDEX('Luna anterioară'!$F$8:$F$37,$AM10))+N(INDEX('Luna anterioară'!$G$8:$G$37,$AM10)))&amp;" → "&amp;(N(F10)+N(G10))&amp;"; ","")&amp;IF(N(H10)&lt;&gt;N(INDEX('Luna anterioară'!$H$8:$H$37,$AM10)),"zile CM "&amp;N(INDEX('Luna anterioară'!$H$8:$H$37,$AM10))&amp;" → "&amp;N(H10)&amp;"; ","")&amp;IF(N(I10)&lt;&gt;N(INDEX('Luna anterioară'!$I$8:$I$37,$AM10)),"ore supl. "&amp;N(INDEX('Luna anterioară'!$I$8:$I$37,$AM10))&amp;" → "&amp;N(I10)&amp;"; ","")&amp;IF(N(J10)&lt;&gt;N(INDEX('Luna anterioară'!$J$8:$J$37,$AM10)),"prime "&amp;N(INDEX('Luna anterioară'!$J$8:$J$37,$AM10))&amp;" → "&amp;N(J10)&amp;"; ","")&amp;IF(N(K10)&lt;&gt;N(INDEX('Luna anterioară'!$K$8:$K$37,$AM10)),"persoane în întreținere "&amp;N(INDEX('Luna anterioară'!$K$8:$K$37,$AM10))&amp;" → "&amp;N(K10)&amp;"; ",""),""))))</f>
        <v/>
      </c>
      <c r="AM10" s="1">
        <f>IF($C10="","",IFERROR(MATCH($C10,'Luna anterioară'!$C$8:$C$37,0),""))</f>
        <v>3</v>
      </c>
    </row>
    <row r="11" spans="2:39" x14ac:dyDescent="0.2">
      <c r="B11" s="24">
        <f t="shared" si="0"/>
        <v>4</v>
      </c>
      <c r="C11" s="13" t="s">
        <v>73</v>
      </c>
      <c r="D11" s="13" t="s">
        <v>70</v>
      </c>
      <c r="E11" s="12">
        <v>5000</v>
      </c>
      <c r="F11" s="25">
        <v>19</v>
      </c>
      <c r="G11" s="25"/>
      <c r="H11" s="25">
        <v>3</v>
      </c>
      <c r="I11" s="25"/>
      <c r="J11" s="26"/>
      <c r="K11" s="25"/>
      <c r="L11" s="25" t="s">
        <v>21</v>
      </c>
      <c r="M11" s="12">
        <v>1000</v>
      </c>
      <c r="N11" s="12"/>
      <c r="O11" s="24">
        <f t="shared" si="1"/>
        <v>0</v>
      </c>
      <c r="P11" s="27">
        <f t="shared" si="2"/>
        <v>4318</v>
      </c>
      <c r="Q11" s="27">
        <f t="shared" si="3"/>
        <v>0</v>
      </c>
      <c r="R11" s="27">
        <f t="shared" si="4"/>
        <v>4318</v>
      </c>
      <c r="S11" s="27">
        <f t="shared" si="5"/>
        <v>0</v>
      </c>
      <c r="T11" s="27">
        <f t="shared" si="6"/>
        <v>4318</v>
      </c>
      <c r="U11" s="27">
        <f t="shared" si="7"/>
        <v>1080</v>
      </c>
      <c r="V11" s="27">
        <f t="shared" si="8"/>
        <v>432</v>
      </c>
      <c r="W11" s="27">
        <f t="shared" si="9"/>
        <v>865</v>
      </c>
      <c r="X11" s="27">
        <f t="shared" si="10"/>
        <v>1941</v>
      </c>
      <c r="Y11" s="27">
        <f t="shared" si="11"/>
        <v>194</v>
      </c>
      <c r="Z11" s="28">
        <f t="shared" si="12"/>
        <v>2612</v>
      </c>
      <c r="AA11" s="28">
        <f t="shared" si="13"/>
        <v>1612</v>
      </c>
      <c r="AB11" s="27">
        <f t="shared" si="14"/>
        <v>97</v>
      </c>
      <c r="AC11" s="27">
        <f t="shared" si="15"/>
        <v>4415</v>
      </c>
      <c r="AD11" s="27">
        <f>IF(N($AM11)=0,"",INDEX('Luna anterioară'!$Z$8:$Z$37,$AM11))</f>
        <v>2981</v>
      </c>
      <c r="AE11" s="31">
        <f t="shared" si="16"/>
        <v>-0.12378396511237844</v>
      </c>
      <c r="AF11" s="32" t="str">
        <f>IF($C11="","",TRIM(IF(O11&lt;0,"Zile peste zilele lucrătoare! ",IF(O11&gt;0,O11&amp;" zi(le) neplătite (absențe) – verifică pontajul. ",""))&amp;IF(N($AM11)=0,"Angajat nou față de luna anterioară. ",IF(AND(ISNUMBER(AE11),ABS(AE11)&gt;=PragDif),"Net "&amp;IF(AE11&gt;0,"+","")&amp;ROUND(AE11*100,0)&amp;"%: "&amp;IF(E11&lt;&gt;INDEX('Luna anterioară'!$E$8:$E$37,$AM11),"salariul de bază "&amp;TEXT(INDEX('Luna anterioară'!$E$8:$E$37,$AM11),"0")&amp;" → "&amp;TEXT(E11,"0")&amp;"; ","")&amp;IF(N(F11)+N(G11)&lt;&gt;N(INDEX('Luna anterioară'!$F$8:$F$37,$AM11))+N(INDEX('Luna anterioară'!$G$8:$G$37,$AM11)),"zile plătite "&amp;(N(INDEX('Luna anterioară'!$F$8:$F$37,$AM11))+N(INDEX('Luna anterioară'!$G$8:$G$37,$AM11)))&amp;" → "&amp;(N(F11)+N(G11))&amp;"; ","")&amp;IF(N(H11)&lt;&gt;N(INDEX('Luna anterioară'!$H$8:$H$37,$AM11)),"zile CM "&amp;N(INDEX('Luna anterioară'!$H$8:$H$37,$AM11))&amp;" → "&amp;N(H11)&amp;"; ","")&amp;IF(N(I11)&lt;&gt;N(INDEX('Luna anterioară'!$I$8:$I$37,$AM11)),"ore supl. "&amp;N(INDEX('Luna anterioară'!$I$8:$I$37,$AM11))&amp;" → "&amp;N(I11)&amp;"; ","")&amp;IF(N(J11)&lt;&gt;N(INDEX('Luna anterioară'!$J$8:$J$37,$AM11)),"prime "&amp;N(INDEX('Luna anterioară'!$J$8:$J$37,$AM11))&amp;" → "&amp;N(J11)&amp;"; ","")&amp;IF(N(K11)&lt;&gt;N(INDEX('Luna anterioară'!$K$8:$K$37,$AM11)),"persoane în întreținere "&amp;N(INDEX('Luna anterioară'!$K$8:$K$37,$AM11))&amp;" → "&amp;N(K11)&amp;"; ",""),""))))</f>
        <v>Net -12%: zile plătite 21 → 19; zile CM 0 → 3;</v>
      </c>
      <c r="AM11" s="1">
        <f>IF($C11="","",IFERROR(MATCH($C11,'Luna anterioară'!$C$8:$C$37,0),""))</f>
        <v>4</v>
      </c>
    </row>
    <row r="12" spans="2:39" x14ac:dyDescent="0.2">
      <c r="B12" s="24">
        <f t="shared" si="0"/>
        <v>5</v>
      </c>
      <c r="C12" s="13" t="s">
        <v>74</v>
      </c>
      <c r="D12" s="13" t="s">
        <v>75</v>
      </c>
      <c r="E12" s="12">
        <v>4325</v>
      </c>
      <c r="F12" s="25">
        <v>22</v>
      </c>
      <c r="G12" s="25"/>
      <c r="H12" s="25"/>
      <c r="I12" s="25">
        <v>4</v>
      </c>
      <c r="J12" s="26"/>
      <c r="K12" s="25">
        <v>1</v>
      </c>
      <c r="L12" s="25" t="s">
        <v>21</v>
      </c>
      <c r="M12" s="12"/>
      <c r="N12" s="12"/>
      <c r="O12" s="24">
        <f t="shared" si="1"/>
        <v>0</v>
      </c>
      <c r="P12" s="27">
        <f t="shared" si="2"/>
        <v>4325</v>
      </c>
      <c r="Q12" s="27">
        <f t="shared" si="3"/>
        <v>172</v>
      </c>
      <c r="R12" s="27">
        <f t="shared" si="4"/>
        <v>4497</v>
      </c>
      <c r="S12" s="27">
        <f t="shared" si="5"/>
        <v>200</v>
      </c>
      <c r="T12" s="27">
        <f t="shared" si="6"/>
        <v>4297</v>
      </c>
      <c r="U12" s="27">
        <f t="shared" si="7"/>
        <v>1074</v>
      </c>
      <c r="V12" s="27">
        <f t="shared" si="8"/>
        <v>430</v>
      </c>
      <c r="W12" s="27">
        <f t="shared" si="9"/>
        <v>995</v>
      </c>
      <c r="X12" s="27">
        <f t="shared" si="10"/>
        <v>1798</v>
      </c>
      <c r="Y12" s="27">
        <f t="shared" si="11"/>
        <v>180</v>
      </c>
      <c r="Z12" s="28">
        <f t="shared" si="12"/>
        <v>2813</v>
      </c>
      <c r="AA12" s="28">
        <f t="shared" si="13"/>
        <v>2813</v>
      </c>
      <c r="AB12" s="27">
        <f t="shared" si="14"/>
        <v>97</v>
      </c>
      <c r="AC12" s="27">
        <f t="shared" si="15"/>
        <v>4594</v>
      </c>
      <c r="AD12" s="27">
        <f>IF(N($AM12)=0,"",INDEX('Luna anterioară'!$Z$8:$Z$37,$AM12))</f>
        <v>2721</v>
      </c>
      <c r="AE12" s="31">
        <f t="shared" si="16"/>
        <v>3.3811098860712985E-2</v>
      </c>
      <c r="AF12" s="32" t="str">
        <f>IF($C12="","",TRIM(IF(O12&lt;0,"Zile peste zilele lucrătoare! ",IF(O12&gt;0,O12&amp;" zi(le) neplătite (absențe) – verifică pontajul. ",""))&amp;IF(N($AM12)=0,"Angajat nou față de luna anterioară. ",IF(AND(ISNUMBER(AE12),ABS(AE12)&gt;=PragDif),"Net "&amp;IF(AE12&gt;0,"+","")&amp;ROUND(AE12*100,0)&amp;"%: "&amp;IF(E12&lt;&gt;INDEX('Luna anterioară'!$E$8:$E$37,$AM12),"salariul de bază "&amp;TEXT(INDEX('Luna anterioară'!$E$8:$E$37,$AM12),"0")&amp;" → "&amp;TEXT(E12,"0")&amp;"; ","")&amp;IF(N(F12)+N(G12)&lt;&gt;N(INDEX('Luna anterioară'!$F$8:$F$37,$AM12))+N(INDEX('Luna anterioară'!$G$8:$G$37,$AM12)),"zile plătite "&amp;(N(INDEX('Luna anterioară'!$F$8:$F$37,$AM12))+N(INDEX('Luna anterioară'!$G$8:$G$37,$AM12)))&amp;" → "&amp;(N(F12)+N(G12))&amp;"; ","")&amp;IF(N(H12)&lt;&gt;N(INDEX('Luna anterioară'!$H$8:$H$37,$AM12)),"zile CM "&amp;N(INDEX('Luna anterioară'!$H$8:$H$37,$AM12))&amp;" → "&amp;N(H12)&amp;"; ","")&amp;IF(N(I12)&lt;&gt;N(INDEX('Luna anterioară'!$I$8:$I$37,$AM12)),"ore supl. "&amp;N(INDEX('Luna anterioară'!$I$8:$I$37,$AM12))&amp;" → "&amp;N(I12)&amp;"; ","")&amp;IF(N(J12)&lt;&gt;N(INDEX('Luna anterioară'!$J$8:$J$37,$AM12)),"prime "&amp;N(INDEX('Luna anterioară'!$J$8:$J$37,$AM12))&amp;" → "&amp;N(J12)&amp;"; ","")&amp;IF(N(K12)&lt;&gt;N(INDEX('Luna anterioară'!$K$8:$K$37,$AM12)),"persoane în întreținere "&amp;N(INDEX('Luna anterioară'!$K$8:$K$37,$AM12))&amp;" → "&amp;N(K12)&amp;"; ",""),""))))</f>
        <v/>
      </c>
      <c r="AM12" s="1">
        <f>IF($C12="","",IFERROR(MATCH($C12,'Luna anterioară'!$C$8:$C$37,0),""))</f>
        <v>5</v>
      </c>
    </row>
    <row r="13" spans="2:39" x14ac:dyDescent="0.2">
      <c r="B13" s="24">
        <f t="shared" si="0"/>
        <v>6</v>
      </c>
      <c r="C13" s="13" t="s">
        <v>76</v>
      </c>
      <c r="D13" s="13" t="s">
        <v>77</v>
      </c>
      <c r="E13" s="12">
        <v>4600</v>
      </c>
      <c r="F13" s="25">
        <v>21</v>
      </c>
      <c r="G13" s="25"/>
      <c r="H13" s="25"/>
      <c r="I13" s="25">
        <v>4</v>
      </c>
      <c r="J13" s="26"/>
      <c r="K13" s="25">
        <v>3</v>
      </c>
      <c r="L13" s="25" t="s">
        <v>21</v>
      </c>
      <c r="M13" s="12">
        <v>1000</v>
      </c>
      <c r="N13" s="12">
        <v>350</v>
      </c>
      <c r="O13" s="24">
        <f t="shared" si="1"/>
        <v>1</v>
      </c>
      <c r="P13" s="27">
        <f t="shared" si="2"/>
        <v>4391</v>
      </c>
      <c r="Q13" s="27">
        <f t="shared" si="3"/>
        <v>183</v>
      </c>
      <c r="R13" s="27">
        <f t="shared" si="4"/>
        <v>4574</v>
      </c>
      <c r="S13" s="27">
        <f t="shared" si="5"/>
        <v>0</v>
      </c>
      <c r="T13" s="27">
        <f t="shared" si="6"/>
        <v>4574</v>
      </c>
      <c r="U13" s="27">
        <f t="shared" si="7"/>
        <v>1144</v>
      </c>
      <c r="V13" s="27">
        <f t="shared" si="8"/>
        <v>457</v>
      </c>
      <c r="W13" s="27">
        <f t="shared" si="9"/>
        <v>1406</v>
      </c>
      <c r="X13" s="27">
        <f t="shared" si="10"/>
        <v>1567</v>
      </c>
      <c r="Y13" s="27">
        <f t="shared" si="11"/>
        <v>157</v>
      </c>
      <c r="Z13" s="28">
        <f t="shared" si="12"/>
        <v>2816</v>
      </c>
      <c r="AA13" s="28">
        <f t="shared" si="13"/>
        <v>1466</v>
      </c>
      <c r="AB13" s="27">
        <f t="shared" si="14"/>
        <v>103</v>
      </c>
      <c r="AC13" s="27">
        <f t="shared" si="15"/>
        <v>4677</v>
      </c>
      <c r="AD13" s="27">
        <f>IF(N($AM13)=0,"",INDEX('Luna anterioară'!$Z$8:$Z$37,$AM13))</f>
        <v>2870</v>
      </c>
      <c r="AE13" s="31">
        <f t="shared" si="16"/>
        <v>-1.8815331010452963E-2</v>
      </c>
      <c r="AF13" s="32" t="str">
        <f>IF($C13="","",TRIM(IF(O13&lt;0,"Zile peste zilele lucrătoare! ",IF(O13&gt;0,O13&amp;" zi(le) neplătite (absențe) – verifică pontajul. ",""))&amp;IF(N($AM13)=0,"Angajat nou față de luna anterioară. ",IF(AND(ISNUMBER(AE13),ABS(AE13)&gt;=PragDif),"Net "&amp;IF(AE13&gt;0,"+","")&amp;ROUND(AE13*100,0)&amp;"%: "&amp;IF(E13&lt;&gt;INDEX('Luna anterioară'!$E$8:$E$37,$AM13),"salariul de bază "&amp;TEXT(INDEX('Luna anterioară'!$E$8:$E$37,$AM13),"0")&amp;" → "&amp;TEXT(E13,"0")&amp;"; ","")&amp;IF(N(F13)+N(G13)&lt;&gt;N(INDEX('Luna anterioară'!$F$8:$F$37,$AM13))+N(INDEX('Luna anterioară'!$G$8:$G$37,$AM13)),"zile plătite "&amp;(N(INDEX('Luna anterioară'!$F$8:$F$37,$AM13))+N(INDEX('Luna anterioară'!$G$8:$G$37,$AM13)))&amp;" → "&amp;(N(F13)+N(G13))&amp;"; ","")&amp;IF(N(H13)&lt;&gt;N(INDEX('Luna anterioară'!$H$8:$H$37,$AM13)),"zile CM "&amp;N(INDEX('Luna anterioară'!$H$8:$H$37,$AM13))&amp;" → "&amp;N(H13)&amp;"; ","")&amp;IF(N(I13)&lt;&gt;N(INDEX('Luna anterioară'!$I$8:$I$37,$AM13)),"ore supl. "&amp;N(INDEX('Luna anterioară'!$I$8:$I$37,$AM13))&amp;" → "&amp;N(I13)&amp;"; ","")&amp;IF(N(J13)&lt;&gt;N(INDEX('Luna anterioară'!$J$8:$J$37,$AM13)),"prime "&amp;N(INDEX('Luna anterioară'!$J$8:$J$37,$AM13))&amp;" → "&amp;N(J13)&amp;"; ","")&amp;IF(N(K13)&lt;&gt;N(INDEX('Luna anterioară'!$K$8:$K$37,$AM13)),"persoane în întreținere "&amp;N(INDEX('Luna anterioară'!$K$8:$K$37,$AM13))&amp;" → "&amp;N(K13)&amp;"; ",""),""))))</f>
        <v>1 zi(le) neplătite (absențe) – verifică pontajul.</v>
      </c>
      <c r="AM13" s="1">
        <f>IF($C13="","",IFERROR(MATCH($C13,'Luna anterioară'!$C$8:$C$37,0),""))</f>
        <v>6</v>
      </c>
    </row>
    <row r="14" spans="2:39" x14ac:dyDescent="0.2">
      <c r="B14" s="24" t="str">
        <f t="shared" si="0"/>
        <v/>
      </c>
      <c r="C14" s="13"/>
      <c r="D14" s="13"/>
      <c r="E14" s="12"/>
      <c r="F14" s="25"/>
      <c r="G14" s="25"/>
      <c r="H14" s="25"/>
      <c r="I14" s="25"/>
      <c r="J14" s="26"/>
      <c r="K14" s="25"/>
      <c r="L14" s="25"/>
      <c r="M14" s="12"/>
      <c r="N14" s="12"/>
      <c r="O14" s="24" t="str">
        <f t="shared" si="1"/>
        <v/>
      </c>
      <c r="P14" s="27" t="str">
        <f t="shared" si="2"/>
        <v/>
      </c>
      <c r="Q14" s="27" t="str">
        <f t="shared" si="3"/>
        <v/>
      </c>
      <c r="R14" s="27" t="str">
        <f t="shared" si="4"/>
        <v/>
      </c>
      <c r="S14" s="27" t="str">
        <f t="shared" si="5"/>
        <v/>
      </c>
      <c r="T14" s="27" t="str">
        <f t="shared" si="6"/>
        <v/>
      </c>
      <c r="U14" s="27" t="str">
        <f t="shared" si="7"/>
        <v/>
      </c>
      <c r="V14" s="27" t="str">
        <f t="shared" si="8"/>
        <v/>
      </c>
      <c r="W14" s="27" t="str">
        <f t="shared" si="9"/>
        <v/>
      </c>
      <c r="X14" s="27" t="str">
        <f t="shared" si="10"/>
        <v/>
      </c>
      <c r="Y14" s="27" t="str">
        <f t="shared" si="11"/>
        <v/>
      </c>
      <c r="Z14" s="28" t="str">
        <f t="shared" si="12"/>
        <v/>
      </c>
      <c r="AA14" s="28" t="str">
        <f t="shared" si="13"/>
        <v/>
      </c>
      <c r="AB14" s="27" t="str">
        <f t="shared" si="14"/>
        <v/>
      </c>
      <c r="AC14" s="27" t="str">
        <f t="shared" si="15"/>
        <v/>
      </c>
      <c r="AD14" s="27" t="str">
        <f>IF(N($AM14)=0,"",INDEX('Luna anterioară'!$Z$8:$Z$37,$AM14))</f>
        <v/>
      </c>
      <c r="AE14" s="31" t="str">
        <f t="shared" si="16"/>
        <v/>
      </c>
      <c r="AF14" s="32" t="str">
        <f>IF($C14="","",TRIM(IF(O14&lt;0,"Zile peste zilele lucrătoare! ",IF(O14&gt;0,O14&amp;" zi(le) neplătite (absențe) – verifică pontajul. ",""))&amp;IF(N($AM14)=0,"Angajat nou față de luna anterioară. ",IF(AND(ISNUMBER(AE14),ABS(AE14)&gt;=PragDif),"Net "&amp;IF(AE14&gt;0,"+","")&amp;ROUND(AE14*100,0)&amp;"%: "&amp;IF(E14&lt;&gt;INDEX('Luna anterioară'!$E$8:$E$37,$AM14),"salariul de bază "&amp;TEXT(INDEX('Luna anterioară'!$E$8:$E$37,$AM14),"0")&amp;" → "&amp;TEXT(E14,"0")&amp;"; ","")&amp;IF(N(F14)+N(G14)&lt;&gt;N(INDEX('Luna anterioară'!$F$8:$F$37,$AM14))+N(INDEX('Luna anterioară'!$G$8:$G$37,$AM14)),"zile plătite "&amp;(N(INDEX('Luna anterioară'!$F$8:$F$37,$AM14))+N(INDEX('Luna anterioară'!$G$8:$G$37,$AM14)))&amp;" → "&amp;(N(F14)+N(G14))&amp;"; ","")&amp;IF(N(H14)&lt;&gt;N(INDEX('Luna anterioară'!$H$8:$H$37,$AM14)),"zile CM "&amp;N(INDEX('Luna anterioară'!$H$8:$H$37,$AM14))&amp;" → "&amp;N(H14)&amp;"; ","")&amp;IF(N(I14)&lt;&gt;N(INDEX('Luna anterioară'!$I$8:$I$37,$AM14)),"ore supl. "&amp;N(INDEX('Luna anterioară'!$I$8:$I$37,$AM14))&amp;" → "&amp;N(I14)&amp;"; ","")&amp;IF(N(J14)&lt;&gt;N(INDEX('Luna anterioară'!$J$8:$J$37,$AM14)),"prime "&amp;N(INDEX('Luna anterioară'!$J$8:$J$37,$AM14))&amp;" → "&amp;N(J14)&amp;"; ","")&amp;IF(N(K14)&lt;&gt;N(INDEX('Luna anterioară'!$K$8:$K$37,$AM14)),"persoane în întreținere "&amp;N(INDEX('Luna anterioară'!$K$8:$K$37,$AM14))&amp;" → "&amp;N(K14)&amp;"; ",""),""))))</f>
        <v/>
      </c>
      <c r="AM14" s="1" t="str">
        <f>IF($C14="","",IFERROR(MATCH($C14,'Luna anterioară'!$C$8:$C$37,0),""))</f>
        <v/>
      </c>
    </row>
    <row r="15" spans="2:39" x14ac:dyDescent="0.2">
      <c r="B15" s="24" t="str">
        <f t="shared" si="0"/>
        <v/>
      </c>
      <c r="C15" s="13"/>
      <c r="D15" s="13"/>
      <c r="E15" s="12"/>
      <c r="F15" s="25"/>
      <c r="G15" s="25"/>
      <c r="H15" s="25"/>
      <c r="I15" s="25"/>
      <c r="J15" s="26"/>
      <c r="K15" s="25"/>
      <c r="L15" s="25"/>
      <c r="M15" s="12"/>
      <c r="N15" s="12"/>
      <c r="O15" s="24" t="str">
        <f t="shared" si="1"/>
        <v/>
      </c>
      <c r="P15" s="27" t="str">
        <f t="shared" si="2"/>
        <v/>
      </c>
      <c r="Q15" s="27" t="str">
        <f t="shared" si="3"/>
        <v/>
      </c>
      <c r="R15" s="27" t="str">
        <f t="shared" si="4"/>
        <v/>
      </c>
      <c r="S15" s="27" t="str">
        <f t="shared" si="5"/>
        <v/>
      </c>
      <c r="T15" s="27" t="str">
        <f t="shared" si="6"/>
        <v/>
      </c>
      <c r="U15" s="27" t="str">
        <f t="shared" si="7"/>
        <v/>
      </c>
      <c r="V15" s="27" t="str">
        <f t="shared" si="8"/>
        <v/>
      </c>
      <c r="W15" s="27" t="str">
        <f t="shared" si="9"/>
        <v/>
      </c>
      <c r="X15" s="27" t="str">
        <f t="shared" si="10"/>
        <v/>
      </c>
      <c r="Y15" s="27" t="str">
        <f t="shared" si="11"/>
        <v/>
      </c>
      <c r="Z15" s="28" t="str">
        <f t="shared" si="12"/>
        <v/>
      </c>
      <c r="AA15" s="28" t="str">
        <f t="shared" si="13"/>
        <v/>
      </c>
      <c r="AB15" s="27" t="str">
        <f t="shared" si="14"/>
        <v/>
      </c>
      <c r="AC15" s="27" t="str">
        <f t="shared" si="15"/>
        <v/>
      </c>
      <c r="AD15" s="27" t="str">
        <f>IF(N($AM15)=0,"",INDEX('Luna anterioară'!$Z$8:$Z$37,$AM15))</f>
        <v/>
      </c>
      <c r="AE15" s="31" t="str">
        <f t="shared" si="16"/>
        <v/>
      </c>
      <c r="AF15" s="32" t="str">
        <f>IF($C15="","",TRIM(IF(O15&lt;0,"Zile peste zilele lucrătoare! ",IF(O15&gt;0,O15&amp;" zi(le) neplătite (absențe) – verifică pontajul. ",""))&amp;IF(N($AM15)=0,"Angajat nou față de luna anterioară. ",IF(AND(ISNUMBER(AE15),ABS(AE15)&gt;=PragDif),"Net "&amp;IF(AE15&gt;0,"+","")&amp;ROUND(AE15*100,0)&amp;"%: "&amp;IF(E15&lt;&gt;INDEX('Luna anterioară'!$E$8:$E$37,$AM15),"salariul de bază "&amp;TEXT(INDEX('Luna anterioară'!$E$8:$E$37,$AM15),"0")&amp;" → "&amp;TEXT(E15,"0")&amp;"; ","")&amp;IF(N(F15)+N(G15)&lt;&gt;N(INDEX('Luna anterioară'!$F$8:$F$37,$AM15))+N(INDEX('Luna anterioară'!$G$8:$G$37,$AM15)),"zile plătite "&amp;(N(INDEX('Luna anterioară'!$F$8:$F$37,$AM15))+N(INDEX('Luna anterioară'!$G$8:$G$37,$AM15)))&amp;" → "&amp;(N(F15)+N(G15))&amp;"; ","")&amp;IF(N(H15)&lt;&gt;N(INDEX('Luna anterioară'!$H$8:$H$37,$AM15)),"zile CM "&amp;N(INDEX('Luna anterioară'!$H$8:$H$37,$AM15))&amp;" → "&amp;N(H15)&amp;"; ","")&amp;IF(N(I15)&lt;&gt;N(INDEX('Luna anterioară'!$I$8:$I$37,$AM15)),"ore supl. "&amp;N(INDEX('Luna anterioară'!$I$8:$I$37,$AM15))&amp;" → "&amp;N(I15)&amp;"; ","")&amp;IF(N(J15)&lt;&gt;N(INDEX('Luna anterioară'!$J$8:$J$37,$AM15)),"prime "&amp;N(INDEX('Luna anterioară'!$J$8:$J$37,$AM15))&amp;" → "&amp;N(J15)&amp;"; ","")&amp;IF(N(K15)&lt;&gt;N(INDEX('Luna anterioară'!$K$8:$K$37,$AM15)),"persoane în întreținere "&amp;N(INDEX('Luna anterioară'!$K$8:$K$37,$AM15))&amp;" → "&amp;N(K15)&amp;"; ",""),""))))</f>
        <v/>
      </c>
      <c r="AM15" s="1" t="str">
        <f>IF($C15="","",IFERROR(MATCH($C15,'Luna anterioară'!$C$8:$C$37,0),""))</f>
        <v/>
      </c>
    </row>
    <row r="16" spans="2:39" x14ac:dyDescent="0.2">
      <c r="B16" s="24" t="str">
        <f t="shared" si="0"/>
        <v/>
      </c>
      <c r="C16" s="13"/>
      <c r="D16" s="13"/>
      <c r="E16" s="12"/>
      <c r="F16" s="25"/>
      <c r="G16" s="25"/>
      <c r="H16" s="25"/>
      <c r="I16" s="25"/>
      <c r="J16" s="26"/>
      <c r="K16" s="25"/>
      <c r="L16" s="25"/>
      <c r="M16" s="12"/>
      <c r="N16" s="12"/>
      <c r="O16" s="24" t="str">
        <f t="shared" si="1"/>
        <v/>
      </c>
      <c r="P16" s="27" t="str">
        <f t="shared" si="2"/>
        <v/>
      </c>
      <c r="Q16" s="27" t="str">
        <f t="shared" si="3"/>
        <v/>
      </c>
      <c r="R16" s="27" t="str">
        <f t="shared" si="4"/>
        <v/>
      </c>
      <c r="S16" s="27" t="str">
        <f t="shared" si="5"/>
        <v/>
      </c>
      <c r="T16" s="27" t="str">
        <f t="shared" si="6"/>
        <v/>
      </c>
      <c r="U16" s="27" t="str">
        <f t="shared" si="7"/>
        <v/>
      </c>
      <c r="V16" s="27" t="str">
        <f t="shared" si="8"/>
        <v/>
      </c>
      <c r="W16" s="27" t="str">
        <f t="shared" si="9"/>
        <v/>
      </c>
      <c r="X16" s="27" t="str">
        <f t="shared" si="10"/>
        <v/>
      </c>
      <c r="Y16" s="27" t="str">
        <f t="shared" si="11"/>
        <v/>
      </c>
      <c r="Z16" s="28" t="str">
        <f t="shared" si="12"/>
        <v/>
      </c>
      <c r="AA16" s="28" t="str">
        <f t="shared" si="13"/>
        <v/>
      </c>
      <c r="AB16" s="27" t="str">
        <f t="shared" si="14"/>
        <v/>
      </c>
      <c r="AC16" s="27" t="str">
        <f t="shared" si="15"/>
        <v/>
      </c>
      <c r="AD16" s="27" t="str">
        <f>IF(N($AM16)=0,"",INDEX('Luna anterioară'!$Z$8:$Z$37,$AM16))</f>
        <v/>
      </c>
      <c r="AE16" s="31" t="str">
        <f t="shared" si="16"/>
        <v/>
      </c>
      <c r="AF16" s="32" t="str">
        <f>IF($C16="","",TRIM(IF(O16&lt;0,"Zile peste zilele lucrătoare! ",IF(O16&gt;0,O16&amp;" zi(le) neplătite (absențe) – verifică pontajul. ",""))&amp;IF(N($AM16)=0,"Angajat nou față de luna anterioară. ",IF(AND(ISNUMBER(AE16),ABS(AE16)&gt;=PragDif),"Net "&amp;IF(AE16&gt;0,"+","")&amp;ROUND(AE16*100,0)&amp;"%: "&amp;IF(E16&lt;&gt;INDEX('Luna anterioară'!$E$8:$E$37,$AM16),"salariul de bază "&amp;TEXT(INDEX('Luna anterioară'!$E$8:$E$37,$AM16),"0")&amp;" → "&amp;TEXT(E16,"0")&amp;"; ","")&amp;IF(N(F16)+N(G16)&lt;&gt;N(INDEX('Luna anterioară'!$F$8:$F$37,$AM16))+N(INDEX('Luna anterioară'!$G$8:$G$37,$AM16)),"zile plătite "&amp;(N(INDEX('Luna anterioară'!$F$8:$F$37,$AM16))+N(INDEX('Luna anterioară'!$G$8:$G$37,$AM16)))&amp;" → "&amp;(N(F16)+N(G16))&amp;"; ","")&amp;IF(N(H16)&lt;&gt;N(INDEX('Luna anterioară'!$H$8:$H$37,$AM16)),"zile CM "&amp;N(INDEX('Luna anterioară'!$H$8:$H$37,$AM16))&amp;" → "&amp;N(H16)&amp;"; ","")&amp;IF(N(I16)&lt;&gt;N(INDEX('Luna anterioară'!$I$8:$I$37,$AM16)),"ore supl. "&amp;N(INDEX('Luna anterioară'!$I$8:$I$37,$AM16))&amp;" → "&amp;N(I16)&amp;"; ","")&amp;IF(N(J16)&lt;&gt;N(INDEX('Luna anterioară'!$J$8:$J$37,$AM16)),"prime "&amp;N(INDEX('Luna anterioară'!$J$8:$J$37,$AM16))&amp;" → "&amp;N(J16)&amp;"; ","")&amp;IF(N(K16)&lt;&gt;N(INDEX('Luna anterioară'!$K$8:$K$37,$AM16)),"persoane în întreținere "&amp;N(INDEX('Luna anterioară'!$K$8:$K$37,$AM16))&amp;" → "&amp;N(K16)&amp;"; ",""),""))))</f>
        <v/>
      </c>
      <c r="AM16" s="1" t="str">
        <f>IF($C16="","",IFERROR(MATCH($C16,'Luna anterioară'!$C$8:$C$37,0),""))</f>
        <v/>
      </c>
    </row>
    <row r="17" spans="2:39" x14ac:dyDescent="0.2">
      <c r="B17" s="24" t="str">
        <f t="shared" si="0"/>
        <v/>
      </c>
      <c r="C17" s="13"/>
      <c r="D17" s="13"/>
      <c r="E17" s="12"/>
      <c r="F17" s="25"/>
      <c r="G17" s="25"/>
      <c r="H17" s="25"/>
      <c r="I17" s="25"/>
      <c r="J17" s="26"/>
      <c r="K17" s="25"/>
      <c r="L17" s="25"/>
      <c r="M17" s="12"/>
      <c r="N17" s="12"/>
      <c r="O17" s="24" t="str">
        <f t="shared" si="1"/>
        <v/>
      </c>
      <c r="P17" s="27" t="str">
        <f t="shared" si="2"/>
        <v/>
      </c>
      <c r="Q17" s="27" t="str">
        <f t="shared" si="3"/>
        <v/>
      </c>
      <c r="R17" s="27" t="str">
        <f t="shared" si="4"/>
        <v/>
      </c>
      <c r="S17" s="27" t="str">
        <f t="shared" si="5"/>
        <v/>
      </c>
      <c r="T17" s="27" t="str">
        <f t="shared" si="6"/>
        <v/>
      </c>
      <c r="U17" s="27" t="str">
        <f t="shared" si="7"/>
        <v/>
      </c>
      <c r="V17" s="27" t="str">
        <f t="shared" si="8"/>
        <v/>
      </c>
      <c r="W17" s="27" t="str">
        <f t="shared" si="9"/>
        <v/>
      </c>
      <c r="X17" s="27" t="str">
        <f t="shared" si="10"/>
        <v/>
      </c>
      <c r="Y17" s="27" t="str">
        <f t="shared" si="11"/>
        <v/>
      </c>
      <c r="Z17" s="28" t="str">
        <f t="shared" si="12"/>
        <v/>
      </c>
      <c r="AA17" s="28" t="str">
        <f t="shared" si="13"/>
        <v/>
      </c>
      <c r="AB17" s="27" t="str">
        <f t="shared" si="14"/>
        <v/>
      </c>
      <c r="AC17" s="27" t="str">
        <f t="shared" si="15"/>
        <v/>
      </c>
      <c r="AD17" s="27" t="str">
        <f>IF(N($AM17)=0,"",INDEX('Luna anterioară'!$Z$8:$Z$37,$AM17))</f>
        <v/>
      </c>
      <c r="AE17" s="31" t="str">
        <f t="shared" si="16"/>
        <v/>
      </c>
      <c r="AF17" s="32" t="str">
        <f>IF($C17="","",TRIM(IF(O17&lt;0,"Zile peste zilele lucrătoare! ",IF(O17&gt;0,O17&amp;" zi(le) neplătite (absențe) – verifică pontajul. ",""))&amp;IF(N($AM17)=0,"Angajat nou față de luna anterioară. ",IF(AND(ISNUMBER(AE17),ABS(AE17)&gt;=PragDif),"Net "&amp;IF(AE17&gt;0,"+","")&amp;ROUND(AE17*100,0)&amp;"%: "&amp;IF(E17&lt;&gt;INDEX('Luna anterioară'!$E$8:$E$37,$AM17),"salariul de bază "&amp;TEXT(INDEX('Luna anterioară'!$E$8:$E$37,$AM17),"0")&amp;" → "&amp;TEXT(E17,"0")&amp;"; ","")&amp;IF(N(F17)+N(G17)&lt;&gt;N(INDEX('Luna anterioară'!$F$8:$F$37,$AM17))+N(INDEX('Luna anterioară'!$G$8:$G$37,$AM17)),"zile plătite "&amp;(N(INDEX('Luna anterioară'!$F$8:$F$37,$AM17))+N(INDEX('Luna anterioară'!$G$8:$G$37,$AM17)))&amp;" → "&amp;(N(F17)+N(G17))&amp;"; ","")&amp;IF(N(H17)&lt;&gt;N(INDEX('Luna anterioară'!$H$8:$H$37,$AM17)),"zile CM "&amp;N(INDEX('Luna anterioară'!$H$8:$H$37,$AM17))&amp;" → "&amp;N(H17)&amp;"; ","")&amp;IF(N(I17)&lt;&gt;N(INDEX('Luna anterioară'!$I$8:$I$37,$AM17)),"ore supl. "&amp;N(INDEX('Luna anterioară'!$I$8:$I$37,$AM17))&amp;" → "&amp;N(I17)&amp;"; ","")&amp;IF(N(J17)&lt;&gt;N(INDEX('Luna anterioară'!$J$8:$J$37,$AM17)),"prime "&amp;N(INDEX('Luna anterioară'!$J$8:$J$37,$AM17))&amp;" → "&amp;N(J17)&amp;"; ","")&amp;IF(N(K17)&lt;&gt;N(INDEX('Luna anterioară'!$K$8:$K$37,$AM17)),"persoane în întreținere "&amp;N(INDEX('Luna anterioară'!$K$8:$K$37,$AM17))&amp;" → "&amp;N(K17)&amp;"; ",""),""))))</f>
        <v/>
      </c>
      <c r="AM17" s="1" t="str">
        <f>IF($C17="","",IFERROR(MATCH($C17,'Luna anterioară'!$C$8:$C$37,0),""))</f>
        <v/>
      </c>
    </row>
    <row r="18" spans="2:39" x14ac:dyDescent="0.2">
      <c r="B18" s="24" t="str">
        <f t="shared" si="0"/>
        <v/>
      </c>
      <c r="C18" s="13"/>
      <c r="D18" s="13"/>
      <c r="E18" s="12"/>
      <c r="F18" s="25"/>
      <c r="G18" s="25"/>
      <c r="H18" s="25"/>
      <c r="I18" s="25"/>
      <c r="J18" s="26"/>
      <c r="K18" s="25"/>
      <c r="L18" s="25"/>
      <c r="M18" s="12"/>
      <c r="N18" s="12"/>
      <c r="O18" s="24" t="str">
        <f t="shared" si="1"/>
        <v/>
      </c>
      <c r="P18" s="27" t="str">
        <f t="shared" si="2"/>
        <v/>
      </c>
      <c r="Q18" s="27" t="str">
        <f t="shared" si="3"/>
        <v/>
      </c>
      <c r="R18" s="27" t="str">
        <f t="shared" si="4"/>
        <v/>
      </c>
      <c r="S18" s="27" t="str">
        <f t="shared" si="5"/>
        <v/>
      </c>
      <c r="T18" s="27" t="str">
        <f t="shared" si="6"/>
        <v/>
      </c>
      <c r="U18" s="27" t="str">
        <f t="shared" si="7"/>
        <v/>
      </c>
      <c r="V18" s="27" t="str">
        <f t="shared" si="8"/>
        <v/>
      </c>
      <c r="W18" s="27" t="str">
        <f t="shared" si="9"/>
        <v/>
      </c>
      <c r="X18" s="27" t="str">
        <f t="shared" si="10"/>
        <v/>
      </c>
      <c r="Y18" s="27" t="str">
        <f t="shared" si="11"/>
        <v/>
      </c>
      <c r="Z18" s="28" t="str">
        <f t="shared" si="12"/>
        <v/>
      </c>
      <c r="AA18" s="28" t="str">
        <f t="shared" si="13"/>
        <v/>
      </c>
      <c r="AB18" s="27" t="str">
        <f t="shared" si="14"/>
        <v/>
      </c>
      <c r="AC18" s="27" t="str">
        <f t="shared" si="15"/>
        <v/>
      </c>
      <c r="AD18" s="27" t="str">
        <f>IF(N($AM18)=0,"",INDEX('Luna anterioară'!$Z$8:$Z$37,$AM18))</f>
        <v/>
      </c>
      <c r="AE18" s="31" t="str">
        <f t="shared" si="16"/>
        <v/>
      </c>
      <c r="AF18" s="32" t="str">
        <f>IF($C18="","",TRIM(IF(O18&lt;0,"Zile peste zilele lucrătoare! ",IF(O18&gt;0,O18&amp;" zi(le) neplătite (absențe) – verifică pontajul. ",""))&amp;IF(N($AM18)=0,"Angajat nou față de luna anterioară. ",IF(AND(ISNUMBER(AE18),ABS(AE18)&gt;=PragDif),"Net "&amp;IF(AE18&gt;0,"+","")&amp;ROUND(AE18*100,0)&amp;"%: "&amp;IF(E18&lt;&gt;INDEX('Luna anterioară'!$E$8:$E$37,$AM18),"salariul de bază "&amp;TEXT(INDEX('Luna anterioară'!$E$8:$E$37,$AM18),"0")&amp;" → "&amp;TEXT(E18,"0")&amp;"; ","")&amp;IF(N(F18)+N(G18)&lt;&gt;N(INDEX('Luna anterioară'!$F$8:$F$37,$AM18))+N(INDEX('Luna anterioară'!$G$8:$G$37,$AM18)),"zile plătite "&amp;(N(INDEX('Luna anterioară'!$F$8:$F$37,$AM18))+N(INDEX('Luna anterioară'!$G$8:$G$37,$AM18)))&amp;" → "&amp;(N(F18)+N(G18))&amp;"; ","")&amp;IF(N(H18)&lt;&gt;N(INDEX('Luna anterioară'!$H$8:$H$37,$AM18)),"zile CM "&amp;N(INDEX('Luna anterioară'!$H$8:$H$37,$AM18))&amp;" → "&amp;N(H18)&amp;"; ","")&amp;IF(N(I18)&lt;&gt;N(INDEX('Luna anterioară'!$I$8:$I$37,$AM18)),"ore supl. "&amp;N(INDEX('Luna anterioară'!$I$8:$I$37,$AM18))&amp;" → "&amp;N(I18)&amp;"; ","")&amp;IF(N(J18)&lt;&gt;N(INDEX('Luna anterioară'!$J$8:$J$37,$AM18)),"prime "&amp;N(INDEX('Luna anterioară'!$J$8:$J$37,$AM18))&amp;" → "&amp;N(J18)&amp;"; ","")&amp;IF(N(K18)&lt;&gt;N(INDEX('Luna anterioară'!$K$8:$K$37,$AM18)),"persoane în întreținere "&amp;N(INDEX('Luna anterioară'!$K$8:$K$37,$AM18))&amp;" → "&amp;N(K18)&amp;"; ",""),""))))</f>
        <v/>
      </c>
      <c r="AM18" s="1" t="str">
        <f>IF($C18="","",IFERROR(MATCH($C18,'Luna anterioară'!$C$8:$C$37,0),""))</f>
        <v/>
      </c>
    </row>
    <row r="19" spans="2:39" x14ac:dyDescent="0.2">
      <c r="B19" s="24" t="str">
        <f t="shared" si="0"/>
        <v/>
      </c>
      <c r="C19" s="13"/>
      <c r="D19" s="13"/>
      <c r="E19" s="12"/>
      <c r="F19" s="25"/>
      <c r="G19" s="25"/>
      <c r="H19" s="25"/>
      <c r="I19" s="25"/>
      <c r="J19" s="26"/>
      <c r="K19" s="25"/>
      <c r="L19" s="25"/>
      <c r="M19" s="12"/>
      <c r="N19" s="12"/>
      <c r="O19" s="24" t="str">
        <f t="shared" si="1"/>
        <v/>
      </c>
      <c r="P19" s="27" t="str">
        <f t="shared" si="2"/>
        <v/>
      </c>
      <c r="Q19" s="27" t="str">
        <f t="shared" si="3"/>
        <v/>
      </c>
      <c r="R19" s="27" t="str">
        <f t="shared" si="4"/>
        <v/>
      </c>
      <c r="S19" s="27" t="str">
        <f t="shared" si="5"/>
        <v/>
      </c>
      <c r="T19" s="27" t="str">
        <f t="shared" si="6"/>
        <v/>
      </c>
      <c r="U19" s="27" t="str">
        <f t="shared" si="7"/>
        <v/>
      </c>
      <c r="V19" s="27" t="str">
        <f t="shared" si="8"/>
        <v/>
      </c>
      <c r="W19" s="27" t="str">
        <f t="shared" si="9"/>
        <v/>
      </c>
      <c r="X19" s="27" t="str">
        <f t="shared" si="10"/>
        <v/>
      </c>
      <c r="Y19" s="27" t="str">
        <f t="shared" si="11"/>
        <v/>
      </c>
      <c r="Z19" s="28" t="str">
        <f t="shared" si="12"/>
        <v/>
      </c>
      <c r="AA19" s="28" t="str">
        <f t="shared" si="13"/>
        <v/>
      </c>
      <c r="AB19" s="27" t="str">
        <f t="shared" si="14"/>
        <v/>
      </c>
      <c r="AC19" s="27" t="str">
        <f t="shared" si="15"/>
        <v/>
      </c>
      <c r="AD19" s="27" t="str">
        <f>IF(N($AM19)=0,"",INDEX('Luna anterioară'!$Z$8:$Z$37,$AM19))</f>
        <v/>
      </c>
      <c r="AE19" s="31" t="str">
        <f t="shared" si="16"/>
        <v/>
      </c>
      <c r="AF19" s="32" t="str">
        <f>IF($C19="","",TRIM(IF(O19&lt;0,"Zile peste zilele lucrătoare! ",IF(O19&gt;0,O19&amp;" zi(le) neplătite (absențe) – verifică pontajul. ",""))&amp;IF(N($AM19)=0,"Angajat nou față de luna anterioară. ",IF(AND(ISNUMBER(AE19),ABS(AE19)&gt;=PragDif),"Net "&amp;IF(AE19&gt;0,"+","")&amp;ROUND(AE19*100,0)&amp;"%: "&amp;IF(E19&lt;&gt;INDEX('Luna anterioară'!$E$8:$E$37,$AM19),"salariul de bază "&amp;TEXT(INDEX('Luna anterioară'!$E$8:$E$37,$AM19),"0")&amp;" → "&amp;TEXT(E19,"0")&amp;"; ","")&amp;IF(N(F19)+N(G19)&lt;&gt;N(INDEX('Luna anterioară'!$F$8:$F$37,$AM19))+N(INDEX('Luna anterioară'!$G$8:$G$37,$AM19)),"zile plătite "&amp;(N(INDEX('Luna anterioară'!$F$8:$F$37,$AM19))+N(INDEX('Luna anterioară'!$G$8:$G$37,$AM19)))&amp;" → "&amp;(N(F19)+N(G19))&amp;"; ","")&amp;IF(N(H19)&lt;&gt;N(INDEX('Luna anterioară'!$H$8:$H$37,$AM19)),"zile CM "&amp;N(INDEX('Luna anterioară'!$H$8:$H$37,$AM19))&amp;" → "&amp;N(H19)&amp;"; ","")&amp;IF(N(I19)&lt;&gt;N(INDEX('Luna anterioară'!$I$8:$I$37,$AM19)),"ore supl. "&amp;N(INDEX('Luna anterioară'!$I$8:$I$37,$AM19))&amp;" → "&amp;N(I19)&amp;"; ","")&amp;IF(N(J19)&lt;&gt;N(INDEX('Luna anterioară'!$J$8:$J$37,$AM19)),"prime "&amp;N(INDEX('Luna anterioară'!$J$8:$J$37,$AM19))&amp;" → "&amp;N(J19)&amp;"; ","")&amp;IF(N(K19)&lt;&gt;N(INDEX('Luna anterioară'!$K$8:$K$37,$AM19)),"persoane în întreținere "&amp;N(INDEX('Luna anterioară'!$K$8:$K$37,$AM19))&amp;" → "&amp;N(K19)&amp;"; ",""),""))))</f>
        <v/>
      </c>
      <c r="AM19" s="1" t="str">
        <f>IF($C19="","",IFERROR(MATCH($C19,'Luna anterioară'!$C$8:$C$37,0),""))</f>
        <v/>
      </c>
    </row>
    <row r="20" spans="2:39" x14ac:dyDescent="0.2">
      <c r="B20" s="24" t="str">
        <f t="shared" si="0"/>
        <v/>
      </c>
      <c r="C20" s="13"/>
      <c r="D20" s="13"/>
      <c r="E20" s="12"/>
      <c r="F20" s="25"/>
      <c r="G20" s="25"/>
      <c r="H20" s="25"/>
      <c r="I20" s="25"/>
      <c r="J20" s="26"/>
      <c r="K20" s="25"/>
      <c r="L20" s="25"/>
      <c r="M20" s="12"/>
      <c r="N20" s="12"/>
      <c r="O20" s="24" t="str">
        <f t="shared" si="1"/>
        <v/>
      </c>
      <c r="P20" s="27" t="str">
        <f t="shared" si="2"/>
        <v/>
      </c>
      <c r="Q20" s="27" t="str">
        <f t="shared" si="3"/>
        <v/>
      </c>
      <c r="R20" s="27" t="str">
        <f t="shared" si="4"/>
        <v/>
      </c>
      <c r="S20" s="27" t="str">
        <f t="shared" si="5"/>
        <v/>
      </c>
      <c r="T20" s="27" t="str">
        <f t="shared" si="6"/>
        <v/>
      </c>
      <c r="U20" s="27" t="str">
        <f t="shared" si="7"/>
        <v/>
      </c>
      <c r="V20" s="27" t="str">
        <f t="shared" si="8"/>
        <v/>
      </c>
      <c r="W20" s="27" t="str">
        <f t="shared" si="9"/>
        <v/>
      </c>
      <c r="X20" s="27" t="str">
        <f t="shared" si="10"/>
        <v/>
      </c>
      <c r="Y20" s="27" t="str">
        <f t="shared" si="11"/>
        <v/>
      </c>
      <c r="Z20" s="28" t="str">
        <f t="shared" si="12"/>
        <v/>
      </c>
      <c r="AA20" s="28" t="str">
        <f t="shared" si="13"/>
        <v/>
      </c>
      <c r="AB20" s="27" t="str">
        <f t="shared" si="14"/>
        <v/>
      </c>
      <c r="AC20" s="27" t="str">
        <f t="shared" si="15"/>
        <v/>
      </c>
      <c r="AD20" s="27" t="str">
        <f>IF(N($AM20)=0,"",INDEX('Luna anterioară'!$Z$8:$Z$37,$AM20))</f>
        <v/>
      </c>
      <c r="AE20" s="31" t="str">
        <f t="shared" si="16"/>
        <v/>
      </c>
      <c r="AF20" s="32" t="str">
        <f>IF($C20="","",TRIM(IF(O20&lt;0,"Zile peste zilele lucrătoare! ",IF(O20&gt;0,O20&amp;" zi(le) neplătite (absențe) – verifică pontajul. ",""))&amp;IF(N($AM20)=0,"Angajat nou față de luna anterioară. ",IF(AND(ISNUMBER(AE20),ABS(AE20)&gt;=PragDif),"Net "&amp;IF(AE20&gt;0,"+","")&amp;ROUND(AE20*100,0)&amp;"%: "&amp;IF(E20&lt;&gt;INDEX('Luna anterioară'!$E$8:$E$37,$AM20),"salariul de bază "&amp;TEXT(INDEX('Luna anterioară'!$E$8:$E$37,$AM20),"0")&amp;" → "&amp;TEXT(E20,"0")&amp;"; ","")&amp;IF(N(F20)+N(G20)&lt;&gt;N(INDEX('Luna anterioară'!$F$8:$F$37,$AM20))+N(INDEX('Luna anterioară'!$G$8:$G$37,$AM20)),"zile plătite "&amp;(N(INDEX('Luna anterioară'!$F$8:$F$37,$AM20))+N(INDEX('Luna anterioară'!$G$8:$G$37,$AM20)))&amp;" → "&amp;(N(F20)+N(G20))&amp;"; ","")&amp;IF(N(H20)&lt;&gt;N(INDEX('Luna anterioară'!$H$8:$H$37,$AM20)),"zile CM "&amp;N(INDEX('Luna anterioară'!$H$8:$H$37,$AM20))&amp;" → "&amp;N(H20)&amp;"; ","")&amp;IF(N(I20)&lt;&gt;N(INDEX('Luna anterioară'!$I$8:$I$37,$AM20)),"ore supl. "&amp;N(INDEX('Luna anterioară'!$I$8:$I$37,$AM20))&amp;" → "&amp;N(I20)&amp;"; ","")&amp;IF(N(J20)&lt;&gt;N(INDEX('Luna anterioară'!$J$8:$J$37,$AM20)),"prime "&amp;N(INDEX('Luna anterioară'!$J$8:$J$37,$AM20))&amp;" → "&amp;N(J20)&amp;"; ","")&amp;IF(N(K20)&lt;&gt;N(INDEX('Luna anterioară'!$K$8:$K$37,$AM20)),"persoane în întreținere "&amp;N(INDEX('Luna anterioară'!$K$8:$K$37,$AM20))&amp;" → "&amp;N(K20)&amp;"; ",""),""))))</f>
        <v/>
      </c>
      <c r="AM20" s="1" t="str">
        <f>IF($C20="","",IFERROR(MATCH($C20,'Luna anterioară'!$C$8:$C$37,0),""))</f>
        <v/>
      </c>
    </row>
    <row r="21" spans="2:39" x14ac:dyDescent="0.2">
      <c r="B21" s="24" t="str">
        <f t="shared" si="0"/>
        <v/>
      </c>
      <c r="C21" s="13"/>
      <c r="D21" s="13"/>
      <c r="E21" s="12"/>
      <c r="F21" s="25"/>
      <c r="G21" s="25"/>
      <c r="H21" s="25"/>
      <c r="I21" s="25"/>
      <c r="J21" s="26"/>
      <c r="K21" s="25"/>
      <c r="L21" s="25"/>
      <c r="M21" s="12"/>
      <c r="N21" s="12"/>
      <c r="O21" s="24" t="str">
        <f t="shared" si="1"/>
        <v/>
      </c>
      <c r="P21" s="27" t="str">
        <f t="shared" si="2"/>
        <v/>
      </c>
      <c r="Q21" s="27" t="str">
        <f t="shared" si="3"/>
        <v/>
      </c>
      <c r="R21" s="27" t="str">
        <f t="shared" si="4"/>
        <v/>
      </c>
      <c r="S21" s="27" t="str">
        <f t="shared" si="5"/>
        <v/>
      </c>
      <c r="T21" s="27" t="str">
        <f t="shared" si="6"/>
        <v/>
      </c>
      <c r="U21" s="27" t="str">
        <f t="shared" si="7"/>
        <v/>
      </c>
      <c r="V21" s="27" t="str">
        <f t="shared" si="8"/>
        <v/>
      </c>
      <c r="W21" s="27" t="str">
        <f t="shared" si="9"/>
        <v/>
      </c>
      <c r="X21" s="27" t="str">
        <f t="shared" si="10"/>
        <v/>
      </c>
      <c r="Y21" s="27" t="str">
        <f t="shared" si="11"/>
        <v/>
      </c>
      <c r="Z21" s="28" t="str">
        <f t="shared" si="12"/>
        <v/>
      </c>
      <c r="AA21" s="28" t="str">
        <f t="shared" si="13"/>
        <v/>
      </c>
      <c r="AB21" s="27" t="str">
        <f t="shared" si="14"/>
        <v/>
      </c>
      <c r="AC21" s="27" t="str">
        <f t="shared" si="15"/>
        <v/>
      </c>
      <c r="AD21" s="27" t="str">
        <f>IF(N($AM21)=0,"",INDEX('Luna anterioară'!$Z$8:$Z$37,$AM21))</f>
        <v/>
      </c>
      <c r="AE21" s="31" t="str">
        <f t="shared" si="16"/>
        <v/>
      </c>
      <c r="AF21" s="32" t="str">
        <f>IF($C21="","",TRIM(IF(O21&lt;0,"Zile peste zilele lucrătoare! ",IF(O21&gt;0,O21&amp;" zi(le) neplătite (absențe) – verifică pontajul. ",""))&amp;IF(N($AM21)=0,"Angajat nou față de luna anterioară. ",IF(AND(ISNUMBER(AE21),ABS(AE21)&gt;=PragDif),"Net "&amp;IF(AE21&gt;0,"+","")&amp;ROUND(AE21*100,0)&amp;"%: "&amp;IF(E21&lt;&gt;INDEX('Luna anterioară'!$E$8:$E$37,$AM21),"salariul de bază "&amp;TEXT(INDEX('Luna anterioară'!$E$8:$E$37,$AM21),"0")&amp;" → "&amp;TEXT(E21,"0")&amp;"; ","")&amp;IF(N(F21)+N(G21)&lt;&gt;N(INDEX('Luna anterioară'!$F$8:$F$37,$AM21))+N(INDEX('Luna anterioară'!$G$8:$G$37,$AM21)),"zile plătite "&amp;(N(INDEX('Luna anterioară'!$F$8:$F$37,$AM21))+N(INDEX('Luna anterioară'!$G$8:$G$37,$AM21)))&amp;" → "&amp;(N(F21)+N(G21))&amp;"; ","")&amp;IF(N(H21)&lt;&gt;N(INDEX('Luna anterioară'!$H$8:$H$37,$AM21)),"zile CM "&amp;N(INDEX('Luna anterioară'!$H$8:$H$37,$AM21))&amp;" → "&amp;N(H21)&amp;"; ","")&amp;IF(N(I21)&lt;&gt;N(INDEX('Luna anterioară'!$I$8:$I$37,$AM21)),"ore supl. "&amp;N(INDEX('Luna anterioară'!$I$8:$I$37,$AM21))&amp;" → "&amp;N(I21)&amp;"; ","")&amp;IF(N(J21)&lt;&gt;N(INDEX('Luna anterioară'!$J$8:$J$37,$AM21)),"prime "&amp;N(INDEX('Luna anterioară'!$J$8:$J$37,$AM21))&amp;" → "&amp;N(J21)&amp;"; ","")&amp;IF(N(K21)&lt;&gt;N(INDEX('Luna anterioară'!$K$8:$K$37,$AM21)),"persoane în întreținere "&amp;N(INDEX('Luna anterioară'!$K$8:$K$37,$AM21))&amp;" → "&amp;N(K21)&amp;"; ",""),""))))</f>
        <v/>
      </c>
      <c r="AM21" s="1" t="str">
        <f>IF($C21="","",IFERROR(MATCH($C21,'Luna anterioară'!$C$8:$C$37,0),""))</f>
        <v/>
      </c>
    </row>
    <row r="22" spans="2:39" x14ac:dyDescent="0.2">
      <c r="B22" s="24" t="str">
        <f t="shared" si="0"/>
        <v/>
      </c>
      <c r="C22" s="13"/>
      <c r="D22" s="13"/>
      <c r="E22" s="12"/>
      <c r="F22" s="25"/>
      <c r="G22" s="25"/>
      <c r="H22" s="25"/>
      <c r="I22" s="25"/>
      <c r="J22" s="26"/>
      <c r="K22" s="25"/>
      <c r="L22" s="25"/>
      <c r="M22" s="12"/>
      <c r="N22" s="12"/>
      <c r="O22" s="24" t="str">
        <f t="shared" si="1"/>
        <v/>
      </c>
      <c r="P22" s="27" t="str">
        <f t="shared" si="2"/>
        <v/>
      </c>
      <c r="Q22" s="27" t="str">
        <f t="shared" si="3"/>
        <v/>
      </c>
      <c r="R22" s="27" t="str">
        <f t="shared" si="4"/>
        <v/>
      </c>
      <c r="S22" s="27" t="str">
        <f t="shared" si="5"/>
        <v/>
      </c>
      <c r="T22" s="27" t="str">
        <f t="shared" si="6"/>
        <v/>
      </c>
      <c r="U22" s="27" t="str">
        <f t="shared" si="7"/>
        <v/>
      </c>
      <c r="V22" s="27" t="str">
        <f t="shared" si="8"/>
        <v/>
      </c>
      <c r="W22" s="27" t="str">
        <f t="shared" si="9"/>
        <v/>
      </c>
      <c r="X22" s="27" t="str">
        <f t="shared" si="10"/>
        <v/>
      </c>
      <c r="Y22" s="27" t="str">
        <f t="shared" si="11"/>
        <v/>
      </c>
      <c r="Z22" s="28" t="str">
        <f t="shared" si="12"/>
        <v/>
      </c>
      <c r="AA22" s="28" t="str">
        <f t="shared" si="13"/>
        <v/>
      </c>
      <c r="AB22" s="27" t="str">
        <f t="shared" si="14"/>
        <v/>
      </c>
      <c r="AC22" s="27" t="str">
        <f t="shared" si="15"/>
        <v/>
      </c>
      <c r="AD22" s="27" t="str">
        <f>IF(N($AM22)=0,"",INDEX('Luna anterioară'!$Z$8:$Z$37,$AM22))</f>
        <v/>
      </c>
      <c r="AE22" s="31" t="str">
        <f t="shared" si="16"/>
        <v/>
      </c>
      <c r="AF22" s="32" t="str">
        <f>IF($C22="","",TRIM(IF(O22&lt;0,"Zile peste zilele lucrătoare! ",IF(O22&gt;0,O22&amp;" zi(le) neplătite (absențe) – verifică pontajul. ",""))&amp;IF(N($AM22)=0,"Angajat nou față de luna anterioară. ",IF(AND(ISNUMBER(AE22),ABS(AE22)&gt;=PragDif),"Net "&amp;IF(AE22&gt;0,"+","")&amp;ROUND(AE22*100,0)&amp;"%: "&amp;IF(E22&lt;&gt;INDEX('Luna anterioară'!$E$8:$E$37,$AM22),"salariul de bază "&amp;TEXT(INDEX('Luna anterioară'!$E$8:$E$37,$AM22),"0")&amp;" → "&amp;TEXT(E22,"0")&amp;"; ","")&amp;IF(N(F22)+N(G22)&lt;&gt;N(INDEX('Luna anterioară'!$F$8:$F$37,$AM22))+N(INDEX('Luna anterioară'!$G$8:$G$37,$AM22)),"zile plătite "&amp;(N(INDEX('Luna anterioară'!$F$8:$F$37,$AM22))+N(INDEX('Luna anterioară'!$G$8:$G$37,$AM22)))&amp;" → "&amp;(N(F22)+N(G22))&amp;"; ","")&amp;IF(N(H22)&lt;&gt;N(INDEX('Luna anterioară'!$H$8:$H$37,$AM22)),"zile CM "&amp;N(INDEX('Luna anterioară'!$H$8:$H$37,$AM22))&amp;" → "&amp;N(H22)&amp;"; ","")&amp;IF(N(I22)&lt;&gt;N(INDEX('Luna anterioară'!$I$8:$I$37,$AM22)),"ore supl. "&amp;N(INDEX('Luna anterioară'!$I$8:$I$37,$AM22))&amp;" → "&amp;N(I22)&amp;"; ","")&amp;IF(N(J22)&lt;&gt;N(INDEX('Luna anterioară'!$J$8:$J$37,$AM22)),"prime "&amp;N(INDEX('Luna anterioară'!$J$8:$J$37,$AM22))&amp;" → "&amp;N(J22)&amp;"; ","")&amp;IF(N(K22)&lt;&gt;N(INDEX('Luna anterioară'!$K$8:$K$37,$AM22)),"persoane în întreținere "&amp;N(INDEX('Luna anterioară'!$K$8:$K$37,$AM22))&amp;" → "&amp;N(K22)&amp;"; ",""),""))))</f>
        <v/>
      </c>
      <c r="AM22" s="1" t="str">
        <f>IF($C22="","",IFERROR(MATCH($C22,'Luna anterioară'!$C$8:$C$37,0),""))</f>
        <v/>
      </c>
    </row>
    <row r="23" spans="2:39" x14ac:dyDescent="0.2">
      <c r="B23" s="24" t="str">
        <f t="shared" si="0"/>
        <v/>
      </c>
      <c r="C23" s="13"/>
      <c r="D23" s="13"/>
      <c r="E23" s="12"/>
      <c r="F23" s="25"/>
      <c r="G23" s="25"/>
      <c r="H23" s="25"/>
      <c r="I23" s="25"/>
      <c r="J23" s="26"/>
      <c r="K23" s="25"/>
      <c r="L23" s="25"/>
      <c r="M23" s="12"/>
      <c r="N23" s="12"/>
      <c r="O23" s="24" t="str">
        <f t="shared" si="1"/>
        <v/>
      </c>
      <c r="P23" s="27" t="str">
        <f t="shared" si="2"/>
        <v/>
      </c>
      <c r="Q23" s="27" t="str">
        <f t="shared" si="3"/>
        <v/>
      </c>
      <c r="R23" s="27" t="str">
        <f t="shared" si="4"/>
        <v/>
      </c>
      <c r="S23" s="27" t="str">
        <f t="shared" si="5"/>
        <v/>
      </c>
      <c r="T23" s="27" t="str">
        <f t="shared" si="6"/>
        <v/>
      </c>
      <c r="U23" s="27" t="str">
        <f t="shared" si="7"/>
        <v/>
      </c>
      <c r="V23" s="27" t="str">
        <f t="shared" si="8"/>
        <v/>
      </c>
      <c r="W23" s="27" t="str">
        <f t="shared" si="9"/>
        <v/>
      </c>
      <c r="X23" s="27" t="str">
        <f t="shared" si="10"/>
        <v/>
      </c>
      <c r="Y23" s="27" t="str">
        <f t="shared" si="11"/>
        <v/>
      </c>
      <c r="Z23" s="28" t="str">
        <f t="shared" si="12"/>
        <v/>
      </c>
      <c r="AA23" s="28" t="str">
        <f t="shared" si="13"/>
        <v/>
      </c>
      <c r="AB23" s="27" t="str">
        <f t="shared" si="14"/>
        <v/>
      </c>
      <c r="AC23" s="27" t="str">
        <f t="shared" si="15"/>
        <v/>
      </c>
      <c r="AD23" s="27" t="str">
        <f>IF(N($AM23)=0,"",INDEX('Luna anterioară'!$Z$8:$Z$37,$AM23))</f>
        <v/>
      </c>
      <c r="AE23" s="31" t="str">
        <f t="shared" si="16"/>
        <v/>
      </c>
      <c r="AF23" s="32" t="str">
        <f>IF($C23="","",TRIM(IF(O23&lt;0,"Zile peste zilele lucrătoare! ",IF(O23&gt;0,O23&amp;" zi(le) neplătite (absențe) – verifică pontajul. ",""))&amp;IF(N($AM23)=0,"Angajat nou față de luna anterioară. ",IF(AND(ISNUMBER(AE23),ABS(AE23)&gt;=PragDif),"Net "&amp;IF(AE23&gt;0,"+","")&amp;ROUND(AE23*100,0)&amp;"%: "&amp;IF(E23&lt;&gt;INDEX('Luna anterioară'!$E$8:$E$37,$AM23),"salariul de bază "&amp;TEXT(INDEX('Luna anterioară'!$E$8:$E$37,$AM23),"0")&amp;" → "&amp;TEXT(E23,"0")&amp;"; ","")&amp;IF(N(F23)+N(G23)&lt;&gt;N(INDEX('Luna anterioară'!$F$8:$F$37,$AM23))+N(INDEX('Luna anterioară'!$G$8:$G$37,$AM23)),"zile plătite "&amp;(N(INDEX('Luna anterioară'!$F$8:$F$37,$AM23))+N(INDEX('Luna anterioară'!$G$8:$G$37,$AM23)))&amp;" → "&amp;(N(F23)+N(G23))&amp;"; ","")&amp;IF(N(H23)&lt;&gt;N(INDEX('Luna anterioară'!$H$8:$H$37,$AM23)),"zile CM "&amp;N(INDEX('Luna anterioară'!$H$8:$H$37,$AM23))&amp;" → "&amp;N(H23)&amp;"; ","")&amp;IF(N(I23)&lt;&gt;N(INDEX('Luna anterioară'!$I$8:$I$37,$AM23)),"ore supl. "&amp;N(INDEX('Luna anterioară'!$I$8:$I$37,$AM23))&amp;" → "&amp;N(I23)&amp;"; ","")&amp;IF(N(J23)&lt;&gt;N(INDEX('Luna anterioară'!$J$8:$J$37,$AM23)),"prime "&amp;N(INDEX('Luna anterioară'!$J$8:$J$37,$AM23))&amp;" → "&amp;N(J23)&amp;"; ","")&amp;IF(N(K23)&lt;&gt;N(INDEX('Luna anterioară'!$K$8:$K$37,$AM23)),"persoane în întreținere "&amp;N(INDEX('Luna anterioară'!$K$8:$K$37,$AM23))&amp;" → "&amp;N(K23)&amp;"; ",""),""))))</f>
        <v/>
      </c>
      <c r="AM23" s="1" t="str">
        <f>IF($C23="","",IFERROR(MATCH($C23,'Luna anterioară'!$C$8:$C$37,0),""))</f>
        <v/>
      </c>
    </row>
    <row r="24" spans="2:39" x14ac:dyDescent="0.2">
      <c r="B24" s="24" t="str">
        <f t="shared" si="0"/>
        <v/>
      </c>
      <c r="C24" s="13"/>
      <c r="D24" s="13"/>
      <c r="E24" s="12"/>
      <c r="F24" s="25"/>
      <c r="G24" s="25"/>
      <c r="H24" s="25"/>
      <c r="I24" s="25"/>
      <c r="J24" s="26"/>
      <c r="K24" s="25"/>
      <c r="L24" s="25"/>
      <c r="M24" s="12"/>
      <c r="N24" s="12"/>
      <c r="O24" s="24" t="str">
        <f t="shared" si="1"/>
        <v/>
      </c>
      <c r="P24" s="27" t="str">
        <f t="shared" si="2"/>
        <v/>
      </c>
      <c r="Q24" s="27" t="str">
        <f t="shared" si="3"/>
        <v/>
      </c>
      <c r="R24" s="27" t="str">
        <f t="shared" si="4"/>
        <v/>
      </c>
      <c r="S24" s="27" t="str">
        <f t="shared" si="5"/>
        <v/>
      </c>
      <c r="T24" s="27" t="str">
        <f t="shared" si="6"/>
        <v/>
      </c>
      <c r="U24" s="27" t="str">
        <f t="shared" si="7"/>
        <v/>
      </c>
      <c r="V24" s="27" t="str">
        <f t="shared" si="8"/>
        <v/>
      </c>
      <c r="W24" s="27" t="str">
        <f t="shared" si="9"/>
        <v/>
      </c>
      <c r="X24" s="27" t="str">
        <f t="shared" si="10"/>
        <v/>
      </c>
      <c r="Y24" s="27" t="str">
        <f t="shared" si="11"/>
        <v/>
      </c>
      <c r="Z24" s="28" t="str">
        <f t="shared" si="12"/>
        <v/>
      </c>
      <c r="AA24" s="28" t="str">
        <f t="shared" si="13"/>
        <v/>
      </c>
      <c r="AB24" s="27" t="str">
        <f t="shared" si="14"/>
        <v/>
      </c>
      <c r="AC24" s="27" t="str">
        <f t="shared" si="15"/>
        <v/>
      </c>
      <c r="AD24" s="27" t="str">
        <f>IF(N($AM24)=0,"",INDEX('Luna anterioară'!$Z$8:$Z$37,$AM24))</f>
        <v/>
      </c>
      <c r="AE24" s="31" t="str">
        <f t="shared" si="16"/>
        <v/>
      </c>
      <c r="AF24" s="32" t="str">
        <f>IF($C24="","",TRIM(IF(O24&lt;0,"Zile peste zilele lucrătoare! ",IF(O24&gt;0,O24&amp;" zi(le) neplătite (absențe) – verifică pontajul. ",""))&amp;IF(N($AM24)=0,"Angajat nou față de luna anterioară. ",IF(AND(ISNUMBER(AE24),ABS(AE24)&gt;=PragDif),"Net "&amp;IF(AE24&gt;0,"+","")&amp;ROUND(AE24*100,0)&amp;"%: "&amp;IF(E24&lt;&gt;INDEX('Luna anterioară'!$E$8:$E$37,$AM24),"salariul de bază "&amp;TEXT(INDEX('Luna anterioară'!$E$8:$E$37,$AM24),"0")&amp;" → "&amp;TEXT(E24,"0")&amp;"; ","")&amp;IF(N(F24)+N(G24)&lt;&gt;N(INDEX('Luna anterioară'!$F$8:$F$37,$AM24))+N(INDEX('Luna anterioară'!$G$8:$G$37,$AM24)),"zile plătite "&amp;(N(INDEX('Luna anterioară'!$F$8:$F$37,$AM24))+N(INDEX('Luna anterioară'!$G$8:$G$37,$AM24)))&amp;" → "&amp;(N(F24)+N(G24))&amp;"; ","")&amp;IF(N(H24)&lt;&gt;N(INDEX('Luna anterioară'!$H$8:$H$37,$AM24)),"zile CM "&amp;N(INDEX('Luna anterioară'!$H$8:$H$37,$AM24))&amp;" → "&amp;N(H24)&amp;"; ","")&amp;IF(N(I24)&lt;&gt;N(INDEX('Luna anterioară'!$I$8:$I$37,$AM24)),"ore supl. "&amp;N(INDEX('Luna anterioară'!$I$8:$I$37,$AM24))&amp;" → "&amp;N(I24)&amp;"; ","")&amp;IF(N(J24)&lt;&gt;N(INDEX('Luna anterioară'!$J$8:$J$37,$AM24)),"prime "&amp;N(INDEX('Luna anterioară'!$J$8:$J$37,$AM24))&amp;" → "&amp;N(J24)&amp;"; ","")&amp;IF(N(K24)&lt;&gt;N(INDEX('Luna anterioară'!$K$8:$K$37,$AM24)),"persoane în întreținere "&amp;N(INDEX('Luna anterioară'!$K$8:$K$37,$AM24))&amp;" → "&amp;N(K24)&amp;"; ",""),""))))</f>
        <v/>
      </c>
      <c r="AM24" s="1" t="str">
        <f>IF($C24="","",IFERROR(MATCH($C24,'Luna anterioară'!$C$8:$C$37,0),""))</f>
        <v/>
      </c>
    </row>
    <row r="25" spans="2:39" x14ac:dyDescent="0.2">
      <c r="B25" s="24" t="str">
        <f t="shared" si="0"/>
        <v/>
      </c>
      <c r="C25" s="13"/>
      <c r="D25" s="13"/>
      <c r="E25" s="12"/>
      <c r="F25" s="25"/>
      <c r="G25" s="25"/>
      <c r="H25" s="25"/>
      <c r="I25" s="25"/>
      <c r="J25" s="26"/>
      <c r="K25" s="25"/>
      <c r="L25" s="25"/>
      <c r="M25" s="12"/>
      <c r="N25" s="12"/>
      <c r="O25" s="24" t="str">
        <f t="shared" si="1"/>
        <v/>
      </c>
      <c r="P25" s="27" t="str">
        <f t="shared" si="2"/>
        <v/>
      </c>
      <c r="Q25" s="27" t="str">
        <f t="shared" si="3"/>
        <v/>
      </c>
      <c r="R25" s="27" t="str">
        <f t="shared" si="4"/>
        <v/>
      </c>
      <c r="S25" s="27" t="str">
        <f t="shared" si="5"/>
        <v/>
      </c>
      <c r="T25" s="27" t="str">
        <f t="shared" si="6"/>
        <v/>
      </c>
      <c r="U25" s="27" t="str">
        <f t="shared" si="7"/>
        <v/>
      </c>
      <c r="V25" s="27" t="str">
        <f t="shared" si="8"/>
        <v/>
      </c>
      <c r="W25" s="27" t="str">
        <f t="shared" si="9"/>
        <v/>
      </c>
      <c r="X25" s="27" t="str">
        <f t="shared" si="10"/>
        <v/>
      </c>
      <c r="Y25" s="27" t="str">
        <f t="shared" si="11"/>
        <v/>
      </c>
      <c r="Z25" s="28" t="str">
        <f t="shared" si="12"/>
        <v/>
      </c>
      <c r="AA25" s="28" t="str">
        <f t="shared" si="13"/>
        <v/>
      </c>
      <c r="AB25" s="27" t="str">
        <f t="shared" si="14"/>
        <v/>
      </c>
      <c r="AC25" s="27" t="str">
        <f t="shared" si="15"/>
        <v/>
      </c>
      <c r="AD25" s="27" t="str">
        <f>IF(N($AM25)=0,"",INDEX('Luna anterioară'!$Z$8:$Z$37,$AM25))</f>
        <v/>
      </c>
      <c r="AE25" s="31" t="str">
        <f t="shared" si="16"/>
        <v/>
      </c>
      <c r="AF25" s="32" t="str">
        <f>IF($C25="","",TRIM(IF(O25&lt;0,"Zile peste zilele lucrătoare! ",IF(O25&gt;0,O25&amp;" zi(le) neplătite (absențe) – verifică pontajul. ",""))&amp;IF(N($AM25)=0,"Angajat nou față de luna anterioară. ",IF(AND(ISNUMBER(AE25),ABS(AE25)&gt;=PragDif),"Net "&amp;IF(AE25&gt;0,"+","")&amp;ROUND(AE25*100,0)&amp;"%: "&amp;IF(E25&lt;&gt;INDEX('Luna anterioară'!$E$8:$E$37,$AM25),"salariul de bază "&amp;TEXT(INDEX('Luna anterioară'!$E$8:$E$37,$AM25),"0")&amp;" → "&amp;TEXT(E25,"0")&amp;"; ","")&amp;IF(N(F25)+N(G25)&lt;&gt;N(INDEX('Luna anterioară'!$F$8:$F$37,$AM25))+N(INDEX('Luna anterioară'!$G$8:$G$37,$AM25)),"zile plătite "&amp;(N(INDEX('Luna anterioară'!$F$8:$F$37,$AM25))+N(INDEX('Luna anterioară'!$G$8:$G$37,$AM25)))&amp;" → "&amp;(N(F25)+N(G25))&amp;"; ","")&amp;IF(N(H25)&lt;&gt;N(INDEX('Luna anterioară'!$H$8:$H$37,$AM25)),"zile CM "&amp;N(INDEX('Luna anterioară'!$H$8:$H$37,$AM25))&amp;" → "&amp;N(H25)&amp;"; ","")&amp;IF(N(I25)&lt;&gt;N(INDEX('Luna anterioară'!$I$8:$I$37,$AM25)),"ore supl. "&amp;N(INDEX('Luna anterioară'!$I$8:$I$37,$AM25))&amp;" → "&amp;N(I25)&amp;"; ","")&amp;IF(N(J25)&lt;&gt;N(INDEX('Luna anterioară'!$J$8:$J$37,$AM25)),"prime "&amp;N(INDEX('Luna anterioară'!$J$8:$J$37,$AM25))&amp;" → "&amp;N(J25)&amp;"; ","")&amp;IF(N(K25)&lt;&gt;N(INDEX('Luna anterioară'!$K$8:$K$37,$AM25)),"persoane în întreținere "&amp;N(INDEX('Luna anterioară'!$K$8:$K$37,$AM25))&amp;" → "&amp;N(K25)&amp;"; ",""),""))))</f>
        <v/>
      </c>
      <c r="AM25" s="1" t="str">
        <f>IF($C25="","",IFERROR(MATCH($C25,'Luna anterioară'!$C$8:$C$37,0),""))</f>
        <v/>
      </c>
    </row>
    <row r="26" spans="2:39" x14ac:dyDescent="0.2">
      <c r="B26" s="24" t="str">
        <f t="shared" si="0"/>
        <v/>
      </c>
      <c r="C26" s="13"/>
      <c r="D26" s="13"/>
      <c r="E26" s="12"/>
      <c r="F26" s="25"/>
      <c r="G26" s="25"/>
      <c r="H26" s="25"/>
      <c r="I26" s="25"/>
      <c r="J26" s="26"/>
      <c r="K26" s="25"/>
      <c r="L26" s="25"/>
      <c r="M26" s="12"/>
      <c r="N26" s="12"/>
      <c r="O26" s="24" t="str">
        <f t="shared" si="1"/>
        <v/>
      </c>
      <c r="P26" s="27" t="str">
        <f t="shared" si="2"/>
        <v/>
      </c>
      <c r="Q26" s="27" t="str">
        <f t="shared" si="3"/>
        <v/>
      </c>
      <c r="R26" s="27" t="str">
        <f t="shared" si="4"/>
        <v/>
      </c>
      <c r="S26" s="27" t="str">
        <f t="shared" si="5"/>
        <v/>
      </c>
      <c r="T26" s="27" t="str">
        <f t="shared" si="6"/>
        <v/>
      </c>
      <c r="U26" s="27" t="str">
        <f t="shared" si="7"/>
        <v/>
      </c>
      <c r="V26" s="27" t="str">
        <f t="shared" si="8"/>
        <v/>
      </c>
      <c r="W26" s="27" t="str">
        <f t="shared" si="9"/>
        <v/>
      </c>
      <c r="X26" s="27" t="str">
        <f t="shared" si="10"/>
        <v/>
      </c>
      <c r="Y26" s="27" t="str">
        <f t="shared" si="11"/>
        <v/>
      </c>
      <c r="Z26" s="28" t="str">
        <f t="shared" si="12"/>
        <v/>
      </c>
      <c r="AA26" s="28" t="str">
        <f t="shared" si="13"/>
        <v/>
      </c>
      <c r="AB26" s="27" t="str">
        <f t="shared" si="14"/>
        <v/>
      </c>
      <c r="AC26" s="27" t="str">
        <f t="shared" si="15"/>
        <v/>
      </c>
      <c r="AD26" s="27" t="str">
        <f>IF(N($AM26)=0,"",INDEX('Luna anterioară'!$Z$8:$Z$37,$AM26))</f>
        <v/>
      </c>
      <c r="AE26" s="31" t="str">
        <f t="shared" si="16"/>
        <v/>
      </c>
      <c r="AF26" s="32" t="str">
        <f>IF($C26="","",TRIM(IF(O26&lt;0,"Zile peste zilele lucrătoare! ",IF(O26&gt;0,O26&amp;" zi(le) neplătite (absențe) – verifică pontajul. ",""))&amp;IF(N($AM26)=0,"Angajat nou față de luna anterioară. ",IF(AND(ISNUMBER(AE26),ABS(AE26)&gt;=PragDif),"Net "&amp;IF(AE26&gt;0,"+","")&amp;ROUND(AE26*100,0)&amp;"%: "&amp;IF(E26&lt;&gt;INDEX('Luna anterioară'!$E$8:$E$37,$AM26),"salariul de bază "&amp;TEXT(INDEX('Luna anterioară'!$E$8:$E$37,$AM26),"0")&amp;" → "&amp;TEXT(E26,"0")&amp;"; ","")&amp;IF(N(F26)+N(G26)&lt;&gt;N(INDEX('Luna anterioară'!$F$8:$F$37,$AM26))+N(INDEX('Luna anterioară'!$G$8:$G$37,$AM26)),"zile plătite "&amp;(N(INDEX('Luna anterioară'!$F$8:$F$37,$AM26))+N(INDEX('Luna anterioară'!$G$8:$G$37,$AM26)))&amp;" → "&amp;(N(F26)+N(G26))&amp;"; ","")&amp;IF(N(H26)&lt;&gt;N(INDEX('Luna anterioară'!$H$8:$H$37,$AM26)),"zile CM "&amp;N(INDEX('Luna anterioară'!$H$8:$H$37,$AM26))&amp;" → "&amp;N(H26)&amp;"; ","")&amp;IF(N(I26)&lt;&gt;N(INDEX('Luna anterioară'!$I$8:$I$37,$AM26)),"ore supl. "&amp;N(INDEX('Luna anterioară'!$I$8:$I$37,$AM26))&amp;" → "&amp;N(I26)&amp;"; ","")&amp;IF(N(J26)&lt;&gt;N(INDEX('Luna anterioară'!$J$8:$J$37,$AM26)),"prime "&amp;N(INDEX('Luna anterioară'!$J$8:$J$37,$AM26))&amp;" → "&amp;N(J26)&amp;"; ","")&amp;IF(N(K26)&lt;&gt;N(INDEX('Luna anterioară'!$K$8:$K$37,$AM26)),"persoane în întreținere "&amp;N(INDEX('Luna anterioară'!$K$8:$K$37,$AM26))&amp;" → "&amp;N(K26)&amp;"; ",""),""))))</f>
        <v/>
      </c>
      <c r="AM26" s="1" t="str">
        <f>IF($C26="","",IFERROR(MATCH($C26,'Luna anterioară'!$C$8:$C$37,0),""))</f>
        <v/>
      </c>
    </row>
    <row r="27" spans="2:39" x14ac:dyDescent="0.2">
      <c r="B27" s="24" t="str">
        <f t="shared" si="0"/>
        <v/>
      </c>
      <c r="C27" s="13"/>
      <c r="D27" s="13"/>
      <c r="E27" s="12"/>
      <c r="F27" s="25"/>
      <c r="G27" s="25"/>
      <c r="H27" s="25"/>
      <c r="I27" s="25"/>
      <c r="J27" s="26"/>
      <c r="K27" s="25"/>
      <c r="L27" s="25"/>
      <c r="M27" s="12"/>
      <c r="N27" s="12"/>
      <c r="O27" s="24" t="str">
        <f t="shared" si="1"/>
        <v/>
      </c>
      <c r="P27" s="27" t="str">
        <f t="shared" si="2"/>
        <v/>
      </c>
      <c r="Q27" s="27" t="str">
        <f t="shared" si="3"/>
        <v/>
      </c>
      <c r="R27" s="27" t="str">
        <f t="shared" si="4"/>
        <v/>
      </c>
      <c r="S27" s="27" t="str">
        <f t="shared" si="5"/>
        <v/>
      </c>
      <c r="T27" s="27" t="str">
        <f t="shared" si="6"/>
        <v/>
      </c>
      <c r="U27" s="27" t="str">
        <f t="shared" si="7"/>
        <v/>
      </c>
      <c r="V27" s="27" t="str">
        <f t="shared" si="8"/>
        <v/>
      </c>
      <c r="W27" s="27" t="str">
        <f t="shared" si="9"/>
        <v/>
      </c>
      <c r="X27" s="27" t="str">
        <f t="shared" si="10"/>
        <v/>
      </c>
      <c r="Y27" s="27" t="str">
        <f t="shared" si="11"/>
        <v/>
      </c>
      <c r="Z27" s="28" t="str">
        <f t="shared" si="12"/>
        <v/>
      </c>
      <c r="AA27" s="28" t="str">
        <f t="shared" si="13"/>
        <v/>
      </c>
      <c r="AB27" s="27" t="str">
        <f t="shared" si="14"/>
        <v/>
      </c>
      <c r="AC27" s="27" t="str">
        <f t="shared" si="15"/>
        <v/>
      </c>
      <c r="AD27" s="27" t="str">
        <f>IF(N($AM27)=0,"",INDEX('Luna anterioară'!$Z$8:$Z$37,$AM27))</f>
        <v/>
      </c>
      <c r="AE27" s="31" t="str">
        <f t="shared" si="16"/>
        <v/>
      </c>
      <c r="AF27" s="32" t="str">
        <f>IF($C27="","",TRIM(IF(O27&lt;0,"Zile peste zilele lucrătoare! ",IF(O27&gt;0,O27&amp;" zi(le) neplătite (absențe) – verifică pontajul. ",""))&amp;IF(N($AM27)=0,"Angajat nou față de luna anterioară. ",IF(AND(ISNUMBER(AE27),ABS(AE27)&gt;=PragDif),"Net "&amp;IF(AE27&gt;0,"+","")&amp;ROUND(AE27*100,0)&amp;"%: "&amp;IF(E27&lt;&gt;INDEX('Luna anterioară'!$E$8:$E$37,$AM27),"salariul de bază "&amp;TEXT(INDEX('Luna anterioară'!$E$8:$E$37,$AM27),"0")&amp;" → "&amp;TEXT(E27,"0")&amp;"; ","")&amp;IF(N(F27)+N(G27)&lt;&gt;N(INDEX('Luna anterioară'!$F$8:$F$37,$AM27))+N(INDEX('Luna anterioară'!$G$8:$G$37,$AM27)),"zile plătite "&amp;(N(INDEX('Luna anterioară'!$F$8:$F$37,$AM27))+N(INDEX('Luna anterioară'!$G$8:$G$37,$AM27)))&amp;" → "&amp;(N(F27)+N(G27))&amp;"; ","")&amp;IF(N(H27)&lt;&gt;N(INDEX('Luna anterioară'!$H$8:$H$37,$AM27)),"zile CM "&amp;N(INDEX('Luna anterioară'!$H$8:$H$37,$AM27))&amp;" → "&amp;N(H27)&amp;"; ","")&amp;IF(N(I27)&lt;&gt;N(INDEX('Luna anterioară'!$I$8:$I$37,$AM27)),"ore supl. "&amp;N(INDEX('Luna anterioară'!$I$8:$I$37,$AM27))&amp;" → "&amp;N(I27)&amp;"; ","")&amp;IF(N(J27)&lt;&gt;N(INDEX('Luna anterioară'!$J$8:$J$37,$AM27)),"prime "&amp;N(INDEX('Luna anterioară'!$J$8:$J$37,$AM27))&amp;" → "&amp;N(J27)&amp;"; ","")&amp;IF(N(K27)&lt;&gt;N(INDEX('Luna anterioară'!$K$8:$K$37,$AM27)),"persoane în întreținere "&amp;N(INDEX('Luna anterioară'!$K$8:$K$37,$AM27))&amp;" → "&amp;N(K27)&amp;"; ",""),""))))</f>
        <v/>
      </c>
      <c r="AM27" s="1" t="str">
        <f>IF($C27="","",IFERROR(MATCH($C27,'Luna anterioară'!$C$8:$C$37,0),""))</f>
        <v/>
      </c>
    </row>
    <row r="28" spans="2:39" x14ac:dyDescent="0.2">
      <c r="B28" s="24" t="str">
        <f t="shared" si="0"/>
        <v/>
      </c>
      <c r="C28" s="13"/>
      <c r="D28" s="13"/>
      <c r="E28" s="12"/>
      <c r="F28" s="25"/>
      <c r="G28" s="25"/>
      <c r="H28" s="25"/>
      <c r="I28" s="25"/>
      <c r="J28" s="26"/>
      <c r="K28" s="25"/>
      <c r="L28" s="25"/>
      <c r="M28" s="12"/>
      <c r="N28" s="12"/>
      <c r="O28" s="24" t="str">
        <f t="shared" si="1"/>
        <v/>
      </c>
      <c r="P28" s="27" t="str">
        <f t="shared" si="2"/>
        <v/>
      </c>
      <c r="Q28" s="27" t="str">
        <f t="shared" si="3"/>
        <v/>
      </c>
      <c r="R28" s="27" t="str">
        <f t="shared" si="4"/>
        <v/>
      </c>
      <c r="S28" s="27" t="str">
        <f t="shared" si="5"/>
        <v/>
      </c>
      <c r="T28" s="27" t="str">
        <f t="shared" si="6"/>
        <v/>
      </c>
      <c r="U28" s="27" t="str">
        <f t="shared" si="7"/>
        <v/>
      </c>
      <c r="V28" s="27" t="str">
        <f t="shared" si="8"/>
        <v/>
      </c>
      <c r="W28" s="27" t="str">
        <f t="shared" si="9"/>
        <v/>
      </c>
      <c r="X28" s="27" t="str">
        <f t="shared" si="10"/>
        <v/>
      </c>
      <c r="Y28" s="27" t="str">
        <f t="shared" si="11"/>
        <v/>
      </c>
      <c r="Z28" s="28" t="str">
        <f t="shared" si="12"/>
        <v/>
      </c>
      <c r="AA28" s="28" t="str">
        <f t="shared" si="13"/>
        <v/>
      </c>
      <c r="AB28" s="27" t="str">
        <f t="shared" si="14"/>
        <v/>
      </c>
      <c r="AC28" s="27" t="str">
        <f t="shared" si="15"/>
        <v/>
      </c>
      <c r="AD28" s="27" t="str">
        <f>IF(N($AM28)=0,"",INDEX('Luna anterioară'!$Z$8:$Z$37,$AM28))</f>
        <v/>
      </c>
      <c r="AE28" s="31" t="str">
        <f t="shared" si="16"/>
        <v/>
      </c>
      <c r="AF28" s="32" t="str">
        <f>IF($C28="","",TRIM(IF(O28&lt;0,"Zile peste zilele lucrătoare! ",IF(O28&gt;0,O28&amp;" zi(le) neplătite (absențe) – verifică pontajul. ",""))&amp;IF(N($AM28)=0,"Angajat nou față de luna anterioară. ",IF(AND(ISNUMBER(AE28),ABS(AE28)&gt;=PragDif),"Net "&amp;IF(AE28&gt;0,"+","")&amp;ROUND(AE28*100,0)&amp;"%: "&amp;IF(E28&lt;&gt;INDEX('Luna anterioară'!$E$8:$E$37,$AM28),"salariul de bază "&amp;TEXT(INDEX('Luna anterioară'!$E$8:$E$37,$AM28),"0")&amp;" → "&amp;TEXT(E28,"0")&amp;"; ","")&amp;IF(N(F28)+N(G28)&lt;&gt;N(INDEX('Luna anterioară'!$F$8:$F$37,$AM28))+N(INDEX('Luna anterioară'!$G$8:$G$37,$AM28)),"zile plătite "&amp;(N(INDEX('Luna anterioară'!$F$8:$F$37,$AM28))+N(INDEX('Luna anterioară'!$G$8:$G$37,$AM28)))&amp;" → "&amp;(N(F28)+N(G28))&amp;"; ","")&amp;IF(N(H28)&lt;&gt;N(INDEX('Luna anterioară'!$H$8:$H$37,$AM28)),"zile CM "&amp;N(INDEX('Luna anterioară'!$H$8:$H$37,$AM28))&amp;" → "&amp;N(H28)&amp;"; ","")&amp;IF(N(I28)&lt;&gt;N(INDEX('Luna anterioară'!$I$8:$I$37,$AM28)),"ore supl. "&amp;N(INDEX('Luna anterioară'!$I$8:$I$37,$AM28))&amp;" → "&amp;N(I28)&amp;"; ","")&amp;IF(N(J28)&lt;&gt;N(INDEX('Luna anterioară'!$J$8:$J$37,$AM28)),"prime "&amp;N(INDEX('Luna anterioară'!$J$8:$J$37,$AM28))&amp;" → "&amp;N(J28)&amp;"; ","")&amp;IF(N(K28)&lt;&gt;N(INDEX('Luna anterioară'!$K$8:$K$37,$AM28)),"persoane în întreținere "&amp;N(INDEX('Luna anterioară'!$K$8:$K$37,$AM28))&amp;" → "&amp;N(K28)&amp;"; ",""),""))))</f>
        <v/>
      </c>
      <c r="AM28" s="1" t="str">
        <f>IF($C28="","",IFERROR(MATCH($C28,'Luna anterioară'!$C$8:$C$37,0),""))</f>
        <v/>
      </c>
    </row>
    <row r="29" spans="2:39" x14ac:dyDescent="0.2">
      <c r="B29" s="24" t="str">
        <f t="shared" si="0"/>
        <v/>
      </c>
      <c r="C29" s="13"/>
      <c r="D29" s="13"/>
      <c r="E29" s="12"/>
      <c r="F29" s="25"/>
      <c r="G29" s="25"/>
      <c r="H29" s="25"/>
      <c r="I29" s="25"/>
      <c r="J29" s="26"/>
      <c r="K29" s="25"/>
      <c r="L29" s="25"/>
      <c r="M29" s="12"/>
      <c r="N29" s="12"/>
      <c r="O29" s="24" t="str">
        <f t="shared" si="1"/>
        <v/>
      </c>
      <c r="P29" s="27" t="str">
        <f t="shared" si="2"/>
        <v/>
      </c>
      <c r="Q29" s="27" t="str">
        <f t="shared" si="3"/>
        <v/>
      </c>
      <c r="R29" s="27" t="str">
        <f t="shared" si="4"/>
        <v/>
      </c>
      <c r="S29" s="27" t="str">
        <f t="shared" si="5"/>
        <v/>
      </c>
      <c r="T29" s="27" t="str">
        <f t="shared" si="6"/>
        <v/>
      </c>
      <c r="U29" s="27" t="str">
        <f t="shared" si="7"/>
        <v/>
      </c>
      <c r="V29" s="27" t="str">
        <f t="shared" si="8"/>
        <v/>
      </c>
      <c r="W29" s="27" t="str">
        <f t="shared" si="9"/>
        <v/>
      </c>
      <c r="X29" s="27" t="str">
        <f t="shared" si="10"/>
        <v/>
      </c>
      <c r="Y29" s="27" t="str">
        <f t="shared" si="11"/>
        <v/>
      </c>
      <c r="Z29" s="28" t="str">
        <f t="shared" si="12"/>
        <v/>
      </c>
      <c r="AA29" s="28" t="str">
        <f t="shared" si="13"/>
        <v/>
      </c>
      <c r="AB29" s="27" t="str">
        <f t="shared" si="14"/>
        <v/>
      </c>
      <c r="AC29" s="27" t="str">
        <f t="shared" si="15"/>
        <v/>
      </c>
      <c r="AD29" s="27" t="str">
        <f>IF(N($AM29)=0,"",INDEX('Luna anterioară'!$Z$8:$Z$37,$AM29))</f>
        <v/>
      </c>
      <c r="AE29" s="31" t="str">
        <f t="shared" si="16"/>
        <v/>
      </c>
      <c r="AF29" s="32" t="str">
        <f>IF($C29="","",TRIM(IF(O29&lt;0,"Zile peste zilele lucrătoare! ",IF(O29&gt;0,O29&amp;" zi(le) neplătite (absențe) – verifică pontajul. ",""))&amp;IF(N($AM29)=0,"Angajat nou față de luna anterioară. ",IF(AND(ISNUMBER(AE29),ABS(AE29)&gt;=PragDif),"Net "&amp;IF(AE29&gt;0,"+","")&amp;ROUND(AE29*100,0)&amp;"%: "&amp;IF(E29&lt;&gt;INDEX('Luna anterioară'!$E$8:$E$37,$AM29),"salariul de bază "&amp;TEXT(INDEX('Luna anterioară'!$E$8:$E$37,$AM29),"0")&amp;" → "&amp;TEXT(E29,"0")&amp;"; ","")&amp;IF(N(F29)+N(G29)&lt;&gt;N(INDEX('Luna anterioară'!$F$8:$F$37,$AM29))+N(INDEX('Luna anterioară'!$G$8:$G$37,$AM29)),"zile plătite "&amp;(N(INDEX('Luna anterioară'!$F$8:$F$37,$AM29))+N(INDEX('Luna anterioară'!$G$8:$G$37,$AM29)))&amp;" → "&amp;(N(F29)+N(G29))&amp;"; ","")&amp;IF(N(H29)&lt;&gt;N(INDEX('Luna anterioară'!$H$8:$H$37,$AM29)),"zile CM "&amp;N(INDEX('Luna anterioară'!$H$8:$H$37,$AM29))&amp;" → "&amp;N(H29)&amp;"; ","")&amp;IF(N(I29)&lt;&gt;N(INDEX('Luna anterioară'!$I$8:$I$37,$AM29)),"ore supl. "&amp;N(INDEX('Luna anterioară'!$I$8:$I$37,$AM29))&amp;" → "&amp;N(I29)&amp;"; ","")&amp;IF(N(J29)&lt;&gt;N(INDEX('Luna anterioară'!$J$8:$J$37,$AM29)),"prime "&amp;N(INDEX('Luna anterioară'!$J$8:$J$37,$AM29))&amp;" → "&amp;N(J29)&amp;"; ","")&amp;IF(N(K29)&lt;&gt;N(INDEX('Luna anterioară'!$K$8:$K$37,$AM29)),"persoane în întreținere "&amp;N(INDEX('Luna anterioară'!$K$8:$K$37,$AM29))&amp;" → "&amp;N(K29)&amp;"; ",""),""))))</f>
        <v/>
      </c>
      <c r="AM29" s="1" t="str">
        <f>IF($C29="","",IFERROR(MATCH($C29,'Luna anterioară'!$C$8:$C$37,0),""))</f>
        <v/>
      </c>
    </row>
    <row r="30" spans="2:39" x14ac:dyDescent="0.2">
      <c r="B30" s="24" t="str">
        <f t="shared" si="0"/>
        <v/>
      </c>
      <c r="C30" s="13"/>
      <c r="D30" s="13"/>
      <c r="E30" s="12"/>
      <c r="F30" s="25"/>
      <c r="G30" s="25"/>
      <c r="H30" s="25"/>
      <c r="I30" s="25"/>
      <c r="J30" s="26"/>
      <c r="K30" s="25"/>
      <c r="L30" s="25"/>
      <c r="M30" s="12"/>
      <c r="N30" s="12"/>
      <c r="O30" s="24" t="str">
        <f t="shared" si="1"/>
        <v/>
      </c>
      <c r="P30" s="27" t="str">
        <f t="shared" si="2"/>
        <v/>
      </c>
      <c r="Q30" s="27" t="str">
        <f t="shared" si="3"/>
        <v/>
      </c>
      <c r="R30" s="27" t="str">
        <f t="shared" si="4"/>
        <v/>
      </c>
      <c r="S30" s="27" t="str">
        <f t="shared" si="5"/>
        <v/>
      </c>
      <c r="T30" s="27" t="str">
        <f t="shared" si="6"/>
        <v/>
      </c>
      <c r="U30" s="27" t="str">
        <f t="shared" si="7"/>
        <v/>
      </c>
      <c r="V30" s="27" t="str">
        <f t="shared" si="8"/>
        <v/>
      </c>
      <c r="W30" s="27" t="str">
        <f t="shared" si="9"/>
        <v/>
      </c>
      <c r="X30" s="27" t="str">
        <f t="shared" si="10"/>
        <v/>
      </c>
      <c r="Y30" s="27" t="str">
        <f t="shared" si="11"/>
        <v/>
      </c>
      <c r="Z30" s="28" t="str">
        <f t="shared" si="12"/>
        <v/>
      </c>
      <c r="AA30" s="28" t="str">
        <f t="shared" si="13"/>
        <v/>
      </c>
      <c r="AB30" s="27" t="str">
        <f t="shared" si="14"/>
        <v/>
      </c>
      <c r="AC30" s="27" t="str">
        <f t="shared" si="15"/>
        <v/>
      </c>
      <c r="AD30" s="27" t="str">
        <f>IF(N($AM30)=0,"",INDEX('Luna anterioară'!$Z$8:$Z$37,$AM30))</f>
        <v/>
      </c>
      <c r="AE30" s="31" t="str">
        <f t="shared" si="16"/>
        <v/>
      </c>
      <c r="AF30" s="32" t="str">
        <f>IF($C30="","",TRIM(IF(O30&lt;0,"Zile peste zilele lucrătoare! ",IF(O30&gt;0,O30&amp;" zi(le) neplătite (absențe) – verifică pontajul. ",""))&amp;IF(N($AM30)=0,"Angajat nou față de luna anterioară. ",IF(AND(ISNUMBER(AE30),ABS(AE30)&gt;=PragDif),"Net "&amp;IF(AE30&gt;0,"+","")&amp;ROUND(AE30*100,0)&amp;"%: "&amp;IF(E30&lt;&gt;INDEX('Luna anterioară'!$E$8:$E$37,$AM30),"salariul de bază "&amp;TEXT(INDEX('Luna anterioară'!$E$8:$E$37,$AM30),"0")&amp;" → "&amp;TEXT(E30,"0")&amp;"; ","")&amp;IF(N(F30)+N(G30)&lt;&gt;N(INDEX('Luna anterioară'!$F$8:$F$37,$AM30))+N(INDEX('Luna anterioară'!$G$8:$G$37,$AM30)),"zile plătite "&amp;(N(INDEX('Luna anterioară'!$F$8:$F$37,$AM30))+N(INDEX('Luna anterioară'!$G$8:$G$37,$AM30)))&amp;" → "&amp;(N(F30)+N(G30))&amp;"; ","")&amp;IF(N(H30)&lt;&gt;N(INDEX('Luna anterioară'!$H$8:$H$37,$AM30)),"zile CM "&amp;N(INDEX('Luna anterioară'!$H$8:$H$37,$AM30))&amp;" → "&amp;N(H30)&amp;"; ","")&amp;IF(N(I30)&lt;&gt;N(INDEX('Luna anterioară'!$I$8:$I$37,$AM30)),"ore supl. "&amp;N(INDEX('Luna anterioară'!$I$8:$I$37,$AM30))&amp;" → "&amp;N(I30)&amp;"; ","")&amp;IF(N(J30)&lt;&gt;N(INDEX('Luna anterioară'!$J$8:$J$37,$AM30)),"prime "&amp;N(INDEX('Luna anterioară'!$J$8:$J$37,$AM30))&amp;" → "&amp;N(J30)&amp;"; ","")&amp;IF(N(K30)&lt;&gt;N(INDEX('Luna anterioară'!$K$8:$K$37,$AM30)),"persoane în întreținere "&amp;N(INDEX('Luna anterioară'!$K$8:$K$37,$AM30))&amp;" → "&amp;N(K30)&amp;"; ",""),""))))</f>
        <v/>
      </c>
      <c r="AM30" s="1" t="str">
        <f>IF($C30="","",IFERROR(MATCH($C30,'Luna anterioară'!$C$8:$C$37,0),""))</f>
        <v/>
      </c>
    </row>
    <row r="31" spans="2:39" x14ac:dyDescent="0.2">
      <c r="B31" s="24" t="str">
        <f t="shared" si="0"/>
        <v/>
      </c>
      <c r="C31" s="13"/>
      <c r="D31" s="13"/>
      <c r="E31" s="12"/>
      <c r="F31" s="25"/>
      <c r="G31" s="25"/>
      <c r="H31" s="25"/>
      <c r="I31" s="25"/>
      <c r="J31" s="26"/>
      <c r="K31" s="25"/>
      <c r="L31" s="25"/>
      <c r="M31" s="12"/>
      <c r="N31" s="12"/>
      <c r="O31" s="24" t="str">
        <f t="shared" si="1"/>
        <v/>
      </c>
      <c r="P31" s="27" t="str">
        <f t="shared" si="2"/>
        <v/>
      </c>
      <c r="Q31" s="27" t="str">
        <f t="shared" si="3"/>
        <v/>
      </c>
      <c r="R31" s="27" t="str">
        <f t="shared" si="4"/>
        <v/>
      </c>
      <c r="S31" s="27" t="str">
        <f t="shared" si="5"/>
        <v/>
      </c>
      <c r="T31" s="27" t="str">
        <f t="shared" si="6"/>
        <v/>
      </c>
      <c r="U31" s="27" t="str">
        <f t="shared" si="7"/>
        <v/>
      </c>
      <c r="V31" s="27" t="str">
        <f t="shared" si="8"/>
        <v/>
      </c>
      <c r="W31" s="27" t="str">
        <f t="shared" si="9"/>
        <v/>
      </c>
      <c r="X31" s="27" t="str">
        <f t="shared" si="10"/>
        <v/>
      </c>
      <c r="Y31" s="27" t="str">
        <f t="shared" si="11"/>
        <v/>
      </c>
      <c r="Z31" s="28" t="str">
        <f t="shared" si="12"/>
        <v/>
      </c>
      <c r="AA31" s="28" t="str">
        <f t="shared" si="13"/>
        <v/>
      </c>
      <c r="AB31" s="27" t="str">
        <f t="shared" si="14"/>
        <v/>
      </c>
      <c r="AC31" s="27" t="str">
        <f t="shared" si="15"/>
        <v/>
      </c>
      <c r="AD31" s="27" t="str">
        <f>IF(N($AM31)=0,"",INDEX('Luna anterioară'!$Z$8:$Z$37,$AM31))</f>
        <v/>
      </c>
      <c r="AE31" s="31" t="str">
        <f t="shared" si="16"/>
        <v/>
      </c>
      <c r="AF31" s="32" t="str">
        <f>IF($C31="","",TRIM(IF(O31&lt;0,"Zile peste zilele lucrătoare! ",IF(O31&gt;0,O31&amp;" zi(le) neplătite (absențe) – verifică pontajul. ",""))&amp;IF(N($AM31)=0,"Angajat nou față de luna anterioară. ",IF(AND(ISNUMBER(AE31),ABS(AE31)&gt;=PragDif),"Net "&amp;IF(AE31&gt;0,"+","")&amp;ROUND(AE31*100,0)&amp;"%: "&amp;IF(E31&lt;&gt;INDEX('Luna anterioară'!$E$8:$E$37,$AM31),"salariul de bază "&amp;TEXT(INDEX('Luna anterioară'!$E$8:$E$37,$AM31),"0")&amp;" → "&amp;TEXT(E31,"0")&amp;"; ","")&amp;IF(N(F31)+N(G31)&lt;&gt;N(INDEX('Luna anterioară'!$F$8:$F$37,$AM31))+N(INDEX('Luna anterioară'!$G$8:$G$37,$AM31)),"zile plătite "&amp;(N(INDEX('Luna anterioară'!$F$8:$F$37,$AM31))+N(INDEX('Luna anterioară'!$G$8:$G$37,$AM31)))&amp;" → "&amp;(N(F31)+N(G31))&amp;"; ","")&amp;IF(N(H31)&lt;&gt;N(INDEX('Luna anterioară'!$H$8:$H$37,$AM31)),"zile CM "&amp;N(INDEX('Luna anterioară'!$H$8:$H$37,$AM31))&amp;" → "&amp;N(H31)&amp;"; ","")&amp;IF(N(I31)&lt;&gt;N(INDEX('Luna anterioară'!$I$8:$I$37,$AM31)),"ore supl. "&amp;N(INDEX('Luna anterioară'!$I$8:$I$37,$AM31))&amp;" → "&amp;N(I31)&amp;"; ","")&amp;IF(N(J31)&lt;&gt;N(INDEX('Luna anterioară'!$J$8:$J$37,$AM31)),"prime "&amp;N(INDEX('Luna anterioară'!$J$8:$J$37,$AM31))&amp;" → "&amp;N(J31)&amp;"; ","")&amp;IF(N(K31)&lt;&gt;N(INDEX('Luna anterioară'!$K$8:$K$37,$AM31)),"persoane în întreținere "&amp;N(INDEX('Luna anterioară'!$K$8:$K$37,$AM31))&amp;" → "&amp;N(K31)&amp;"; ",""),""))))</f>
        <v/>
      </c>
      <c r="AM31" s="1" t="str">
        <f>IF($C31="","",IFERROR(MATCH($C31,'Luna anterioară'!$C$8:$C$37,0),""))</f>
        <v/>
      </c>
    </row>
    <row r="32" spans="2:39" x14ac:dyDescent="0.2">
      <c r="B32" s="24" t="str">
        <f t="shared" si="0"/>
        <v/>
      </c>
      <c r="C32" s="13"/>
      <c r="D32" s="13"/>
      <c r="E32" s="12"/>
      <c r="F32" s="25"/>
      <c r="G32" s="25"/>
      <c r="H32" s="25"/>
      <c r="I32" s="25"/>
      <c r="J32" s="26"/>
      <c r="K32" s="25"/>
      <c r="L32" s="25"/>
      <c r="M32" s="12"/>
      <c r="N32" s="12"/>
      <c r="O32" s="24" t="str">
        <f t="shared" si="1"/>
        <v/>
      </c>
      <c r="P32" s="27" t="str">
        <f t="shared" si="2"/>
        <v/>
      </c>
      <c r="Q32" s="27" t="str">
        <f t="shared" si="3"/>
        <v/>
      </c>
      <c r="R32" s="27" t="str">
        <f t="shared" si="4"/>
        <v/>
      </c>
      <c r="S32" s="27" t="str">
        <f t="shared" si="5"/>
        <v/>
      </c>
      <c r="T32" s="27" t="str">
        <f t="shared" si="6"/>
        <v/>
      </c>
      <c r="U32" s="27" t="str">
        <f t="shared" si="7"/>
        <v/>
      </c>
      <c r="V32" s="27" t="str">
        <f t="shared" si="8"/>
        <v/>
      </c>
      <c r="W32" s="27" t="str">
        <f t="shared" si="9"/>
        <v/>
      </c>
      <c r="X32" s="27" t="str">
        <f t="shared" si="10"/>
        <v/>
      </c>
      <c r="Y32" s="27" t="str">
        <f t="shared" si="11"/>
        <v/>
      </c>
      <c r="Z32" s="28" t="str">
        <f t="shared" si="12"/>
        <v/>
      </c>
      <c r="AA32" s="28" t="str">
        <f t="shared" si="13"/>
        <v/>
      </c>
      <c r="AB32" s="27" t="str">
        <f t="shared" si="14"/>
        <v/>
      </c>
      <c r="AC32" s="27" t="str">
        <f t="shared" si="15"/>
        <v/>
      </c>
      <c r="AD32" s="27" t="str">
        <f>IF(N($AM32)=0,"",INDEX('Luna anterioară'!$Z$8:$Z$37,$AM32))</f>
        <v/>
      </c>
      <c r="AE32" s="31" t="str">
        <f t="shared" si="16"/>
        <v/>
      </c>
      <c r="AF32" s="32" t="str">
        <f>IF($C32="","",TRIM(IF(O32&lt;0,"Zile peste zilele lucrătoare! ",IF(O32&gt;0,O32&amp;" zi(le) neplătite (absențe) – verifică pontajul. ",""))&amp;IF(N($AM32)=0,"Angajat nou față de luna anterioară. ",IF(AND(ISNUMBER(AE32),ABS(AE32)&gt;=PragDif),"Net "&amp;IF(AE32&gt;0,"+","")&amp;ROUND(AE32*100,0)&amp;"%: "&amp;IF(E32&lt;&gt;INDEX('Luna anterioară'!$E$8:$E$37,$AM32),"salariul de bază "&amp;TEXT(INDEX('Luna anterioară'!$E$8:$E$37,$AM32),"0")&amp;" → "&amp;TEXT(E32,"0")&amp;"; ","")&amp;IF(N(F32)+N(G32)&lt;&gt;N(INDEX('Luna anterioară'!$F$8:$F$37,$AM32))+N(INDEX('Luna anterioară'!$G$8:$G$37,$AM32)),"zile plătite "&amp;(N(INDEX('Luna anterioară'!$F$8:$F$37,$AM32))+N(INDEX('Luna anterioară'!$G$8:$G$37,$AM32)))&amp;" → "&amp;(N(F32)+N(G32))&amp;"; ","")&amp;IF(N(H32)&lt;&gt;N(INDEX('Luna anterioară'!$H$8:$H$37,$AM32)),"zile CM "&amp;N(INDEX('Luna anterioară'!$H$8:$H$37,$AM32))&amp;" → "&amp;N(H32)&amp;"; ","")&amp;IF(N(I32)&lt;&gt;N(INDEX('Luna anterioară'!$I$8:$I$37,$AM32)),"ore supl. "&amp;N(INDEX('Luna anterioară'!$I$8:$I$37,$AM32))&amp;" → "&amp;N(I32)&amp;"; ","")&amp;IF(N(J32)&lt;&gt;N(INDEX('Luna anterioară'!$J$8:$J$37,$AM32)),"prime "&amp;N(INDEX('Luna anterioară'!$J$8:$J$37,$AM32))&amp;" → "&amp;N(J32)&amp;"; ","")&amp;IF(N(K32)&lt;&gt;N(INDEX('Luna anterioară'!$K$8:$K$37,$AM32)),"persoane în întreținere "&amp;N(INDEX('Luna anterioară'!$K$8:$K$37,$AM32))&amp;" → "&amp;N(K32)&amp;"; ",""),""))))</f>
        <v/>
      </c>
      <c r="AM32" s="1" t="str">
        <f>IF($C32="","",IFERROR(MATCH($C32,'Luna anterioară'!$C$8:$C$37,0),""))</f>
        <v/>
      </c>
    </row>
    <row r="33" spans="2:39" x14ac:dyDescent="0.2">
      <c r="B33" s="24" t="str">
        <f t="shared" si="0"/>
        <v/>
      </c>
      <c r="C33" s="13"/>
      <c r="D33" s="13"/>
      <c r="E33" s="12"/>
      <c r="F33" s="25"/>
      <c r="G33" s="25"/>
      <c r="H33" s="25"/>
      <c r="I33" s="25"/>
      <c r="J33" s="26"/>
      <c r="K33" s="25"/>
      <c r="L33" s="25"/>
      <c r="M33" s="12"/>
      <c r="N33" s="12"/>
      <c r="O33" s="24" t="str">
        <f t="shared" si="1"/>
        <v/>
      </c>
      <c r="P33" s="27" t="str">
        <f t="shared" si="2"/>
        <v/>
      </c>
      <c r="Q33" s="27" t="str">
        <f t="shared" si="3"/>
        <v/>
      </c>
      <c r="R33" s="27" t="str">
        <f t="shared" si="4"/>
        <v/>
      </c>
      <c r="S33" s="27" t="str">
        <f t="shared" si="5"/>
        <v/>
      </c>
      <c r="T33" s="27" t="str">
        <f t="shared" si="6"/>
        <v/>
      </c>
      <c r="U33" s="27" t="str">
        <f t="shared" si="7"/>
        <v/>
      </c>
      <c r="V33" s="27" t="str">
        <f t="shared" si="8"/>
        <v/>
      </c>
      <c r="W33" s="27" t="str">
        <f t="shared" si="9"/>
        <v/>
      </c>
      <c r="X33" s="27" t="str">
        <f t="shared" si="10"/>
        <v/>
      </c>
      <c r="Y33" s="27" t="str">
        <f t="shared" si="11"/>
        <v/>
      </c>
      <c r="Z33" s="28" t="str">
        <f t="shared" si="12"/>
        <v/>
      </c>
      <c r="AA33" s="28" t="str">
        <f t="shared" si="13"/>
        <v/>
      </c>
      <c r="AB33" s="27" t="str">
        <f t="shared" si="14"/>
        <v/>
      </c>
      <c r="AC33" s="27" t="str">
        <f t="shared" si="15"/>
        <v/>
      </c>
      <c r="AD33" s="27" t="str">
        <f>IF(N($AM33)=0,"",INDEX('Luna anterioară'!$Z$8:$Z$37,$AM33))</f>
        <v/>
      </c>
      <c r="AE33" s="31" t="str">
        <f t="shared" si="16"/>
        <v/>
      </c>
      <c r="AF33" s="32" t="str">
        <f>IF($C33="","",TRIM(IF(O33&lt;0,"Zile peste zilele lucrătoare! ",IF(O33&gt;0,O33&amp;" zi(le) neplătite (absențe) – verifică pontajul. ",""))&amp;IF(N($AM33)=0,"Angajat nou față de luna anterioară. ",IF(AND(ISNUMBER(AE33),ABS(AE33)&gt;=PragDif),"Net "&amp;IF(AE33&gt;0,"+","")&amp;ROUND(AE33*100,0)&amp;"%: "&amp;IF(E33&lt;&gt;INDEX('Luna anterioară'!$E$8:$E$37,$AM33),"salariul de bază "&amp;TEXT(INDEX('Luna anterioară'!$E$8:$E$37,$AM33),"0")&amp;" → "&amp;TEXT(E33,"0")&amp;"; ","")&amp;IF(N(F33)+N(G33)&lt;&gt;N(INDEX('Luna anterioară'!$F$8:$F$37,$AM33))+N(INDEX('Luna anterioară'!$G$8:$G$37,$AM33)),"zile plătite "&amp;(N(INDEX('Luna anterioară'!$F$8:$F$37,$AM33))+N(INDEX('Luna anterioară'!$G$8:$G$37,$AM33)))&amp;" → "&amp;(N(F33)+N(G33))&amp;"; ","")&amp;IF(N(H33)&lt;&gt;N(INDEX('Luna anterioară'!$H$8:$H$37,$AM33)),"zile CM "&amp;N(INDEX('Luna anterioară'!$H$8:$H$37,$AM33))&amp;" → "&amp;N(H33)&amp;"; ","")&amp;IF(N(I33)&lt;&gt;N(INDEX('Luna anterioară'!$I$8:$I$37,$AM33)),"ore supl. "&amp;N(INDEX('Luna anterioară'!$I$8:$I$37,$AM33))&amp;" → "&amp;N(I33)&amp;"; ","")&amp;IF(N(J33)&lt;&gt;N(INDEX('Luna anterioară'!$J$8:$J$37,$AM33)),"prime "&amp;N(INDEX('Luna anterioară'!$J$8:$J$37,$AM33))&amp;" → "&amp;N(J33)&amp;"; ","")&amp;IF(N(K33)&lt;&gt;N(INDEX('Luna anterioară'!$K$8:$K$37,$AM33)),"persoane în întreținere "&amp;N(INDEX('Luna anterioară'!$K$8:$K$37,$AM33))&amp;" → "&amp;N(K33)&amp;"; ",""),""))))</f>
        <v/>
      </c>
      <c r="AM33" s="1" t="str">
        <f>IF($C33="","",IFERROR(MATCH($C33,'Luna anterioară'!$C$8:$C$37,0),""))</f>
        <v/>
      </c>
    </row>
    <row r="34" spans="2:39" x14ac:dyDescent="0.2">
      <c r="B34" s="24" t="str">
        <f t="shared" si="0"/>
        <v/>
      </c>
      <c r="C34" s="13"/>
      <c r="D34" s="13"/>
      <c r="E34" s="12"/>
      <c r="F34" s="25"/>
      <c r="G34" s="25"/>
      <c r="H34" s="25"/>
      <c r="I34" s="25"/>
      <c r="J34" s="26"/>
      <c r="K34" s="25"/>
      <c r="L34" s="25"/>
      <c r="M34" s="12"/>
      <c r="N34" s="12"/>
      <c r="O34" s="24" t="str">
        <f t="shared" si="1"/>
        <v/>
      </c>
      <c r="P34" s="27" t="str">
        <f t="shared" si="2"/>
        <v/>
      </c>
      <c r="Q34" s="27" t="str">
        <f t="shared" si="3"/>
        <v/>
      </c>
      <c r="R34" s="27" t="str">
        <f t="shared" si="4"/>
        <v/>
      </c>
      <c r="S34" s="27" t="str">
        <f t="shared" si="5"/>
        <v/>
      </c>
      <c r="T34" s="27" t="str">
        <f t="shared" si="6"/>
        <v/>
      </c>
      <c r="U34" s="27" t="str">
        <f t="shared" si="7"/>
        <v/>
      </c>
      <c r="V34" s="27" t="str">
        <f t="shared" si="8"/>
        <v/>
      </c>
      <c r="W34" s="27" t="str">
        <f t="shared" si="9"/>
        <v/>
      </c>
      <c r="X34" s="27" t="str">
        <f t="shared" si="10"/>
        <v/>
      </c>
      <c r="Y34" s="27" t="str">
        <f t="shared" si="11"/>
        <v/>
      </c>
      <c r="Z34" s="28" t="str">
        <f t="shared" si="12"/>
        <v/>
      </c>
      <c r="AA34" s="28" t="str">
        <f t="shared" si="13"/>
        <v/>
      </c>
      <c r="AB34" s="27" t="str">
        <f t="shared" si="14"/>
        <v/>
      </c>
      <c r="AC34" s="27" t="str">
        <f t="shared" si="15"/>
        <v/>
      </c>
      <c r="AD34" s="27" t="str">
        <f>IF(N($AM34)=0,"",INDEX('Luna anterioară'!$Z$8:$Z$37,$AM34))</f>
        <v/>
      </c>
      <c r="AE34" s="31" t="str">
        <f t="shared" si="16"/>
        <v/>
      </c>
      <c r="AF34" s="32" t="str">
        <f>IF($C34="","",TRIM(IF(O34&lt;0,"Zile peste zilele lucrătoare! ",IF(O34&gt;0,O34&amp;" zi(le) neplătite (absențe) – verifică pontajul. ",""))&amp;IF(N($AM34)=0,"Angajat nou față de luna anterioară. ",IF(AND(ISNUMBER(AE34),ABS(AE34)&gt;=PragDif),"Net "&amp;IF(AE34&gt;0,"+","")&amp;ROUND(AE34*100,0)&amp;"%: "&amp;IF(E34&lt;&gt;INDEX('Luna anterioară'!$E$8:$E$37,$AM34),"salariul de bază "&amp;TEXT(INDEX('Luna anterioară'!$E$8:$E$37,$AM34),"0")&amp;" → "&amp;TEXT(E34,"0")&amp;"; ","")&amp;IF(N(F34)+N(G34)&lt;&gt;N(INDEX('Luna anterioară'!$F$8:$F$37,$AM34))+N(INDEX('Luna anterioară'!$G$8:$G$37,$AM34)),"zile plătite "&amp;(N(INDEX('Luna anterioară'!$F$8:$F$37,$AM34))+N(INDEX('Luna anterioară'!$G$8:$G$37,$AM34)))&amp;" → "&amp;(N(F34)+N(G34))&amp;"; ","")&amp;IF(N(H34)&lt;&gt;N(INDEX('Luna anterioară'!$H$8:$H$37,$AM34)),"zile CM "&amp;N(INDEX('Luna anterioară'!$H$8:$H$37,$AM34))&amp;" → "&amp;N(H34)&amp;"; ","")&amp;IF(N(I34)&lt;&gt;N(INDEX('Luna anterioară'!$I$8:$I$37,$AM34)),"ore supl. "&amp;N(INDEX('Luna anterioară'!$I$8:$I$37,$AM34))&amp;" → "&amp;N(I34)&amp;"; ","")&amp;IF(N(J34)&lt;&gt;N(INDEX('Luna anterioară'!$J$8:$J$37,$AM34)),"prime "&amp;N(INDEX('Luna anterioară'!$J$8:$J$37,$AM34))&amp;" → "&amp;N(J34)&amp;"; ","")&amp;IF(N(K34)&lt;&gt;N(INDEX('Luna anterioară'!$K$8:$K$37,$AM34)),"persoane în întreținere "&amp;N(INDEX('Luna anterioară'!$K$8:$K$37,$AM34))&amp;" → "&amp;N(K34)&amp;"; ",""),""))))</f>
        <v/>
      </c>
      <c r="AM34" s="1" t="str">
        <f>IF($C34="","",IFERROR(MATCH($C34,'Luna anterioară'!$C$8:$C$37,0),""))</f>
        <v/>
      </c>
    </row>
    <row r="35" spans="2:39" x14ac:dyDescent="0.2">
      <c r="B35" s="24" t="str">
        <f t="shared" si="0"/>
        <v/>
      </c>
      <c r="C35" s="13"/>
      <c r="D35" s="13"/>
      <c r="E35" s="12"/>
      <c r="F35" s="25"/>
      <c r="G35" s="25"/>
      <c r="H35" s="25"/>
      <c r="I35" s="25"/>
      <c r="J35" s="26"/>
      <c r="K35" s="25"/>
      <c r="L35" s="25"/>
      <c r="M35" s="12"/>
      <c r="N35" s="12"/>
      <c r="O35" s="24" t="str">
        <f t="shared" si="1"/>
        <v/>
      </c>
      <c r="P35" s="27" t="str">
        <f t="shared" si="2"/>
        <v/>
      </c>
      <c r="Q35" s="27" t="str">
        <f t="shared" si="3"/>
        <v/>
      </c>
      <c r="R35" s="27" t="str">
        <f t="shared" si="4"/>
        <v/>
      </c>
      <c r="S35" s="27" t="str">
        <f t="shared" si="5"/>
        <v/>
      </c>
      <c r="T35" s="27" t="str">
        <f t="shared" si="6"/>
        <v/>
      </c>
      <c r="U35" s="27" t="str">
        <f t="shared" si="7"/>
        <v/>
      </c>
      <c r="V35" s="27" t="str">
        <f t="shared" si="8"/>
        <v/>
      </c>
      <c r="W35" s="27" t="str">
        <f t="shared" si="9"/>
        <v/>
      </c>
      <c r="X35" s="27" t="str">
        <f t="shared" si="10"/>
        <v/>
      </c>
      <c r="Y35" s="27" t="str">
        <f t="shared" si="11"/>
        <v/>
      </c>
      <c r="Z35" s="28" t="str">
        <f t="shared" si="12"/>
        <v/>
      </c>
      <c r="AA35" s="28" t="str">
        <f t="shared" si="13"/>
        <v/>
      </c>
      <c r="AB35" s="27" t="str">
        <f t="shared" si="14"/>
        <v/>
      </c>
      <c r="AC35" s="27" t="str">
        <f t="shared" si="15"/>
        <v/>
      </c>
      <c r="AD35" s="27" t="str">
        <f>IF(N($AM35)=0,"",INDEX('Luna anterioară'!$Z$8:$Z$37,$AM35))</f>
        <v/>
      </c>
      <c r="AE35" s="31" t="str">
        <f t="shared" si="16"/>
        <v/>
      </c>
      <c r="AF35" s="32" t="str">
        <f>IF($C35="","",TRIM(IF(O35&lt;0,"Zile peste zilele lucrătoare! ",IF(O35&gt;0,O35&amp;" zi(le) neplătite (absențe) – verifică pontajul. ",""))&amp;IF(N($AM35)=0,"Angajat nou față de luna anterioară. ",IF(AND(ISNUMBER(AE35),ABS(AE35)&gt;=PragDif),"Net "&amp;IF(AE35&gt;0,"+","")&amp;ROUND(AE35*100,0)&amp;"%: "&amp;IF(E35&lt;&gt;INDEX('Luna anterioară'!$E$8:$E$37,$AM35),"salariul de bază "&amp;TEXT(INDEX('Luna anterioară'!$E$8:$E$37,$AM35),"0")&amp;" → "&amp;TEXT(E35,"0")&amp;"; ","")&amp;IF(N(F35)+N(G35)&lt;&gt;N(INDEX('Luna anterioară'!$F$8:$F$37,$AM35))+N(INDEX('Luna anterioară'!$G$8:$G$37,$AM35)),"zile plătite "&amp;(N(INDEX('Luna anterioară'!$F$8:$F$37,$AM35))+N(INDEX('Luna anterioară'!$G$8:$G$37,$AM35)))&amp;" → "&amp;(N(F35)+N(G35))&amp;"; ","")&amp;IF(N(H35)&lt;&gt;N(INDEX('Luna anterioară'!$H$8:$H$37,$AM35)),"zile CM "&amp;N(INDEX('Luna anterioară'!$H$8:$H$37,$AM35))&amp;" → "&amp;N(H35)&amp;"; ","")&amp;IF(N(I35)&lt;&gt;N(INDEX('Luna anterioară'!$I$8:$I$37,$AM35)),"ore supl. "&amp;N(INDEX('Luna anterioară'!$I$8:$I$37,$AM35))&amp;" → "&amp;N(I35)&amp;"; ","")&amp;IF(N(J35)&lt;&gt;N(INDEX('Luna anterioară'!$J$8:$J$37,$AM35)),"prime "&amp;N(INDEX('Luna anterioară'!$J$8:$J$37,$AM35))&amp;" → "&amp;N(J35)&amp;"; ","")&amp;IF(N(K35)&lt;&gt;N(INDEX('Luna anterioară'!$K$8:$K$37,$AM35)),"persoane în întreținere "&amp;N(INDEX('Luna anterioară'!$K$8:$K$37,$AM35))&amp;" → "&amp;N(K35)&amp;"; ",""),""))))</f>
        <v/>
      </c>
      <c r="AM35" s="1" t="str">
        <f>IF($C35="","",IFERROR(MATCH($C35,'Luna anterioară'!$C$8:$C$37,0),""))</f>
        <v/>
      </c>
    </row>
    <row r="36" spans="2:39" x14ac:dyDescent="0.2">
      <c r="B36" s="24" t="str">
        <f t="shared" si="0"/>
        <v/>
      </c>
      <c r="C36" s="13"/>
      <c r="D36" s="13"/>
      <c r="E36" s="12"/>
      <c r="F36" s="25"/>
      <c r="G36" s="25"/>
      <c r="H36" s="25"/>
      <c r="I36" s="25"/>
      <c r="J36" s="26"/>
      <c r="K36" s="25"/>
      <c r="L36" s="25"/>
      <c r="M36" s="12"/>
      <c r="N36" s="12"/>
      <c r="O36" s="24" t="str">
        <f t="shared" si="1"/>
        <v/>
      </c>
      <c r="P36" s="27" t="str">
        <f t="shared" si="2"/>
        <v/>
      </c>
      <c r="Q36" s="27" t="str">
        <f t="shared" si="3"/>
        <v/>
      </c>
      <c r="R36" s="27" t="str">
        <f t="shared" si="4"/>
        <v/>
      </c>
      <c r="S36" s="27" t="str">
        <f t="shared" si="5"/>
        <v/>
      </c>
      <c r="T36" s="27" t="str">
        <f t="shared" si="6"/>
        <v/>
      </c>
      <c r="U36" s="27" t="str">
        <f t="shared" si="7"/>
        <v/>
      </c>
      <c r="V36" s="27" t="str">
        <f t="shared" si="8"/>
        <v/>
      </c>
      <c r="W36" s="27" t="str">
        <f t="shared" si="9"/>
        <v/>
      </c>
      <c r="X36" s="27" t="str">
        <f t="shared" si="10"/>
        <v/>
      </c>
      <c r="Y36" s="27" t="str">
        <f t="shared" si="11"/>
        <v/>
      </c>
      <c r="Z36" s="28" t="str">
        <f t="shared" si="12"/>
        <v/>
      </c>
      <c r="AA36" s="28" t="str">
        <f t="shared" si="13"/>
        <v/>
      </c>
      <c r="AB36" s="27" t="str">
        <f t="shared" si="14"/>
        <v/>
      </c>
      <c r="AC36" s="27" t="str">
        <f t="shared" si="15"/>
        <v/>
      </c>
      <c r="AD36" s="27" t="str">
        <f>IF(N($AM36)=0,"",INDEX('Luna anterioară'!$Z$8:$Z$37,$AM36))</f>
        <v/>
      </c>
      <c r="AE36" s="31" t="str">
        <f t="shared" si="16"/>
        <v/>
      </c>
      <c r="AF36" s="32" t="str">
        <f>IF($C36="","",TRIM(IF(O36&lt;0,"Zile peste zilele lucrătoare! ",IF(O36&gt;0,O36&amp;" zi(le) neplătite (absențe) – verifică pontajul. ",""))&amp;IF(N($AM36)=0,"Angajat nou față de luna anterioară. ",IF(AND(ISNUMBER(AE36),ABS(AE36)&gt;=PragDif),"Net "&amp;IF(AE36&gt;0,"+","")&amp;ROUND(AE36*100,0)&amp;"%: "&amp;IF(E36&lt;&gt;INDEX('Luna anterioară'!$E$8:$E$37,$AM36),"salariul de bază "&amp;TEXT(INDEX('Luna anterioară'!$E$8:$E$37,$AM36),"0")&amp;" → "&amp;TEXT(E36,"0")&amp;"; ","")&amp;IF(N(F36)+N(G36)&lt;&gt;N(INDEX('Luna anterioară'!$F$8:$F$37,$AM36))+N(INDEX('Luna anterioară'!$G$8:$G$37,$AM36)),"zile plătite "&amp;(N(INDEX('Luna anterioară'!$F$8:$F$37,$AM36))+N(INDEX('Luna anterioară'!$G$8:$G$37,$AM36)))&amp;" → "&amp;(N(F36)+N(G36))&amp;"; ","")&amp;IF(N(H36)&lt;&gt;N(INDEX('Luna anterioară'!$H$8:$H$37,$AM36)),"zile CM "&amp;N(INDEX('Luna anterioară'!$H$8:$H$37,$AM36))&amp;" → "&amp;N(H36)&amp;"; ","")&amp;IF(N(I36)&lt;&gt;N(INDEX('Luna anterioară'!$I$8:$I$37,$AM36)),"ore supl. "&amp;N(INDEX('Luna anterioară'!$I$8:$I$37,$AM36))&amp;" → "&amp;N(I36)&amp;"; ","")&amp;IF(N(J36)&lt;&gt;N(INDEX('Luna anterioară'!$J$8:$J$37,$AM36)),"prime "&amp;N(INDEX('Luna anterioară'!$J$8:$J$37,$AM36))&amp;" → "&amp;N(J36)&amp;"; ","")&amp;IF(N(K36)&lt;&gt;N(INDEX('Luna anterioară'!$K$8:$K$37,$AM36)),"persoane în întreținere "&amp;N(INDEX('Luna anterioară'!$K$8:$K$37,$AM36))&amp;" → "&amp;N(K36)&amp;"; ",""),""))))</f>
        <v/>
      </c>
      <c r="AM36" s="1" t="str">
        <f>IF($C36="","",IFERROR(MATCH($C36,'Luna anterioară'!$C$8:$C$37,0),""))</f>
        <v/>
      </c>
    </row>
    <row r="37" spans="2:39" x14ac:dyDescent="0.2">
      <c r="B37" s="24" t="str">
        <f t="shared" si="0"/>
        <v/>
      </c>
      <c r="C37" s="13"/>
      <c r="D37" s="13"/>
      <c r="E37" s="12"/>
      <c r="F37" s="25"/>
      <c r="G37" s="25"/>
      <c r="H37" s="25"/>
      <c r="I37" s="25"/>
      <c r="J37" s="26"/>
      <c r="K37" s="25"/>
      <c r="L37" s="25"/>
      <c r="M37" s="12"/>
      <c r="N37" s="12"/>
      <c r="O37" s="24" t="str">
        <f t="shared" si="1"/>
        <v/>
      </c>
      <c r="P37" s="27" t="str">
        <f t="shared" si="2"/>
        <v/>
      </c>
      <c r="Q37" s="27" t="str">
        <f t="shared" si="3"/>
        <v/>
      </c>
      <c r="R37" s="27" t="str">
        <f t="shared" si="4"/>
        <v/>
      </c>
      <c r="S37" s="27" t="str">
        <f t="shared" si="5"/>
        <v/>
      </c>
      <c r="T37" s="27" t="str">
        <f t="shared" si="6"/>
        <v/>
      </c>
      <c r="U37" s="27" t="str">
        <f t="shared" si="7"/>
        <v/>
      </c>
      <c r="V37" s="27" t="str">
        <f t="shared" si="8"/>
        <v/>
      </c>
      <c r="W37" s="27" t="str">
        <f t="shared" si="9"/>
        <v/>
      </c>
      <c r="X37" s="27" t="str">
        <f t="shared" si="10"/>
        <v/>
      </c>
      <c r="Y37" s="27" t="str">
        <f t="shared" si="11"/>
        <v/>
      </c>
      <c r="Z37" s="28" t="str">
        <f t="shared" si="12"/>
        <v/>
      </c>
      <c r="AA37" s="28" t="str">
        <f t="shared" si="13"/>
        <v/>
      </c>
      <c r="AB37" s="27" t="str">
        <f t="shared" si="14"/>
        <v/>
      </c>
      <c r="AC37" s="27" t="str">
        <f t="shared" si="15"/>
        <v/>
      </c>
      <c r="AD37" s="27" t="str">
        <f>IF(N($AM37)=0,"",INDEX('Luna anterioară'!$Z$8:$Z$37,$AM37))</f>
        <v/>
      </c>
      <c r="AE37" s="31" t="str">
        <f t="shared" si="16"/>
        <v/>
      </c>
      <c r="AF37" s="32" t="str">
        <f>IF($C37="","",TRIM(IF(O37&lt;0,"Zile peste zilele lucrătoare! ",IF(O37&gt;0,O37&amp;" zi(le) neplătite (absențe) – verifică pontajul. ",""))&amp;IF(N($AM37)=0,"Angajat nou față de luna anterioară. ",IF(AND(ISNUMBER(AE37),ABS(AE37)&gt;=PragDif),"Net "&amp;IF(AE37&gt;0,"+","")&amp;ROUND(AE37*100,0)&amp;"%: "&amp;IF(E37&lt;&gt;INDEX('Luna anterioară'!$E$8:$E$37,$AM37),"salariul de bază "&amp;TEXT(INDEX('Luna anterioară'!$E$8:$E$37,$AM37),"0")&amp;" → "&amp;TEXT(E37,"0")&amp;"; ","")&amp;IF(N(F37)+N(G37)&lt;&gt;N(INDEX('Luna anterioară'!$F$8:$F$37,$AM37))+N(INDEX('Luna anterioară'!$G$8:$G$37,$AM37)),"zile plătite "&amp;(N(INDEX('Luna anterioară'!$F$8:$F$37,$AM37))+N(INDEX('Luna anterioară'!$G$8:$G$37,$AM37)))&amp;" → "&amp;(N(F37)+N(G37))&amp;"; ","")&amp;IF(N(H37)&lt;&gt;N(INDEX('Luna anterioară'!$H$8:$H$37,$AM37)),"zile CM "&amp;N(INDEX('Luna anterioară'!$H$8:$H$37,$AM37))&amp;" → "&amp;N(H37)&amp;"; ","")&amp;IF(N(I37)&lt;&gt;N(INDEX('Luna anterioară'!$I$8:$I$37,$AM37)),"ore supl. "&amp;N(INDEX('Luna anterioară'!$I$8:$I$37,$AM37))&amp;" → "&amp;N(I37)&amp;"; ","")&amp;IF(N(J37)&lt;&gt;N(INDEX('Luna anterioară'!$J$8:$J$37,$AM37)),"prime "&amp;N(INDEX('Luna anterioară'!$J$8:$J$37,$AM37))&amp;" → "&amp;N(J37)&amp;"; ","")&amp;IF(N(K37)&lt;&gt;N(INDEX('Luna anterioară'!$K$8:$K$37,$AM37)),"persoane în întreținere "&amp;N(INDEX('Luna anterioară'!$K$8:$K$37,$AM37))&amp;" → "&amp;N(K37)&amp;"; ",""),""))))</f>
        <v/>
      </c>
      <c r="AM37" s="1" t="str">
        <f>IF($C37="","",IFERROR(MATCH($C37,'Luna anterioară'!$C$8:$C$37,0),""))</f>
        <v/>
      </c>
    </row>
    <row r="38" spans="2:39" x14ac:dyDescent="0.2">
      <c r="B38" s="29"/>
      <c r="C38" s="29" t="s">
        <v>78</v>
      </c>
      <c r="D38" s="29"/>
      <c r="E38" s="30">
        <f t="shared" ref="E38:J38" si="17">SUM(E$8:E$37)</f>
        <v>30425</v>
      </c>
      <c r="F38" s="29">
        <f t="shared" si="17"/>
        <v>123</v>
      </c>
      <c r="G38" s="29">
        <f t="shared" si="17"/>
        <v>5</v>
      </c>
      <c r="H38" s="29">
        <f t="shared" si="17"/>
        <v>3</v>
      </c>
      <c r="I38" s="29">
        <f t="shared" si="17"/>
        <v>19</v>
      </c>
      <c r="J38" s="30">
        <f t="shared" si="17"/>
        <v>1200</v>
      </c>
      <c r="K38" s="29"/>
      <c r="L38" s="29"/>
      <c r="M38" s="30">
        <f>SUM(M$8:M$37)</f>
        <v>5500</v>
      </c>
      <c r="N38" s="30">
        <f>SUM(N$8:N$37)</f>
        <v>350</v>
      </c>
      <c r="O38" s="29"/>
      <c r="P38" s="30">
        <f t="shared" ref="P38:AD38" si="18">SUM(P$8:P$37)</f>
        <v>29534</v>
      </c>
      <c r="Q38" s="30">
        <f t="shared" si="18"/>
        <v>888</v>
      </c>
      <c r="R38" s="30">
        <f t="shared" si="18"/>
        <v>31622</v>
      </c>
      <c r="S38" s="30">
        <f t="shared" si="18"/>
        <v>200</v>
      </c>
      <c r="T38" s="30">
        <f t="shared" si="18"/>
        <v>31422</v>
      </c>
      <c r="U38" s="30">
        <f t="shared" si="18"/>
        <v>7857</v>
      </c>
      <c r="V38" s="30">
        <f t="shared" si="18"/>
        <v>3142</v>
      </c>
      <c r="W38" s="30">
        <f t="shared" si="18"/>
        <v>4066</v>
      </c>
      <c r="X38" s="30">
        <f t="shared" si="18"/>
        <v>16357</v>
      </c>
      <c r="Y38" s="30">
        <f t="shared" si="18"/>
        <v>1637</v>
      </c>
      <c r="Z38" s="30">
        <f t="shared" si="18"/>
        <v>18986</v>
      </c>
      <c r="AA38" s="30">
        <f t="shared" si="18"/>
        <v>13136</v>
      </c>
      <c r="AB38" s="30">
        <f t="shared" si="18"/>
        <v>707</v>
      </c>
      <c r="AC38" s="30">
        <f t="shared" si="18"/>
        <v>32329</v>
      </c>
      <c r="AD38" s="30">
        <f t="shared" si="18"/>
        <v>18813</v>
      </c>
      <c r="AE38" s="33">
        <f>IF(N(AD38)=0,"",Z38/AD38-1)</f>
        <v>9.1957688832191575E-3</v>
      </c>
      <c r="AF38" s="29"/>
    </row>
    <row r="41" spans="2:39" x14ac:dyDescent="0.2">
      <c r="B41" s="3"/>
      <c r="C41" s="3" t="s">
        <v>79</v>
      </c>
      <c r="D41" s="3"/>
      <c r="E41" s="3"/>
      <c r="F41" s="3"/>
      <c r="G41" s="3"/>
      <c r="H41" s="3"/>
      <c r="I41" s="3"/>
      <c r="J41" s="3"/>
      <c r="K41" s="3"/>
      <c r="L41" s="3" t="s">
        <v>80</v>
      </c>
      <c r="M41" s="3"/>
      <c r="N41" s="3"/>
      <c r="O41" s="3"/>
      <c r="P41" s="3"/>
      <c r="Q41" s="3"/>
      <c r="R41" s="3"/>
      <c r="S41" s="3"/>
      <c r="T41" s="3"/>
      <c r="U41" s="3"/>
      <c r="V41" s="3" t="s">
        <v>81</v>
      </c>
      <c r="W41" s="3"/>
      <c r="X41" s="3"/>
      <c r="Y41" s="3"/>
      <c r="Z41" s="3"/>
      <c r="AA41" s="3"/>
      <c r="AB41" s="3"/>
      <c r="AC41" s="3"/>
      <c r="AD41" s="3"/>
      <c r="AE41" s="3"/>
      <c r="AF41" s="3"/>
    </row>
    <row r="1000" spans="702:702" ht="15" x14ac:dyDescent="0.25">
      <c r="ZZ1000"/>
    </row>
  </sheetData>
  <conditionalFormatting sqref="B8:AF37">
    <cfRule type="expression" dxfId="1" priority="1" stopIfTrue="1">
      <formula>AND($C8&lt;&gt;"",$AF8&lt;&gt;"")</formula>
    </cfRule>
  </conditionalFormatting>
  <conditionalFormatting sqref="O8:O37">
    <cfRule type="expression" dxfId="0" priority="2" stopIfTrue="1">
      <formula>N($O8)&lt;0</formula>
    </cfRule>
  </conditionalFormatting>
  <dataValidations count="3">
    <dataValidation type="list" allowBlank="1" showInputMessage="1" showErrorMessage="1" sqref="C4" xr:uid="{A3A01586-4CC1-4638-A74D-B7F3C2D8BDDD}">
      <formula1>ListaLuniSP</formula1>
    </dataValidation>
    <dataValidation type="whole" allowBlank="1" showInputMessage="1" showErrorMessage="1" sqref="K8:K37" xr:uid="{AC2E6612-5E90-410A-98AA-D476CAAA45E1}">
      <formula1>0</formula1>
      <formula2>4</formula2>
    </dataValidation>
    <dataValidation type="list" allowBlank="1" showInputMessage="1" showErrorMessage="1" sqref="L8:L37" xr:uid="{53DBD632-D658-4C04-9AB3-7A30D7DB02A2}">
      <formula1>DaNu</formula1>
    </dataValidation>
  </dataValidations>
  <pageMargins left="0.7" right="0.7" top="0.75" bottom="0.75" header="0.3" footer="0.3"/>
  <pageSetup scale="36" orientation="landscape" r:id="rId1"/>
  <headerFooter>
    <oddFooter>&amp;Cmodelexcel.ro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B937E-C291-4B5C-855B-B2FE8A2F7F91}">
  <sheetPr>
    <pageSetUpPr fitToPage="1"/>
  </sheetPr>
  <dimension ref="B1:AL4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baseColWidth="10" defaultRowHeight="12.75" x14ac:dyDescent="0.2"/>
  <cols>
    <col min="1" max="1" width="2.7109375" style="1" customWidth="1"/>
    <col min="2" max="2" width="4.7109375" style="1" customWidth="1"/>
    <col min="3" max="3" width="18.7109375" style="1" customWidth="1"/>
    <col min="4" max="4" width="13.7109375" style="1" customWidth="1"/>
    <col min="5" max="5" width="9.7109375" style="1" customWidth="1"/>
    <col min="6" max="9" width="7.7109375" style="1" customWidth="1"/>
    <col min="10" max="10" width="9.7109375" style="1" customWidth="1"/>
    <col min="11" max="12" width="7.7109375" style="1" customWidth="1"/>
    <col min="13" max="14" width="9.7109375" style="1" customWidth="1"/>
    <col min="15" max="15" width="7.7109375" style="1" customWidth="1"/>
    <col min="16" max="29" width="9.7109375" style="1" customWidth="1"/>
    <col min="30" max="16384" width="11.42578125" style="1"/>
  </cols>
  <sheetData>
    <row r="1" spans="2:38" x14ac:dyDescent="0.2">
      <c r="B1" s="3" t="str">
        <f>"Unitatea: "&amp;Firma&amp;"   CIF: "&amp;CIF</f>
        <v>Unitatea: Exemplu Instalații SRL   CIF: RO12345678</v>
      </c>
    </row>
    <row r="2" spans="2:38" ht="23.25" x14ac:dyDescent="0.35">
      <c r="B2" s="16" t="s">
        <v>35</v>
      </c>
    </row>
    <row r="4" spans="2:38" x14ac:dyDescent="0.2">
      <c r="B4" s="3" t="s">
        <v>36</v>
      </c>
      <c r="C4" s="17" t="s">
        <v>30</v>
      </c>
      <c r="D4" s="18">
        <v>2026</v>
      </c>
      <c r="F4" s="19" t="s">
        <v>37</v>
      </c>
      <c r="G4" s="21">
        <f>NETWORKDAYS($AL$4,EOMONTH($AL$4,0),Sarbatori)</f>
        <v>21</v>
      </c>
      <c r="I4" s="19" t="s">
        <v>38</v>
      </c>
      <c r="J4" s="22">
        <f>INDEX(PerSM,MATCH($AL$4,PerData,1))</f>
        <v>4325</v>
      </c>
      <c r="L4" s="19" t="s">
        <v>39</v>
      </c>
      <c r="M4" s="23" t="str">
        <f>INDEX(PerNetax,MATCH($AL$4,PerData,1))&amp;" / "&amp;INDEX(PerPlafon,MATCH($AL$4,PerData,1))&amp;" lei"</f>
        <v>200 / 4600 lei</v>
      </c>
      <c r="AL4" s="20">
        <f>DATE($D$4,MATCH($C$4,ListaLuniSP,0),1)</f>
        <v>46235</v>
      </c>
    </row>
    <row r="5" spans="2:38" x14ac:dyDescent="0.2">
      <c r="B5" s="14" t="s">
        <v>82</v>
      </c>
    </row>
    <row r="7" spans="2:38" ht="44.1" customHeight="1" x14ac:dyDescent="0.2">
      <c r="B7" s="10" t="s">
        <v>40</v>
      </c>
      <c r="C7" s="10" t="s">
        <v>41</v>
      </c>
      <c r="D7" s="10" t="s">
        <v>42</v>
      </c>
      <c r="E7" s="10" t="s">
        <v>43</v>
      </c>
      <c r="F7" s="10" t="s">
        <v>44</v>
      </c>
      <c r="G7" s="10" t="s">
        <v>45</v>
      </c>
      <c r="H7" s="10" t="s">
        <v>46</v>
      </c>
      <c r="I7" s="10" t="s">
        <v>47</v>
      </c>
      <c r="J7" s="10" t="s">
        <v>48</v>
      </c>
      <c r="K7" s="10" t="s">
        <v>49</v>
      </c>
      <c r="L7" s="10" t="s">
        <v>50</v>
      </c>
      <c r="M7" s="10" t="s">
        <v>51</v>
      </c>
      <c r="N7" s="10" t="s">
        <v>52</v>
      </c>
      <c r="O7" s="10" t="s">
        <v>53</v>
      </c>
      <c r="P7" s="10" t="s">
        <v>54</v>
      </c>
      <c r="Q7" s="10" t="s">
        <v>55</v>
      </c>
      <c r="R7" s="10" t="s">
        <v>56</v>
      </c>
      <c r="S7" s="10" t="s">
        <v>15</v>
      </c>
      <c r="T7" s="10" t="s">
        <v>57</v>
      </c>
      <c r="U7" s="10" t="s">
        <v>58</v>
      </c>
      <c r="V7" s="10" t="s">
        <v>59</v>
      </c>
      <c r="W7" s="10" t="s">
        <v>60</v>
      </c>
      <c r="X7" s="10" t="s">
        <v>61</v>
      </c>
      <c r="Y7" s="10" t="s">
        <v>62</v>
      </c>
      <c r="Z7" s="10" t="s">
        <v>63</v>
      </c>
      <c r="AA7" s="10" t="s">
        <v>64</v>
      </c>
      <c r="AB7" s="10" t="s">
        <v>65</v>
      </c>
      <c r="AC7" s="10" t="s">
        <v>66</v>
      </c>
    </row>
    <row r="8" spans="2:38" x14ac:dyDescent="0.2">
      <c r="B8" s="24">
        <f t="shared" ref="B8:B37" si="0">IF($C8="","",ROW()-7)</f>
        <v>1</v>
      </c>
      <c r="C8" s="13" t="s">
        <v>67</v>
      </c>
      <c r="D8" s="13" t="s">
        <v>68</v>
      </c>
      <c r="E8" s="12">
        <v>6500</v>
      </c>
      <c r="F8" s="25">
        <v>21</v>
      </c>
      <c r="G8" s="25"/>
      <c r="H8" s="25"/>
      <c r="I8" s="25"/>
      <c r="J8" s="26"/>
      <c r="K8" s="25">
        <v>1</v>
      </c>
      <c r="L8" s="25" t="s">
        <v>21</v>
      </c>
      <c r="M8" s="12">
        <v>1500</v>
      </c>
      <c r="N8" s="12"/>
      <c r="O8" s="24">
        <f t="shared" ref="O8:O37" si="1">IF($C8="","",$G$4-N(F8)-N(G8)-N(H8))</f>
        <v>0</v>
      </c>
      <c r="P8" s="27">
        <f t="shared" ref="P8:P37" si="2">IF($C8="","",ROUND(E8/$G$4*(N(F8)+N(G8)),0))</f>
        <v>6500</v>
      </c>
      <c r="Q8" s="27">
        <f t="shared" ref="Q8:Q37" si="3">IF($C8="","",ROUND(E8/($G$4*NormaZi)*N(I8)*(1+SporSupl),0))</f>
        <v>0</v>
      </c>
      <c r="R8" s="27">
        <f t="shared" ref="R8:R37" si="4">IF($C8="","",P8+Q8+N(J8))</f>
        <v>6500</v>
      </c>
      <c r="S8" s="27">
        <f t="shared" ref="S8:S37" si="5">IF($C8="","",IF(AND(E8=$J$4,R8&lt;=INDEX(PerPlafon,MATCH($AL$4,PerData,1)),L8="Da"),ROUND(INDEX(PerNetax,MATCH($AL$4,PerData,1))*MIN(1,(N(F8)+N(G8))/$G$4),0),0))</f>
        <v>0</v>
      </c>
      <c r="T8" s="27">
        <f t="shared" ref="T8:T37" si="6">IF($C8="","",R8-S8)</f>
        <v>6500</v>
      </c>
      <c r="U8" s="27">
        <f t="shared" ref="U8:U37" si="7">IF($C8="","",ROUND(T8*CotaCAS,0))</f>
        <v>1625</v>
      </c>
      <c r="V8" s="27">
        <f t="shared" ref="V8:V37" si="8">IF($C8="","",ROUND(T8*CotaCASS,0))</f>
        <v>650</v>
      </c>
      <c r="W8" s="27">
        <f t="shared" ref="W8:W37" si="9">IF($C8="","",IF(OR(L8&lt;&gt;"Da",R8&gt;$J$4+2000),0,ROUND($J$4*MAX(0,CHOOSE(MIN(N(K8),4)+1,0.2,0.25,0.3,0.35,0.45)-0.005*MAX(0,ROUNDUP((R8-$J$4)/50,0))),0)))</f>
        <v>0</v>
      </c>
      <c r="X8" s="27">
        <f t="shared" ref="X8:X37" si="10">IF($C8="","",MAX(0,T8-U8-V8-W8))</f>
        <v>4225</v>
      </c>
      <c r="Y8" s="27">
        <f t="shared" ref="Y8:Y37" si="11">IF($C8="","",ROUND(X8*CotaImp,0))</f>
        <v>423</v>
      </c>
      <c r="Z8" s="28">
        <f t="shared" ref="Z8:Z37" si="12">IF($C8="","",R8-U8-V8-Y8)</f>
        <v>3802</v>
      </c>
      <c r="AA8" s="28">
        <f t="shared" ref="AA8:AA37" si="13">IF($C8="","",Z8-N(M8)-N(N8))</f>
        <v>2302</v>
      </c>
      <c r="AB8" s="27">
        <f t="shared" ref="AB8:AB37" si="14">IF($C8="","",ROUND(T8*CotaCAM,0))</f>
        <v>146</v>
      </c>
      <c r="AC8" s="27">
        <f t="shared" ref="AC8:AC37" si="15">IF($C8="","",R8+AB8)</f>
        <v>6646</v>
      </c>
    </row>
    <row r="9" spans="2:38" x14ac:dyDescent="0.2">
      <c r="B9" s="24">
        <f t="shared" si="0"/>
        <v>2</v>
      </c>
      <c r="C9" s="13" t="s">
        <v>69</v>
      </c>
      <c r="D9" s="13" t="s">
        <v>70</v>
      </c>
      <c r="E9" s="12">
        <v>5200</v>
      </c>
      <c r="F9" s="25">
        <v>21</v>
      </c>
      <c r="G9" s="25"/>
      <c r="H9" s="25"/>
      <c r="I9" s="25"/>
      <c r="J9" s="26"/>
      <c r="K9" s="25">
        <v>2</v>
      </c>
      <c r="L9" s="25" t="s">
        <v>21</v>
      </c>
      <c r="M9" s="12">
        <v>1000</v>
      </c>
      <c r="N9" s="12"/>
      <c r="O9" s="24">
        <f t="shared" si="1"/>
        <v>0</v>
      </c>
      <c r="P9" s="27">
        <f t="shared" si="2"/>
        <v>5200</v>
      </c>
      <c r="Q9" s="27">
        <f t="shared" si="3"/>
        <v>0</v>
      </c>
      <c r="R9" s="27">
        <f t="shared" si="4"/>
        <v>5200</v>
      </c>
      <c r="S9" s="27">
        <f t="shared" si="5"/>
        <v>0</v>
      </c>
      <c r="T9" s="27">
        <f t="shared" si="6"/>
        <v>5200</v>
      </c>
      <c r="U9" s="27">
        <f t="shared" si="7"/>
        <v>1300</v>
      </c>
      <c r="V9" s="27">
        <f t="shared" si="8"/>
        <v>520</v>
      </c>
      <c r="W9" s="27">
        <f t="shared" si="9"/>
        <v>908</v>
      </c>
      <c r="X9" s="27">
        <f t="shared" si="10"/>
        <v>2472</v>
      </c>
      <c r="Y9" s="27">
        <f t="shared" si="11"/>
        <v>247</v>
      </c>
      <c r="Z9" s="28">
        <f t="shared" si="12"/>
        <v>3133</v>
      </c>
      <c r="AA9" s="28">
        <f t="shared" si="13"/>
        <v>2133</v>
      </c>
      <c r="AB9" s="27">
        <f t="shared" si="14"/>
        <v>117</v>
      </c>
      <c r="AC9" s="27">
        <f t="shared" si="15"/>
        <v>5317</v>
      </c>
    </row>
    <row r="10" spans="2:38" x14ac:dyDescent="0.2">
      <c r="B10" s="24">
        <f t="shared" si="0"/>
        <v>3</v>
      </c>
      <c r="C10" s="13" t="s">
        <v>71</v>
      </c>
      <c r="D10" s="13" t="s">
        <v>72</v>
      </c>
      <c r="E10" s="12">
        <v>4800</v>
      </c>
      <c r="F10" s="25">
        <v>21</v>
      </c>
      <c r="G10" s="25"/>
      <c r="H10" s="25"/>
      <c r="I10" s="25">
        <v>4</v>
      </c>
      <c r="J10" s="26">
        <v>600</v>
      </c>
      <c r="K10" s="25"/>
      <c r="L10" s="25" t="s">
        <v>21</v>
      </c>
      <c r="M10" s="12">
        <v>1000</v>
      </c>
      <c r="N10" s="12"/>
      <c r="O10" s="24">
        <f t="shared" si="1"/>
        <v>0</v>
      </c>
      <c r="P10" s="27">
        <f t="shared" si="2"/>
        <v>4800</v>
      </c>
      <c r="Q10" s="27">
        <f t="shared" si="3"/>
        <v>200</v>
      </c>
      <c r="R10" s="27">
        <f t="shared" si="4"/>
        <v>5600</v>
      </c>
      <c r="S10" s="27">
        <f t="shared" si="5"/>
        <v>0</v>
      </c>
      <c r="T10" s="27">
        <f t="shared" si="6"/>
        <v>5600</v>
      </c>
      <c r="U10" s="27">
        <f t="shared" si="7"/>
        <v>1400</v>
      </c>
      <c r="V10" s="27">
        <f t="shared" si="8"/>
        <v>560</v>
      </c>
      <c r="W10" s="27">
        <f t="shared" si="9"/>
        <v>303</v>
      </c>
      <c r="X10" s="27">
        <f t="shared" si="10"/>
        <v>3337</v>
      </c>
      <c r="Y10" s="27">
        <f t="shared" si="11"/>
        <v>334</v>
      </c>
      <c r="Z10" s="28">
        <f t="shared" si="12"/>
        <v>3306</v>
      </c>
      <c r="AA10" s="28">
        <f t="shared" si="13"/>
        <v>2306</v>
      </c>
      <c r="AB10" s="27">
        <f t="shared" si="14"/>
        <v>126</v>
      </c>
      <c r="AC10" s="27">
        <f t="shared" si="15"/>
        <v>5726</v>
      </c>
    </row>
    <row r="11" spans="2:38" x14ac:dyDescent="0.2">
      <c r="B11" s="24">
        <f t="shared" si="0"/>
        <v>4</v>
      </c>
      <c r="C11" s="13" t="s">
        <v>73</v>
      </c>
      <c r="D11" s="13" t="s">
        <v>70</v>
      </c>
      <c r="E11" s="12">
        <v>5000</v>
      </c>
      <c r="F11" s="25">
        <v>21</v>
      </c>
      <c r="G11" s="25"/>
      <c r="H11" s="25"/>
      <c r="I11" s="25"/>
      <c r="J11" s="26"/>
      <c r="K11" s="25"/>
      <c r="L11" s="25" t="s">
        <v>21</v>
      </c>
      <c r="M11" s="12">
        <v>1000</v>
      </c>
      <c r="N11" s="12"/>
      <c r="O11" s="24">
        <f t="shared" si="1"/>
        <v>0</v>
      </c>
      <c r="P11" s="27">
        <f t="shared" si="2"/>
        <v>5000</v>
      </c>
      <c r="Q11" s="27">
        <f t="shared" si="3"/>
        <v>0</v>
      </c>
      <c r="R11" s="27">
        <f t="shared" si="4"/>
        <v>5000</v>
      </c>
      <c r="S11" s="27">
        <f t="shared" si="5"/>
        <v>0</v>
      </c>
      <c r="T11" s="27">
        <f t="shared" si="6"/>
        <v>5000</v>
      </c>
      <c r="U11" s="27">
        <f t="shared" si="7"/>
        <v>1250</v>
      </c>
      <c r="V11" s="27">
        <f t="shared" si="8"/>
        <v>500</v>
      </c>
      <c r="W11" s="27">
        <f t="shared" si="9"/>
        <v>562</v>
      </c>
      <c r="X11" s="27">
        <f t="shared" si="10"/>
        <v>2688</v>
      </c>
      <c r="Y11" s="27">
        <f t="shared" si="11"/>
        <v>269</v>
      </c>
      <c r="Z11" s="28">
        <f t="shared" si="12"/>
        <v>2981</v>
      </c>
      <c r="AA11" s="28">
        <f t="shared" si="13"/>
        <v>1981</v>
      </c>
      <c r="AB11" s="27">
        <f t="shared" si="14"/>
        <v>113</v>
      </c>
      <c r="AC11" s="27">
        <f t="shared" si="15"/>
        <v>5113</v>
      </c>
    </row>
    <row r="12" spans="2:38" x14ac:dyDescent="0.2">
      <c r="B12" s="24">
        <f t="shared" si="0"/>
        <v>5</v>
      </c>
      <c r="C12" s="13" t="s">
        <v>74</v>
      </c>
      <c r="D12" s="13" t="s">
        <v>75</v>
      </c>
      <c r="E12" s="12">
        <v>4325</v>
      </c>
      <c r="F12" s="25">
        <v>21</v>
      </c>
      <c r="G12" s="25"/>
      <c r="H12" s="25"/>
      <c r="I12" s="25"/>
      <c r="J12" s="26"/>
      <c r="K12" s="25">
        <v>1</v>
      </c>
      <c r="L12" s="25" t="s">
        <v>21</v>
      </c>
      <c r="M12" s="12"/>
      <c r="N12" s="12"/>
      <c r="O12" s="24">
        <f t="shared" si="1"/>
        <v>0</v>
      </c>
      <c r="P12" s="27">
        <f t="shared" si="2"/>
        <v>4325</v>
      </c>
      <c r="Q12" s="27">
        <f t="shared" si="3"/>
        <v>0</v>
      </c>
      <c r="R12" s="27">
        <f t="shared" si="4"/>
        <v>4325</v>
      </c>
      <c r="S12" s="27">
        <f t="shared" si="5"/>
        <v>200</v>
      </c>
      <c r="T12" s="27">
        <f t="shared" si="6"/>
        <v>4125</v>
      </c>
      <c r="U12" s="27">
        <f t="shared" si="7"/>
        <v>1031</v>
      </c>
      <c r="V12" s="27">
        <f t="shared" si="8"/>
        <v>413</v>
      </c>
      <c r="W12" s="27">
        <f t="shared" si="9"/>
        <v>1081</v>
      </c>
      <c r="X12" s="27">
        <f t="shared" si="10"/>
        <v>1600</v>
      </c>
      <c r="Y12" s="27">
        <f t="shared" si="11"/>
        <v>160</v>
      </c>
      <c r="Z12" s="28">
        <f t="shared" si="12"/>
        <v>2721</v>
      </c>
      <c r="AA12" s="28">
        <f t="shared" si="13"/>
        <v>2721</v>
      </c>
      <c r="AB12" s="27">
        <f t="shared" si="14"/>
        <v>93</v>
      </c>
      <c r="AC12" s="27">
        <f t="shared" si="15"/>
        <v>4418</v>
      </c>
    </row>
    <row r="13" spans="2:38" x14ac:dyDescent="0.2">
      <c r="B13" s="24">
        <f t="shared" si="0"/>
        <v>6</v>
      </c>
      <c r="C13" s="13" t="s">
        <v>76</v>
      </c>
      <c r="D13" s="13" t="s">
        <v>77</v>
      </c>
      <c r="E13" s="12">
        <v>4400</v>
      </c>
      <c r="F13" s="25">
        <v>21</v>
      </c>
      <c r="G13" s="25"/>
      <c r="H13" s="25"/>
      <c r="I13" s="25">
        <v>6</v>
      </c>
      <c r="J13" s="26"/>
      <c r="K13" s="25">
        <v>3</v>
      </c>
      <c r="L13" s="25" t="s">
        <v>21</v>
      </c>
      <c r="M13" s="12">
        <v>1000</v>
      </c>
      <c r="N13" s="12">
        <v>350</v>
      </c>
      <c r="O13" s="24">
        <f t="shared" si="1"/>
        <v>0</v>
      </c>
      <c r="P13" s="27">
        <f t="shared" si="2"/>
        <v>4400</v>
      </c>
      <c r="Q13" s="27">
        <f t="shared" si="3"/>
        <v>275</v>
      </c>
      <c r="R13" s="27">
        <f t="shared" si="4"/>
        <v>4675</v>
      </c>
      <c r="S13" s="27">
        <f t="shared" si="5"/>
        <v>0</v>
      </c>
      <c r="T13" s="27">
        <f t="shared" si="6"/>
        <v>4675</v>
      </c>
      <c r="U13" s="27">
        <f t="shared" si="7"/>
        <v>1169</v>
      </c>
      <c r="V13" s="27">
        <f t="shared" si="8"/>
        <v>468</v>
      </c>
      <c r="W13" s="27">
        <f t="shared" si="9"/>
        <v>1362</v>
      </c>
      <c r="X13" s="27">
        <f t="shared" si="10"/>
        <v>1676</v>
      </c>
      <c r="Y13" s="27">
        <f t="shared" si="11"/>
        <v>168</v>
      </c>
      <c r="Z13" s="28">
        <f t="shared" si="12"/>
        <v>2870</v>
      </c>
      <c r="AA13" s="28">
        <f t="shared" si="13"/>
        <v>1520</v>
      </c>
      <c r="AB13" s="27">
        <f t="shared" si="14"/>
        <v>105</v>
      </c>
      <c r="AC13" s="27">
        <f t="shared" si="15"/>
        <v>4780</v>
      </c>
    </row>
    <row r="14" spans="2:38" x14ac:dyDescent="0.2">
      <c r="B14" s="24" t="str">
        <f t="shared" si="0"/>
        <v/>
      </c>
      <c r="C14" s="13"/>
      <c r="D14" s="13"/>
      <c r="E14" s="12"/>
      <c r="F14" s="25"/>
      <c r="G14" s="25"/>
      <c r="H14" s="25"/>
      <c r="I14" s="25"/>
      <c r="J14" s="26"/>
      <c r="K14" s="25"/>
      <c r="L14" s="25"/>
      <c r="M14" s="12"/>
      <c r="N14" s="12"/>
      <c r="O14" s="24" t="str">
        <f t="shared" si="1"/>
        <v/>
      </c>
      <c r="P14" s="27" t="str">
        <f t="shared" si="2"/>
        <v/>
      </c>
      <c r="Q14" s="27" t="str">
        <f t="shared" si="3"/>
        <v/>
      </c>
      <c r="R14" s="27" t="str">
        <f t="shared" si="4"/>
        <v/>
      </c>
      <c r="S14" s="27" t="str">
        <f t="shared" si="5"/>
        <v/>
      </c>
      <c r="T14" s="27" t="str">
        <f t="shared" si="6"/>
        <v/>
      </c>
      <c r="U14" s="27" t="str">
        <f t="shared" si="7"/>
        <v/>
      </c>
      <c r="V14" s="27" t="str">
        <f t="shared" si="8"/>
        <v/>
      </c>
      <c r="W14" s="27" t="str">
        <f t="shared" si="9"/>
        <v/>
      </c>
      <c r="X14" s="27" t="str">
        <f t="shared" si="10"/>
        <v/>
      </c>
      <c r="Y14" s="27" t="str">
        <f t="shared" si="11"/>
        <v/>
      </c>
      <c r="Z14" s="28" t="str">
        <f t="shared" si="12"/>
        <v/>
      </c>
      <c r="AA14" s="28" t="str">
        <f t="shared" si="13"/>
        <v/>
      </c>
      <c r="AB14" s="27" t="str">
        <f t="shared" si="14"/>
        <v/>
      </c>
      <c r="AC14" s="27" t="str">
        <f t="shared" si="15"/>
        <v/>
      </c>
    </row>
    <row r="15" spans="2:38" x14ac:dyDescent="0.2">
      <c r="B15" s="24" t="str">
        <f t="shared" si="0"/>
        <v/>
      </c>
      <c r="C15" s="13"/>
      <c r="D15" s="13"/>
      <c r="E15" s="12"/>
      <c r="F15" s="25"/>
      <c r="G15" s="25"/>
      <c r="H15" s="25"/>
      <c r="I15" s="25"/>
      <c r="J15" s="26"/>
      <c r="K15" s="25"/>
      <c r="L15" s="25"/>
      <c r="M15" s="12"/>
      <c r="N15" s="12"/>
      <c r="O15" s="24" t="str">
        <f t="shared" si="1"/>
        <v/>
      </c>
      <c r="P15" s="27" t="str">
        <f t="shared" si="2"/>
        <v/>
      </c>
      <c r="Q15" s="27" t="str">
        <f t="shared" si="3"/>
        <v/>
      </c>
      <c r="R15" s="27" t="str">
        <f t="shared" si="4"/>
        <v/>
      </c>
      <c r="S15" s="27" t="str">
        <f t="shared" si="5"/>
        <v/>
      </c>
      <c r="T15" s="27" t="str">
        <f t="shared" si="6"/>
        <v/>
      </c>
      <c r="U15" s="27" t="str">
        <f t="shared" si="7"/>
        <v/>
      </c>
      <c r="V15" s="27" t="str">
        <f t="shared" si="8"/>
        <v/>
      </c>
      <c r="W15" s="27" t="str">
        <f t="shared" si="9"/>
        <v/>
      </c>
      <c r="X15" s="27" t="str">
        <f t="shared" si="10"/>
        <v/>
      </c>
      <c r="Y15" s="27" t="str">
        <f t="shared" si="11"/>
        <v/>
      </c>
      <c r="Z15" s="28" t="str">
        <f t="shared" si="12"/>
        <v/>
      </c>
      <c r="AA15" s="28" t="str">
        <f t="shared" si="13"/>
        <v/>
      </c>
      <c r="AB15" s="27" t="str">
        <f t="shared" si="14"/>
        <v/>
      </c>
      <c r="AC15" s="27" t="str">
        <f t="shared" si="15"/>
        <v/>
      </c>
    </row>
    <row r="16" spans="2:38" x14ac:dyDescent="0.2">
      <c r="B16" s="24" t="str">
        <f t="shared" si="0"/>
        <v/>
      </c>
      <c r="C16" s="13"/>
      <c r="D16" s="13"/>
      <c r="E16" s="12"/>
      <c r="F16" s="25"/>
      <c r="G16" s="25"/>
      <c r="H16" s="25"/>
      <c r="I16" s="25"/>
      <c r="J16" s="26"/>
      <c r="K16" s="25"/>
      <c r="L16" s="25"/>
      <c r="M16" s="12"/>
      <c r="N16" s="12"/>
      <c r="O16" s="24" t="str">
        <f t="shared" si="1"/>
        <v/>
      </c>
      <c r="P16" s="27" t="str">
        <f t="shared" si="2"/>
        <v/>
      </c>
      <c r="Q16" s="27" t="str">
        <f t="shared" si="3"/>
        <v/>
      </c>
      <c r="R16" s="27" t="str">
        <f t="shared" si="4"/>
        <v/>
      </c>
      <c r="S16" s="27" t="str">
        <f t="shared" si="5"/>
        <v/>
      </c>
      <c r="T16" s="27" t="str">
        <f t="shared" si="6"/>
        <v/>
      </c>
      <c r="U16" s="27" t="str">
        <f t="shared" si="7"/>
        <v/>
      </c>
      <c r="V16" s="27" t="str">
        <f t="shared" si="8"/>
        <v/>
      </c>
      <c r="W16" s="27" t="str">
        <f t="shared" si="9"/>
        <v/>
      </c>
      <c r="X16" s="27" t="str">
        <f t="shared" si="10"/>
        <v/>
      </c>
      <c r="Y16" s="27" t="str">
        <f t="shared" si="11"/>
        <v/>
      </c>
      <c r="Z16" s="28" t="str">
        <f t="shared" si="12"/>
        <v/>
      </c>
      <c r="AA16" s="28" t="str">
        <f t="shared" si="13"/>
        <v/>
      </c>
      <c r="AB16" s="27" t="str">
        <f t="shared" si="14"/>
        <v/>
      </c>
      <c r="AC16" s="27" t="str">
        <f t="shared" si="15"/>
        <v/>
      </c>
    </row>
    <row r="17" spans="2:29" x14ac:dyDescent="0.2">
      <c r="B17" s="24" t="str">
        <f t="shared" si="0"/>
        <v/>
      </c>
      <c r="C17" s="13"/>
      <c r="D17" s="13"/>
      <c r="E17" s="12"/>
      <c r="F17" s="25"/>
      <c r="G17" s="25"/>
      <c r="H17" s="25"/>
      <c r="I17" s="25"/>
      <c r="J17" s="26"/>
      <c r="K17" s="25"/>
      <c r="L17" s="25"/>
      <c r="M17" s="12"/>
      <c r="N17" s="12"/>
      <c r="O17" s="24" t="str">
        <f t="shared" si="1"/>
        <v/>
      </c>
      <c r="P17" s="27" t="str">
        <f t="shared" si="2"/>
        <v/>
      </c>
      <c r="Q17" s="27" t="str">
        <f t="shared" si="3"/>
        <v/>
      </c>
      <c r="R17" s="27" t="str">
        <f t="shared" si="4"/>
        <v/>
      </c>
      <c r="S17" s="27" t="str">
        <f t="shared" si="5"/>
        <v/>
      </c>
      <c r="T17" s="27" t="str">
        <f t="shared" si="6"/>
        <v/>
      </c>
      <c r="U17" s="27" t="str">
        <f t="shared" si="7"/>
        <v/>
      </c>
      <c r="V17" s="27" t="str">
        <f t="shared" si="8"/>
        <v/>
      </c>
      <c r="W17" s="27" t="str">
        <f t="shared" si="9"/>
        <v/>
      </c>
      <c r="X17" s="27" t="str">
        <f t="shared" si="10"/>
        <v/>
      </c>
      <c r="Y17" s="27" t="str">
        <f t="shared" si="11"/>
        <v/>
      </c>
      <c r="Z17" s="28" t="str">
        <f t="shared" si="12"/>
        <v/>
      </c>
      <c r="AA17" s="28" t="str">
        <f t="shared" si="13"/>
        <v/>
      </c>
      <c r="AB17" s="27" t="str">
        <f t="shared" si="14"/>
        <v/>
      </c>
      <c r="AC17" s="27" t="str">
        <f t="shared" si="15"/>
        <v/>
      </c>
    </row>
    <row r="18" spans="2:29" x14ac:dyDescent="0.2">
      <c r="B18" s="24" t="str">
        <f t="shared" si="0"/>
        <v/>
      </c>
      <c r="C18" s="13"/>
      <c r="D18" s="13"/>
      <c r="E18" s="12"/>
      <c r="F18" s="25"/>
      <c r="G18" s="25"/>
      <c r="H18" s="25"/>
      <c r="I18" s="25"/>
      <c r="J18" s="26"/>
      <c r="K18" s="25"/>
      <c r="L18" s="25"/>
      <c r="M18" s="12"/>
      <c r="N18" s="12"/>
      <c r="O18" s="24" t="str">
        <f t="shared" si="1"/>
        <v/>
      </c>
      <c r="P18" s="27" t="str">
        <f t="shared" si="2"/>
        <v/>
      </c>
      <c r="Q18" s="27" t="str">
        <f t="shared" si="3"/>
        <v/>
      </c>
      <c r="R18" s="27" t="str">
        <f t="shared" si="4"/>
        <v/>
      </c>
      <c r="S18" s="27" t="str">
        <f t="shared" si="5"/>
        <v/>
      </c>
      <c r="T18" s="27" t="str">
        <f t="shared" si="6"/>
        <v/>
      </c>
      <c r="U18" s="27" t="str">
        <f t="shared" si="7"/>
        <v/>
      </c>
      <c r="V18" s="27" t="str">
        <f t="shared" si="8"/>
        <v/>
      </c>
      <c r="W18" s="27" t="str">
        <f t="shared" si="9"/>
        <v/>
      </c>
      <c r="X18" s="27" t="str">
        <f t="shared" si="10"/>
        <v/>
      </c>
      <c r="Y18" s="27" t="str">
        <f t="shared" si="11"/>
        <v/>
      </c>
      <c r="Z18" s="28" t="str">
        <f t="shared" si="12"/>
        <v/>
      </c>
      <c r="AA18" s="28" t="str">
        <f t="shared" si="13"/>
        <v/>
      </c>
      <c r="AB18" s="27" t="str">
        <f t="shared" si="14"/>
        <v/>
      </c>
      <c r="AC18" s="27" t="str">
        <f t="shared" si="15"/>
        <v/>
      </c>
    </row>
    <row r="19" spans="2:29" x14ac:dyDescent="0.2">
      <c r="B19" s="24" t="str">
        <f t="shared" si="0"/>
        <v/>
      </c>
      <c r="C19" s="13"/>
      <c r="D19" s="13"/>
      <c r="E19" s="12"/>
      <c r="F19" s="25"/>
      <c r="G19" s="25"/>
      <c r="H19" s="25"/>
      <c r="I19" s="25"/>
      <c r="J19" s="26"/>
      <c r="K19" s="25"/>
      <c r="L19" s="25"/>
      <c r="M19" s="12"/>
      <c r="N19" s="12"/>
      <c r="O19" s="24" t="str">
        <f t="shared" si="1"/>
        <v/>
      </c>
      <c r="P19" s="27" t="str">
        <f t="shared" si="2"/>
        <v/>
      </c>
      <c r="Q19" s="27" t="str">
        <f t="shared" si="3"/>
        <v/>
      </c>
      <c r="R19" s="27" t="str">
        <f t="shared" si="4"/>
        <v/>
      </c>
      <c r="S19" s="27" t="str">
        <f t="shared" si="5"/>
        <v/>
      </c>
      <c r="T19" s="27" t="str">
        <f t="shared" si="6"/>
        <v/>
      </c>
      <c r="U19" s="27" t="str">
        <f t="shared" si="7"/>
        <v/>
      </c>
      <c r="V19" s="27" t="str">
        <f t="shared" si="8"/>
        <v/>
      </c>
      <c r="W19" s="27" t="str">
        <f t="shared" si="9"/>
        <v/>
      </c>
      <c r="X19" s="27" t="str">
        <f t="shared" si="10"/>
        <v/>
      </c>
      <c r="Y19" s="27" t="str">
        <f t="shared" si="11"/>
        <v/>
      </c>
      <c r="Z19" s="28" t="str">
        <f t="shared" si="12"/>
        <v/>
      </c>
      <c r="AA19" s="28" t="str">
        <f t="shared" si="13"/>
        <v/>
      </c>
      <c r="AB19" s="27" t="str">
        <f t="shared" si="14"/>
        <v/>
      </c>
      <c r="AC19" s="27" t="str">
        <f t="shared" si="15"/>
        <v/>
      </c>
    </row>
    <row r="20" spans="2:29" x14ac:dyDescent="0.2">
      <c r="B20" s="24" t="str">
        <f t="shared" si="0"/>
        <v/>
      </c>
      <c r="C20" s="13"/>
      <c r="D20" s="13"/>
      <c r="E20" s="12"/>
      <c r="F20" s="25"/>
      <c r="G20" s="25"/>
      <c r="H20" s="25"/>
      <c r="I20" s="25"/>
      <c r="J20" s="26"/>
      <c r="K20" s="25"/>
      <c r="L20" s="25"/>
      <c r="M20" s="12"/>
      <c r="N20" s="12"/>
      <c r="O20" s="24" t="str">
        <f t="shared" si="1"/>
        <v/>
      </c>
      <c r="P20" s="27" t="str">
        <f t="shared" si="2"/>
        <v/>
      </c>
      <c r="Q20" s="27" t="str">
        <f t="shared" si="3"/>
        <v/>
      </c>
      <c r="R20" s="27" t="str">
        <f t="shared" si="4"/>
        <v/>
      </c>
      <c r="S20" s="27" t="str">
        <f t="shared" si="5"/>
        <v/>
      </c>
      <c r="T20" s="27" t="str">
        <f t="shared" si="6"/>
        <v/>
      </c>
      <c r="U20" s="27" t="str">
        <f t="shared" si="7"/>
        <v/>
      </c>
      <c r="V20" s="27" t="str">
        <f t="shared" si="8"/>
        <v/>
      </c>
      <c r="W20" s="27" t="str">
        <f t="shared" si="9"/>
        <v/>
      </c>
      <c r="X20" s="27" t="str">
        <f t="shared" si="10"/>
        <v/>
      </c>
      <c r="Y20" s="27" t="str">
        <f t="shared" si="11"/>
        <v/>
      </c>
      <c r="Z20" s="28" t="str">
        <f t="shared" si="12"/>
        <v/>
      </c>
      <c r="AA20" s="28" t="str">
        <f t="shared" si="13"/>
        <v/>
      </c>
      <c r="AB20" s="27" t="str">
        <f t="shared" si="14"/>
        <v/>
      </c>
      <c r="AC20" s="27" t="str">
        <f t="shared" si="15"/>
        <v/>
      </c>
    </row>
    <row r="21" spans="2:29" x14ac:dyDescent="0.2">
      <c r="B21" s="24" t="str">
        <f t="shared" si="0"/>
        <v/>
      </c>
      <c r="C21" s="13"/>
      <c r="D21" s="13"/>
      <c r="E21" s="12"/>
      <c r="F21" s="25"/>
      <c r="G21" s="25"/>
      <c r="H21" s="25"/>
      <c r="I21" s="25"/>
      <c r="J21" s="26"/>
      <c r="K21" s="25"/>
      <c r="L21" s="25"/>
      <c r="M21" s="12"/>
      <c r="N21" s="12"/>
      <c r="O21" s="24" t="str">
        <f t="shared" si="1"/>
        <v/>
      </c>
      <c r="P21" s="27" t="str">
        <f t="shared" si="2"/>
        <v/>
      </c>
      <c r="Q21" s="27" t="str">
        <f t="shared" si="3"/>
        <v/>
      </c>
      <c r="R21" s="27" t="str">
        <f t="shared" si="4"/>
        <v/>
      </c>
      <c r="S21" s="27" t="str">
        <f t="shared" si="5"/>
        <v/>
      </c>
      <c r="T21" s="27" t="str">
        <f t="shared" si="6"/>
        <v/>
      </c>
      <c r="U21" s="27" t="str">
        <f t="shared" si="7"/>
        <v/>
      </c>
      <c r="V21" s="27" t="str">
        <f t="shared" si="8"/>
        <v/>
      </c>
      <c r="W21" s="27" t="str">
        <f t="shared" si="9"/>
        <v/>
      </c>
      <c r="X21" s="27" t="str">
        <f t="shared" si="10"/>
        <v/>
      </c>
      <c r="Y21" s="27" t="str">
        <f t="shared" si="11"/>
        <v/>
      </c>
      <c r="Z21" s="28" t="str">
        <f t="shared" si="12"/>
        <v/>
      </c>
      <c r="AA21" s="28" t="str">
        <f t="shared" si="13"/>
        <v/>
      </c>
      <c r="AB21" s="27" t="str">
        <f t="shared" si="14"/>
        <v/>
      </c>
      <c r="AC21" s="27" t="str">
        <f t="shared" si="15"/>
        <v/>
      </c>
    </row>
    <row r="22" spans="2:29" x14ac:dyDescent="0.2">
      <c r="B22" s="24" t="str">
        <f t="shared" si="0"/>
        <v/>
      </c>
      <c r="C22" s="13"/>
      <c r="D22" s="13"/>
      <c r="E22" s="12"/>
      <c r="F22" s="25"/>
      <c r="G22" s="25"/>
      <c r="H22" s="25"/>
      <c r="I22" s="25"/>
      <c r="J22" s="26"/>
      <c r="K22" s="25"/>
      <c r="L22" s="25"/>
      <c r="M22" s="12"/>
      <c r="N22" s="12"/>
      <c r="O22" s="24" t="str">
        <f t="shared" si="1"/>
        <v/>
      </c>
      <c r="P22" s="27" t="str">
        <f t="shared" si="2"/>
        <v/>
      </c>
      <c r="Q22" s="27" t="str">
        <f t="shared" si="3"/>
        <v/>
      </c>
      <c r="R22" s="27" t="str">
        <f t="shared" si="4"/>
        <v/>
      </c>
      <c r="S22" s="27" t="str">
        <f t="shared" si="5"/>
        <v/>
      </c>
      <c r="T22" s="27" t="str">
        <f t="shared" si="6"/>
        <v/>
      </c>
      <c r="U22" s="27" t="str">
        <f t="shared" si="7"/>
        <v/>
      </c>
      <c r="V22" s="27" t="str">
        <f t="shared" si="8"/>
        <v/>
      </c>
      <c r="W22" s="27" t="str">
        <f t="shared" si="9"/>
        <v/>
      </c>
      <c r="X22" s="27" t="str">
        <f t="shared" si="10"/>
        <v/>
      </c>
      <c r="Y22" s="27" t="str">
        <f t="shared" si="11"/>
        <v/>
      </c>
      <c r="Z22" s="28" t="str">
        <f t="shared" si="12"/>
        <v/>
      </c>
      <c r="AA22" s="28" t="str">
        <f t="shared" si="13"/>
        <v/>
      </c>
      <c r="AB22" s="27" t="str">
        <f t="shared" si="14"/>
        <v/>
      </c>
      <c r="AC22" s="27" t="str">
        <f t="shared" si="15"/>
        <v/>
      </c>
    </row>
    <row r="23" spans="2:29" x14ac:dyDescent="0.2">
      <c r="B23" s="24" t="str">
        <f t="shared" si="0"/>
        <v/>
      </c>
      <c r="C23" s="13"/>
      <c r="D23" s="13"/>
      <c r="E23" s="12"/>
      <c r="F23" s="25"/>
      <c r="G23" s="25"/>
      <c r="H23" s="25"/>
      <c r="I23" s="25"/>
      <c r="J23" s="26"/>
      <c r="K23" s="25"/>
      <c r="L23" s="25"/>
      <c r="M23" s="12"/>
      <c r="N23" s="12"/>
      <c r="O23" s="24" t="str">
        <f t="shared" si="1"/>
        <v/>
      </c>
      <c r="P23" s="27" t="str">
        <f t="shared" si="2"/>
        <v/>
      </c>
      <c r="Q23" s="27" t="str">
        <f t="shared" si="3"/>
        <v/>
      </c>
      <c r="R23" s="27" t="str">
        <f t="shared" si="4"/>
        <v/>
      </c>
      <c r="S23" s="27" t="str">
        <f t="shared" si="5"/>
        <v/>
      </c>
      <c r="T23" s="27" t="str">
        <f t="shared" si="6"/>
        <v/>
      </c>
      <c r="U23" s="27" t="str">
        <f t="shared" si="7"/>
        <v/>
      </c>
      <c r="V23" s="27" t="str">
        <f t="shared" si="8"/>
        <v/>
      </c>
      <c r="W23" s="27" t="str">
        <f t="shared" si="9"/>
        <v/>
      </c>
      <c r="X23" s="27" t="str">
        <f t="shared" si="10"/>
        <v/>
      </c>
      <c r="Y23" s="27" t="str">
        <f t="shared" si="11"/>
        <v/>
      </c>
      <c r="Z23" s="28" t="str">
        <f t="shared" si="12"/>
        <v/>
      </c>
      <c r="AA23" s="28" t="str">
        <f t="shared" si="13"/>
        <v/>
      </c>
      <c r="AB23" s="27" t="str">
        <f t="shared" si="14"/>
        <v/>
      </c>
      <c r="AC23" s="27" t="str">
        <f t="shared" si="15"/>
        <v/>
      </c>
    </row>
    <row r="24" spans="2:29" x14ac:dyDescent="0.2">
      <c r="B24" s="24" t="str">
        <f t="shared" si="0"/>
        <v/>
      </c>
      <c r="C24" s="13"/>
      <c r="D24" s="13"/>
      <c r="E24" s="12"/>
      <c r="F24" s="25"/>
      <c r="G24" s="25"/>
      <c r="H24" s="25"/>
      <c r="I24" s="25"/>
      <c r="J24" s="26"/>
      <c r="K24" s="25"/>
      <c r="L24" s="25"/>
      <c r="M24" s="12"/>
      <c r="N24" s="12"/>
      <c r="O24" s="24" t="str">
        <f t="shared" si="1"/>
        <v/>
      </c>
      <c r="P24" s="27" t="str">
        <f t="shared" si="2"/>
        <v/>
      </c>
      <c r="Q24" s="27" t="str">
        <f t="shared" si="3"/>
        <v/>
      </c>
      <c r="R24" s="27" t="str">
        <f t="shared" si="4"/>
        <v/>
      </c>
      <c r="S24" s="27" t="str">
        <f t="shared" si="5"/>
        <v/>
      </c>
      <c r="T24" s="27" t="str">
        <f t="shared" si="6"/>
        <v/>
      </c>
      <c r="U24" s="27" t="str">
        <f t="shared" si="7"/>
        <v/>
      </c>
      <c r="V24" s="27" t="str">
        <f t="shared" si="8"/>
        <v/>
      </c>
      <c r="W24" s="27" t="str">
        <f t="shared" si="9"/>
        <v/>
      </c>
      <c r="X24" s="27" t="str">
        <f t="shared" si="10"/>
        <v/>
      </c>
      <c r="Y24" s="27" t="str">
        <f t="shared" si="11"/>
        <v/>
      </c>
      <c r="Z24" s="28" t="str">
        <f t="shared" si="12"/>
        <v/>
      </c>
      <c r="AA24" s="28" t="str">
        <f t="shared" si="13"/>
        <v/>
      </c>
      <c r="AB24" s="27" t="str">
        <f t="shared" si="14"/>
        <v/>
      </c>
      <c r="AC24" s="27" t="str">
        <f t="shared" si="15"/>
        <v/>
      </c>
    </row>
    <row r="25" spans="2:29" x14ac:dyDescent="0.2">
      <c r="B25" s="24" t="str">
        <f t="shared" si="0"/>
        <v/>
      </c>
      <c r="C25" s="13"/>
      <c r="D25" s="13"/>
      <c r="E25" s="12"/>
      <c r="F25" s="25"/>
      <c r="G25" s="25"/>
      <c r="H25" s="25"/>
      <c r="I25" s="25"/>
      <c r="J25" s="26"/>
      <c r="K25" s="25"/>
      <c r="L25" s="25"/>
      <c r="M25" s="12"/>
      <c r="N25" s="12"/>
      <c r="O25" s="24" t="str">
        <f t="shared" si="1"/>
        <v/>
      </c>
      <c r="P25" s="27" t="str">
        <f t="shared" si="2"/>
        <v/>
      </c>
      <c r="Q25" s="27" t="str">
        <f t="shared" si="3"/>
        <v/>
      </c>
      <c r="R25" s="27" t="str">
        <f t="shared" si="4"/>
        <v/>
      </c>
      <c r="S25" s="27" t="str">
        <f t="shared" si="5"/>
        <v/>
      </c>
      <c r="T25" s="27" t="str">
        <f t="shared" si="6"/>
        <v/>
      </c>
      <c r="U25" s="27" t="str">
        <f t="shared" si="7"/>
        <v/>
      </c>
      <c r="V25" s="27" t="str">
        <f t="shared" si="8"/>
        <v/>
      </c>
      <c r="W25" s="27" t="str">
        <f t="shared" si="9"/>
        <v/>
      </c>
      <c r="X25" s="27" t="str">
        <f t="shared" si="10"/>
        <v/>
      </c>
      <c r="Y25" s="27" t="str">
        <f t="shared" si="11"/>
        <v/>
      </c>
      <c r="Z25" s="28" t="str">
        <f t="shared" si="12"/>
        <v/>
      </c>
      <c r="AA25" s="28" t="str">
        <f t="shared" si="13"/>
        <v/>
      </c>
      <c r="AB25" s="27" t="str">
        <f t="shared" si="14"/>
        <v/>
      </c>
      <c r="AC25" s="27" t="str">
        <f t="shared" si="15"/>
        <v/>
      </c>
    </row>
    <row r="26" spans="2:29" x14ac:dyDescent="0.2">
      <c r="B26" s="24" t="str">
        <f t="shared" si="0"/>
        <v/>
      </c>
      <c r="C26" s="13"/>
      <c r="D26" s="13"/>
      <c r="E26" s="12"/>
      <c r="F26" s="25"/>
      <c r="G26" s="25"/>
      <c r="H26" s="25"/>
      <c r="I26" s="25"/>
      <c r="J26" s="26"/>
      <c r="K26" s="25"/>
      <c r="L26" s="25"/>
      <c r="M26" s="12"/>
      <c r="N26" s="12"/>
      <c r="O26" s="24" t="str">
        <f t="shared" si="1"/>
        <v/>
      </c>
      <c r="P26" s="27" t="str">
        <f t="shared" si="2"/>
        <v/>
      </c>
      <c r="Q26" s="27" t="str">
        <f t="shared" si="3"/>
        <v/>
      </c>
      <c r="R26" s="27" t="str">
        <f t="shared" si="4"/>
        <v/>
      </c>
      <c r="S26" s="27" t="str">
        <f t="shared" si="5"/>
        <v/>
      </c>
      <c r="T26" s="27" t="str">
        <f t="shared" si="6"/>
        <v/>
      </c>
      <c r="U26" s="27" t="str">
        <f t="shared" si="7"/>
        <v/>
      </c>
      <c r="V26" s="27" t="str">
        <f t="shared" si="8"/>
        <v/>
      </c>
      <c r="W26" s="27" t="str">
        <f t="shared" si="9"/>
        <v/>
      </c>
      <c r="X26" s="27" t="str">
        <f t="shared" si="10"/>
        <v/>
      </c>
      <c r="Y26" s="27" t="str">
        <f t="shared" si="11"/>
        <v/>
      </c>
      <c r="Z26" s="28" t="str">
        <f t="shared" si="12"/>
        <v/>
      </c>
      <c r="AA26" s="28" t="str">
        <f t="shared" si="13"/>
        <v/>
      </c>
      <c r="AB26" s="27" t="str">
        <f t="shared" si="14"/>
        <v/>
      </c>
      <c r="AC26" s="27" t="str">
        <f t="shared" si="15"/>
        <v/>
      </c>
    </row>
    <row r="27" spans="2:29" x14ac:dyDescent="0.2">
      <c r="B27" s="24" t="str">
        <f t="shared" si="0"/>
        <v/>
      </c>
      <c r="C27" s="13"/>
      <c r="D27" s="13"/>
      <c r="E27" s="12"/>
      <c r="F27" s="25"/>
      <c r="G27" s="25"/>
      <c r="H27" s="25"/>
      <c r="I27" s="25"/>
      <c r="J27" s="26"/>
      <c r="K27" s="25"/>
      <c r="L27" s="25"/>
      <c r="M27" s="12"/>
      <c r="N27" s="12"/>
      <c r="O27" s="24" t="str">
        <f t="shared" si="1"/>
        <v/>
      </c>
      <c r="P27" s="27" t="str">
        <f t="shared" si="2"/>
        <v/>
      </c>
      <c r="Q27" s="27" t="str">
        <f t="shared" si="3"/>
        <v/>
      </c>
      <c r="R27" s="27" t="str">
        <f t="shared" si="4"/>
        <v/>
      </c>
      <c r="S27" s="27" t="str">
        <f t="shared" si="5"/>
        <v/>
      </c>
      <c r="T27" s="27" t="str">
        <f t="shared" si="6"/>
        <v/>
      </c>
      <c r="U27" s="27" t="str">
        <f t="shared" si="7"/>
        <v/>
      </c>
      <c r="V27" s="27" t="str">
        <f t="shared" si="8"/>
        <v/>
      </c>
      <c r="W27" s="27" t="str">
        <f t="shared" si="9"/>
        <v/>
      </c>
      <c r="X27" s="27" t="str">
        <f t="shared" si="10"/>
        <v/>
      </c>
      <c r="Y27" s="27" t="str">
        <f t="shared" si="11"/>
        <v/>
      </c>
      <c r="Z27" s="28" t="str">
        <f t="shared" si="12"/>
        <v/>
      </c>
      <c r="AA27" s="28" t="str">
        <f t="shared" si="13"/>
        <v/>
      </c>
      <c r="AB27" s="27" t="str">
        <f t="shared" si="14"/>
        <v/>
      </c>
      <c r="AC27" s="27" t="str">
        <f t="shared" si="15"/>
        <v/>
      </c>
    </row>
    <row r="28" spans="2:29" x14ac:dyDescent="0.2">
      <c r="B28" s="24" t="str">
        <f t="shared" si="0"/>
        <v/>
      </c>
      <c r="C28" s="13"/>
      <c r="D28" s="13"/>
      <c r="E28" s="12"/>
      <c r="F28" s="25"/>
      <c r="G28" s="25"/>
      <c r="H28" s="25"/>
      <c r="I28" s="25"/>
      <c r="J28" s="26"/>
      <c r="K28" s="25"/>
      <c r="L28" s="25"/>
      <c r="M28" s="12"/>
      <c r="N28" s="12"/>
      <c r="O28" s="24" t="str">
        <f t="shared" si="1"/>
        <v/>
      </c>
      <c r="P28" s="27" t="str">
        <f t="shared" si="2"/>
        <v/>
      </c>
      <c r="Q28" s="27" t="str">
        <f t="shared" si="3"/>
        <v/>
      </c>
      <c r="R28" s="27" t="str">
        <f t="shared" si="4"/>
        <v/>
      </c>
      <c r="S28" s="27" t="str">
        <f t="shared" si="5"/>
        <v/>
      </c>
      <c r="T28" s="27" t="str">
        <f t="shared" si="6"/>
        <v/>
      </c>
      <c r="U28" s="27" t="str">
        <f t="shared" si="7"/>
        <v/>
      </c>
      <c r="V28" s="27" t="str">
        <f t="shared" si="8"/>
        <v/>
      </c>
      <c r="W28" s="27" t="str">
        <f t="shared" si="9"/>
        <v/>
      </c>
      <c r="X28" s="27" t="str">
        <f t="shared" si="10"/>
        <v/>
      </c>
      <c r="Y28" s="27" t="str">
        <f t="shared" si="11"/>
        <v/>
      </c>
      <c r="Z28" s="28" t="str">
        <f t="shared" si="12"/>
        <v/>
      </c>
      <c r="AA28" s="28" t="str">
        <f t="shared" si="13"/>
        <v/>
      </c>
      <c r="AB28" s="27" t="str">
        <f t="shared" si="14"/>
        <v/>
      </c>
      <c r="AC28" s="27" t="str">
        <f t="shared" si="15"/>
        <v/>
      </c>
    </row>
    <row r="29" spans="2:29" x14ac:dyDescent="0.2">
      <c r="B29" s="24" t="str">
        <f t="shared" si="0"/>
        <v/>
      </c>
      <c r="C29" s="13"/>
      <c r="D29" s="13"/>
      <c r="E29" s="12"/>
      <c r="F29" s="25"/>
      <c r="G29" s="25"/>
      <c r="H29" s="25"/>
      <c r="I29" s="25"/>
      <c r="J29" s="26"/>
      <c r="K29" s="25"/>
      <c r="L29" s="25"/>
      <c r="M29" s="12"/>
      <c r="N29" s="12"/>
      <c r="O29" s="24" t="str">
        <f t="shared" si="1"/>
        <v/>
      </c>
      <c r="P29" s="27" t="str">
        <f t="shared" si="2"/>
        <v/>
      </c>
      <c r="Q29" s="27" t="str">
        <f t="shared" si="3"/>
        <v/>
      </c>
      <c r="R29" s="27" t="str">
        <f t="shared" si="4"/>
        <v/>
      </c>
      <c r="S29" s="27" t="str">
        <f t="shared" si="5"/>
        <v/>
      </c>
      <c r="T29" s="27" t="str">
        <f t="shared" si="6"/>
        <v/>
      </c>
      <c r="U29" s="27" t="str">
        <f t="shared" si="7"/>
        <v/>
      </c>
      <c r="V29" s="27" t="str">
        <f t="shared" si="8"/>
        <v/>
      </c>
      <c r="W29" s="27" t="str">
        <f t="shared" si="9"/>
        <v/>
      </c>
      <c r="X29" s="27" t="str">
        <f t="shared" si="10"/>
        <v/>
      </c>
      <c r="Y29" s="27" t="str">
        <f t="shared" si="11"/>
        <v/>
      </c>
      <c r="Z29" s="28" t="str">
        <f t="shared" si="12"/>
        <v/>
      </c>
      <c r="AA29" s="28" t="str">
        <f t="shared" si="13"/>
        <v/>
      </c>
      <c r="AB29" s="27" t="str">
        <f t="shared" si="14"/>
        <v/>
      </c>
      <c r="AC29" s="27" t="str">
        <f t="shared" si="15"/>
        <v/>
      </c>
    </row>
    <row r="30" spans="2:29" x14ac:dyDescent="0.2">
      <c r="B30" s="24" t="str">
        <f t="shared" si="0"/>
        <v/>
      </c>
      <c r="C30" s="13"/>
      <c r="D30" s="13"/>
      <c r="E30" s="12"/>
      <c r="F30" s="25"/>
      <c r="G30" s="25"/>
      <c r="H30" s="25"/>
      <c r="I30" s="25"/>
      <c r="J30" s="26"/>
      <c r="K30" s="25"/>
      <c r="L30" s="25"/>
      <c r="M30" s="12"/>
      <c r="N30" s="12"/>
      <c r="O30" s="24" t="str">
        <f t="shared" si="1"/>
        <v/>
      </c>
      <c r="P30" s="27" t="str">
        <f t="shared" si="2"/>
        <v/>
      </c>
      <c r="Q30" s="27" t="str">
        <f t="shared" si="3"/>
        <v/>
      </c>
      <c r="R30" s="27" t="str">
        <f t="shared" si="4"/>
        <v/>
      </c>
      <c r="S30" s="27" t="str">
        <f t="shared" si="5"/>
        <v/>
      </c>
      <c r="T30" s="27" t="str">
        <f t="shared" si="6"/>
        <v/>
      </c>
      <c r="U30" s="27" t="str">
        <f t="shared" si="7"/>
        <v/>
      </c>
      <c r="V30" s="27" t="str">
        <f t="shared" si="8"/>
        <v/>
      </c>
      <c r="W30" s="27" t="str">
        <f t="shared" si="9"/>
        <v/>
      </c>
      <c r="X30" s="27" t="str">
        <f t="shared" si="10"/>
        <v/>
      </c>
      <c r="Y30" s="27" t="str">
        <f t="shared" si="11"/>
        <v/>
      </c>
      <c r="Z30" s="28" t="str">
        <f t="shared" si="12"/>
        <v/>
      </c>
      <c r="AA30" s="28" t="str">
        <f t="shared" si="13"/>
        <v/>
      </c>
      <c r="AB30" s="27" t="str">
        <f t="shared" si="14"/>
        <v/>
      </c>
      <c r="AC30" s="27" t="str">
        <f t="shared" si="15"/>
        <v/>
      </c>
    </row>
    <row r="31" spans="2:29" x14ac:dyDescent="0.2">
      <c r="B31" s="24" t="str">
        <f t="shared" si="0"/>
        <v/>
      </c>
      <c r="C31" s="13"/>
      <c r="D31" s="13"/>
      <c r="E31" s="12"/>
      <c r="F31" s="25"/>
      <c r="G31" s="25"/>
      <c r="H31" s="25"/>
      <c r="I31" s="25"/>
      <c r="J31" s="26"/>
      <c r="K31" s="25"/>
      <c r="L31" s="25"/>
      <c r="M31" s="12"/>
      <c r="N31" s="12"/>
      <c r="O31" s="24" t="str">
        <f t="shared" si="1"/>
        <v/>
      </c>
      <c r="P31" s="27" t="str">
        <f t="shared" si="2"/>
        <v/>
      </c>
      <c r="Q31" s="27" t="str">
        <f t="shared" si="3"/>
        <v/>
      </c>
      <c r="R31" s="27" t="str">
        <f t="shared" si="4"/>
        <v/>
      </c>
      <c r="S31" s="27" t="str">
        <f t="shared" si="5"/>
        <v/>
      </c>
      <c r="T31" s="27" t="str">
        <f t="shared" si="6"/>
        <v/>
      </c>
      <c r="U31" s="27" t="str">
        <f t="shared" si="7"/>
        <v/>
      </c>
      <c r="V31" s="27" t="str">
        <f t="shared" si="8"/>
        <v/>
      </c>
      <c r="W31" s="27" t="str">
        <f t="shared" si="9"/>
        <v/>
      </c>
      <c r="X31" s="27" t="str">
        <f t="shared" si="10"/>
        <v/>
      </c>
      <c r="Y31" s="27" t="str">
        <f t="shared" si="11"/>
        <v/>
      </c>
      <c r="Z31" s="28" t="str">
        <f t="shared" si="12"/>
        <v/>
      </c>
      <c r="AA31" s="28" t="str">
        <f t="shared" si="13"/>
        <v/>
      </c>
      <c r="AB31" s="27" t="str">
        <f t="shared" si="14"/>
        <v/>
      </c>
      <c r="AC31" s="27" t="str">
        <f t="shared" si="15"/>
        <v/>
      </c>
    </row>
    <row r="32" spans="2:29" x14ac:dyDescent="0.2">
      <c r="B32" s="24" t="str">
        <f t="shared" si="0"/>
        <v/>
      </c>
      <c r="C32" s="13"/>
      <c r="D32" s="13"/>
      <c r="E32" s="12"/>
      <c r="F32" s="25"/>
      <c r="G32" s="25"/>
      <c r="H32" s="25"/>
      <c r="I32" s="25"/>
      <c r="J32" s="26"/>
      <c r="K32" s="25"/>
      <c r="L32" s="25"/>
      <c r="M32" s="12"/>
      <c r="N32" s="12"/>
      <c r="O32" s="24" t="str">
        <f t="shared" si="1"/>
        <v/>
      </c>
      <c r="P32" s="27" t="str">
        <f t="shared" si="2"/>
        <v/>
      </c>
      <c r="Q32" s="27" t="str">
        <f t="shared" si="3"/>
        <v/>
      </c>
      <c r="R32" s="27" t="str">
        <f t="shared" si="4"/>
        <v/>
      </c>
      <c r="S32" s="27" t="str">
        <f t="shared" si="5"/>
        <v/>
      </c>
      <c r="T32" s="27" t="str">
        <f t="shared" si="6"/>
        <v/>
      </c>
      <c r="U32" s="27" t="str">
        <f t="shared" si="7"/>
        <v/>
      </c>
      <c r="V32" s="27" t="str">
        <f t="shared" si="8"/>
        <v/>
      </c>
      <c r="W32" s="27" t="str">
        <f t="shared" si="9"/>
        <v/>
      </c>
      <c r="X32" s="27" t="str">
        <f t="shared" si="10"/>
        <v/>
      </c>
      <c r="Y32" s="27" t="str">
        <f t="shared" si="11"/>
        <v/>
      </c>
      <c r="Z32" s="28" t="str">
        <f t="shared" si="12"/>
        <v/>
      </c>
      <c r="AA32" s="28" t="str">
        <f t="shared" si="13"/>
        <v/>
      </c>
      <c r="AB32" s="27" t="str">
        <f t="shared" si="14"/>
        <v/>
      </c>
      <c r="AC32" s="27" t="str">
        <f t="shared" si="15"/>
        <v/>
      </c>
    </row>
    <row r="33" spans="2:29" x14ac:dyDescent="0.2">
      <c r="B33" s="24" t="str">
        <f t="shared" si="0"/>
        <v/>
      </c>
      <c r="C33" s="13"/>
      <c r="D33" s="13"/>
      <c r="E33" s="12"/>
      <c r="F33" s="25"/>
      <c r="G33" s="25"/>
      <c r="H33" s="25"/>
      <c r="I33" s="25"/>
      <c r="J33" s="26"/>
      <c r="K33" s="25"/>
      <c r="L33" s="25"/>
      <c r="M33" s="12"/>
      <c r="N33" s="12"/>
      <c r="O33" s="24" t="str">
        <f t="shared" si="1"/>
        <v/>
      </c>
      <c r="P33" s="27" t="str">
        <f t="shared" si="2"/>
        <v/>
      </c>
      <c r="Q33" s="27" t="str">
        <f t="shared" si="3"/>
        <v/>
      </c>
      <c r="R33" s="27" t="str">
        <f t="shared" si="4"/>
        <v/>
      </c>
      <c r="S33" s="27" t="str">
        <f t="shared" si="5"/>
        <v/>
      </c>
      <c r="T33" s="27" t="str">
        <f t="shared" si="6"/>
        <v/>
      </c>
      <c r="U33" s="27" t="str">
        <f t="shared" si="7"/>
        <v/>
      </c>
      <c r="V33" s="27" t="str">
        <f t="shared" si="8"/>
        <v/>
      </c>
      <c r="W33" s="27" t="str">
        <f t="shared" si="9"/>
        <v/>
      </c>
      <c r="X33" s="27" t="str">
        <f t="shared" si="10"/>
        <v/>
      </c>
      <c r="Y33" s="27" t="str">
        <f t="shared" si="11"/>
        <v/>
      </c>
      <c r="Z33" s="28" t="str">
        <f t="shared" si="12"/>
        <v/>
      </c>
      <c r="AA33" s="28" t="str">
        <f t="shared" si="13"/>
        <v/>
      </c>
      <c r="AB33" s="27" t="str">
        <f t="shared" si="14"/>
        <v/>
      </c>
      <c r="AC33" s="27" t="str">
        <f t="shared" si="15"/>
        <v/>
      </c>
    </row>
    <row r="34" spans="2:29" x14ac:dyDescent="0.2">
      <c r="B34" s="24" t="str">
        <f t="shared" si="0"/>
        <v/>
      </c>
      <c r="C34" s="13"/>
      <c r="D34" s="13"/>
      <c r="E34" s="12"/>
      <c r="F34" s="25"/>
      <c r="G34" s="25"/>
      <c r="H34" s="25"/>
      <c r="I34" s="25"/>
      <c r="J34" s="26"/>
      <c r="K34" s="25"/>
      <c r="L34" s="25"/>
      <c r="M34" s="12"/>
      <c r="N34" s="12"/>
      <c r="O34" s="24" t="str">
        <f t="shared" si="1"/>
        <v/>
      </c>
      <c r="P34" s="27" t="str">
        <f t="shared" si="2"/>
        <v/>
      </c>
      <c r="Q34" s="27" t="str">
        <f t="shared" si="3"/>
        <v/>
      </c>
      <c r="R34" s="27" t="str">
        <f t="shared" si="4"/>
        <v/>
      </c>
      <c r="S34" s="27" t="str">
        <f t="shared" si="5"/>
        <v/>
      </c>
      <c r="T34" s="27" t="str">
        <f t="shared" si="6"/>
        <v/>
      </c>
      <c r="U34" s="27" t="str">
        <f t="shared" si="7"/>
        <v/>
      </c>
      <c r="V34" s="27" t="str">
        <f t="shared" si="8"/>
        <v/>
      </c>
      <c r="W34" s="27" t="str">
        <f t="shared" si="9"/>
        <v/>
      </c>
      <c r="X34" s="27" t="str">
        <f t="shared" si="10"/>
        <v/>
      </c>
      <c r="Y34" s="27" t="str">
        <f t="shared" si="11"/>
        <v/>
      </c>
      <c r="Z34" s="28" t="str">
        <f t="shared" si="12"/>
        <v/>
      </c>
      <c r="AA34" s="28" t="str">
        <f t="shared" si="13"/>
        <v/>
      </c>
      <c r="AB34" s="27" t="str">
        <f t="shared" si="14"/>
        <v/>
      </c>
      <c r="AC34" s="27" t="str">
        <f t="shared" si="15"/>
        <v/>
      </c>
    </row>
    <row r="35" spans="2:29" x14ac:dyDescent="0.2">
      <c r="B35" s="24" t="str">
        <f t="shared" si="0"/>
        <v/>
      </c>
      <c r="C35" s="13"/>
      <c r="D35" s="13"/>
      <c r="E35" s="12"/>
      <c r="F35" s="25"/>
      <c r="G35" s="25"/>
      <c r="H35" s="25"/>
      <c r="I35" s="25"/>
      <c r="J35" s="26"/>
      <c r="K35" s="25"/>
      <c r="L35" s="25"/>
      <c r="M35" s="12"/>
      <c r="N35" s="12"/>
      <c r="O35" s="24" t="str">
        <f t="shared" si="1"/>
        <v/>
      </c>
      <c r="P35" s="27" t="str">
        <f t="shared" si="2"/>
        <v/>
      </c>
      <c r="Q35" s="27" t="str">
        <f t="shared" si="3"/>
        <v/>
      </c>
      <c r="R35" s="27" t="str">
        <f t="shared" si="4"/>
        <v/>
      </c>
      <c r="S35" s="27" t="str">
        <f t="shared" si="5"/>
        <v/>
      </c>
      <c r="T35" s="27" t="str">
        <f t="shared" si="6"/>
        <v/>
      </c>
      <c r="U35" s="27" t="str">
        <f t="shared" si="7"/>
        <v/>
      </c>
      <c r="V35" s="27" t="str">
        <f t="shared" si="8"/>
        <v/>
      </c>
      <c r="W35" s="27" t="str">
        <f t="shared" si="9"/>
        <v/>
      </c>
      <c r="X35" s="27" t="str">
        <f t="shared" si="10"/>
        <v/>
      </c>
      <c r="Y35" s="27" t="str">
        <f t="shared" si="11"/>
        <v/>
      </c>
      <c r="Z35" s="28" t="str">
        <f t="shared" si="12"/>
        <v/>
      </c>
      <c r="AA35" s="28" t="str">
        <f t="shared" si="13"/>
        <v/>
      </c>
      <c r="AB35" s="27" t="str">
        <f t="shared" si="14"/>
        <v/>
      </c>
      <c r="AC35" s="27" t="str">
        <f t="shared" si="15"/>
        <v/>
      </c>
    </row>
    <row r="36" spans="2:29" x14ac:dyDescent="0.2">
      <c r="B36" s="24" t="str">
        <f t="shared" si="0"/>
        <v/>
      </c>
      <c r="C36" s="13"/>
      <c r="D36" s="13"/>
      <c r="E36" s="12"/>
      <c r="F36" s="25"/>
      <c r="G36" s="25"/>
      <c r="H36" s="25"/>
      <c r="I36" s="25"/>
      <c r="J36" s="26"/>
      <c r="K36" s="25"/>
      <c r="L36" s="25"/>
      <c r="M36" s="12"/>
      <c r="N36" s="12"/>
      <c r="O36" s="24" t="str">
        <f t="shared" si="1"/>
        <v/>
      </c>
      <c r="P36" s="27" t="str">
        <f t="shared" si="2"/>
        <v/>
      </c>
      <c r="Q36" s="27" t="str">
        <f t="shared" si="3"/>
        <v/>
      </c>
      <c r="R36" s="27" t="str">
        <f t="shared" si="4"/>
        <v/>
      </c>
      <c r="S36" s="27" t="str">
        <f t="shared" si="5"/>
        <v/>
      </c>
      <c r="T36" s="27" t="str">
        <f t="shared" si="6"/>
        <v/>
      </c>
      <c r="U36" s="27" t="str">
        <f t="shared" si="7"/>
        <v/>
      </c>
      <c r="V36" s="27" t="str">
        <f t="shared" si="8"/>
        <v/>
      </c>
      <c r="W36" s="27" t="str">
        <f t="shared" si="9"/>
        <v/>
      </c>
      <c r="X36" s="27" t="str">
        <f t="shared" si="10"/>
        <v/>
      </c>
      <c r="Y36" s="27" t="str">
        <f t="shared" si="11"/>
        <v/>
      </c>
      <c r="Z36" s="28" t="str">
        <f t="shared" si="12"/>
        <v/>
      </c>
      <c r="AA36" s="28" t="str">
        <f t="shared" si="13"/>
        <v/>
      </c>
      <c r="AB36" s="27" t="str">
        <f t="shared" si="14"/>
        <v/>
      </c>
      <c r="AC36" s="27" t="str">
        <f t="shared" si="15"/>
        <v/>
      </c>
    </row>
    <row r="37" spans="2:29" x14ac:dyDescent="0.2">
      <c r="B37" s="24" t="str">
        <f t="shared" si="0"/>
        <v/>
      </c>
      <c r="C37" s="13"/>
      <c r="D37" s="13"/>
      <c r="E37" s="12"/>
      <c r="F37" s="25"/>
      <c r="G37" s="25"/>
      <c r="H37" s="25"/>
      <c r="I37" s="25"/>
      <c r="J37" s="26"/>
      <c r="K37" s="25"/>
      <c r="L37" s="25"/>
      <c r="M37" s="12"/>
      <c r="N37" s="12"/>
      <c r="O37" s="24" t="str">
        <f t="shared" si="1"/>
        <v/>
      </c>
      <c r="P37" s="27" t="str">
        <f t="shared" si="2"/>
        <v/>
      </c>
      <c r="Q37" s="27" t="str">
        <f t="shared" si="3"/>
        <v/>
      </c>
      <c r="R37" s="27" t="str">
        <f t="shared" si="4"/>
        <v/>
      </c>
      <c r="S37" s="27" t="str">
        <f t="shared" si="5"/>
        <v/>
      </c>
      <c r="T37" s="27" t="str">
        <f t="shared" si="6"/>
        <v/>
      </c>
      <c r="U37" s="27" t="str">
        <f t="shared" si="7"/>
        <v/>
      </c>
      <c r="V37" s="27" t="str">
        <f t="shared" si="8"/>
        <v/>
      </c>
      <c r="W37" s="27" t="str">
        <f t="shared" si="9"/>
        <v/>
      </c>
      <c r="X37" s="27" t="str">
        <f t="shared" si="10"/>
        <v/>
      </c>
      <c r="Y37" s="27" t="str">
        <f t="shared" si="11"/>
        <v/>
      </c>
      <c r="Z37" s="28" t="str">
        <f t="shared" si="12"/>
        <v/>
      </c>
      <c r="AA37" s="28" t="str">
        <f t="shared" si="13"/>
        <v/>
      </c>
      <c r="AB37" s="27" t="str">
        <f t="shared" si="14"/>
        <v/>
      </c>
      <c r="AC37" s="27" t="str">
        <f t="shared" si="15"/>
        <v/>
      </c>
    </row>
    <row r="38" spans="2:29" x14ac:dyDescent="0.2">
      <c r="B38" s="29"/>
      <c r="C38" s="29" t="s">
        <v>78</v>
      </c>
      <c r="D38" s="29"/>
      <c r="E38" s="30">
        <f t="shared" ref="E38:J38" si="16">SUM(E$8:E$37)</f>
        <v>30225</v>
      </c>
      <c r="F38" s="29">
        <f t="shared" si="16"/>
        <v>126</v>
      </c>
      <c r="G38" s="29">
        <f t="shared" si="16"/>
        <v>0</v>
      </c>
      <c r="H38" s="29">
        <f t="shared" si="16"/>
        <v>0</v>
      </c>
      <c r="I38" s="29">
        <f t="shared" si="16"/>
        <v>10</v>
      </c>
      <c r="J38" s="30">
        <f t="shared" si="16"/>
        <v>600</v>
      </c>
      <c r="K38" s="29"/>
      <c r="L38" s="29"/>
      <c r="M38" s="30">
        <f>SUM(M$8:M$37)</f>
        <v>5500</v>
      </c>
      <c r="N38" s="30">
        <f>SUM(N$8:N$37)</f>
        <v>350</v>
      </c>
      <c r="O38" s="29"/>
      <c r="P38" s="30">
        <f t="shared" ref="P38:AC38" si="17">SUM(P$8:P$37)</f>
        <v>30225</v>
      </c>
      <c r="Q38" s="30">
        <f t="shared" si="17"/>
        <v>475</v>
      </c>
      <c r="R38" s="30">
        <f t="shared" si="17"/>
        <v>31300</v>
      </c>
      <c r="S38" s="30">
        <f t="shared" si="17"/>
        <v>200</v>
      </c>
      <c r="T38" s="30">
        <f t="shared" si="17"/>
        <v>31100</v>
      </c>
      <c r="U38" s="30">
        <f t="shared" si="17"/>
        <v>7775</v>
      </c>
      <c r="V38" s="30">
        <f t="shared" si="17"/>
        <v>3111</v>
      </c>
      <c r="W38" s="30">
        <f t="shared" si="17"/>
        <v>4216</v>
      </c>
      <c r="X38" s="30">
        <f t="shared" si="17"/>
        <v>15998</v>
      </c>
      <c r="Y38" s="30">
        <f t="shared" si="17"/>
        <v>1601</v>
      </c>
      <c r="Z38" s="30">
        <f t="shared" si="17"/>
        <v>18813</v>
      </c>
      <c r="AA38" s="30">
        <f t="shared" si="17"/>
        <v>12963</v>
      </c>
      <c r="AB38" s="30">
        <f t="shared" si="17"/>
        <v>700</v>
      </c>
      <c r="AC38" s="30">
        <f t="shared" si="17"/>
        <v>32000</v>
      </c>
    </row>
    <row r="41" spans="2:29" x14ac:dyDescent="0.2">
      <c r="B41" s="3"/>
      <c r="C41" s="3" t="s">
        <v>79</v>
      </c>
      <c r="D41" s="3"/>
      <c r="E41" s="3"/>
      <c r="F41" s="3"/>
      <c r="G41" s="3"/>
      <c r="H41" s="3"/>
      <c r="I41" s="3"/>
      <c r="J41" s="3"/>
      <c r="K41" s="3"/>
      <c r="L41" s="3" t="s">
        <v>80</v>
      </c>
      <c r="M41" s="3"/>
      <c r="N41" s="3"/>
      <c r="O41" s="3"/>
      <c r="P41" s="3"/>
      <c r="Q41" s="3"/>
      <c r="R41" s="3"/>
      <c r="S41" s="3"/>
      <c r="T41" s="3"/>
      <c r="U41" s="3"/>
      <c r="V41" s="3" t="s">
        <v>81</v>
      </c>
      <c r="W41" s="3"/>
      <c r="X41" s="3"/>
      <c r="Y41" s="3"/>
      <c r="Z41" s="3"/>
      <c r="AA41" s="3"/>
      <c r="AB41" s="3"/>
      <c r="AC41" s="3"/>
    </row>
  </sheetData>
  <dataValidations count="3">
    <dataValidation type="list" allowBlank="1" showInputMessage="1" showErrorMessage="1" sqref="C4" xr:uid="{952DB4F7-7B44-4B7B-9DB8-BFC779359B09}">
      <formula1>ListaLuniSP</formula1>
    </dataValidation>
    <dataValidation type="whole" allowBlank="1" showInputMessage="1" showErrorMessage="1" sqref="K8:K37" xr:uid="{005FFC6C-AACE-41A1-AEE8-FA4D68ECA3C2}">
      <formula1>0</formula1>
      <formula2>4</formula2>
    </dataValidation>
    <dataValidation type="list" allowBlank="1" showInputMessage="1" showErrorMessage="1" sqref="L8:L37" xr:uid="{CA280FCB-52D0-41D8-8171-300BF1C59EA3}">
      <formula1>DaNu</formula1>
    </dataValidation>
  </dataValidations>
  <pageMargins left="0.7" right="0.7" top="0.75" bottom="0.75" header="0.3" footer="0.3"/>
  <pageSetup scale="45" orientation="landscape" r:id="rId1"/>
  <headerFooter>
    <oddFooter>&amp;Cmodelexcel.ro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8DE92-9E30-4BB3-A9DE-5116245FBED1}">
  <dimension ref="B1:E21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38.7109375" style="1" customWidth="1"/>
    <col min="3" max="5" width="16.7109375" style="1" customWidth="1"/>
    <col min="6" max="16384" width="11.42578125" style="1"/>
  </cols>
  <sheetData>
    <row r="1" spans="2:5" ht="21" x14ac:dyDescent="0.35">
      <c r="B1" s="2" t="s">
        <v>88</v>
      </c>
    </row>
    <row r="2" spans="2:5" x14ac:dyDescent="0.2">
      <c r="B2" s="3" t="str">
        <f>"Luna: "&amp;'Stat de plată'!$C$4&amp;" "&amp;'Stat de plată'!$D$4</f>
        <v>Luna: Septembrie 2026</v>
      </c>
    </row>
    <row r="4" spans="2:5" x14ac:dyDescent="0.2">
      <c r="B4" s="10" t="s">
        <v>92</v>
      </c>
      <c r="C4" s="10" t="s">
        <v>89</v>
      </c>
      <c r="D4" s="10" t="s">
        <v>90</v>
      </c>
      <c r="E4" s="10" t="s">
        <v>91</v>
      </c>
    </row>
    <row r="5" spans="2:5" x14ac:dyDescent="0.2">
      <c r="B5" s="34" t="s">
        <v>93</v>
      </c>
      <c r="C5" s="35">
        <f>COUNTA('Stat de plată'!$C$8:$C$37)</f>
        <v>6</v>
      </c>
      <c r="D5" s="35">
        <f>COUNTA('Luna anterioară'!$C$8:$C$37)</f>
        <v>6</v>
      </c>
      <c r="E5" s="35">
        <f t="shared" ref="E5:E15" si="0">C5-D5</f>
        <v>0</v>
      </c>
    </row>
    <row r="6" spans="2:5" x14ac:dyDescent="0.2">
      <c r="B6" s="34" t="s">
        <v>94</v>
      </c>
      <c r="C6" s="35">
        <f>'Stat de plată'!$R$38</f>
        <v>31622</v>
      </c>
      <c r="D6" s="35">
        <f>'Luna anterioară'!$R$38</f>
        <v>31300</v>
      </c>
      <c r="E6" s="35">
        <f t="shared" si="0"/>
        <v>322</v>
      </c>
    </row>
    <row r="7" spans="2:5" x14ac:dyDescent="0.2">
      <c r="B7" s="34" t="s">
        <v>95</v>
      </c>
      <c r="C7" s="35">
        <f>'Stat de plată'!$U$38</f>
        <v>7857</v>
      </c>
      <c r="D7" s="35">
        <f>'Luna anterioară'!$U$38</f>
        <v>7775</v>
      </c>
      <c r="E7" s="35">
        <f t="shared" si="0"/>
        <v>82</v>
      </c>
    </row>
    <row r="8" spans="2:5" x14ac:dyDescent="0.2">
      <c r="B8" s="34" t="s">
        <v>96</v>
      </c>
      <c r="C8" s="35">
        <f>'Stat de plată'!$V$38</f>
        <v>3142</v>
      </c>
      <c r="D8" s="35">
        <f>'Luna anterioară'!$V$38</f>
        <v>3111</v>
      </c>
      <c r="E8" s="35">
        <f t="shared" si="0"/>
        <v>31</v>
      </c>
    </row>
    <row r="9" spans="2:5" x14ac:dyDescent="0.2">
      <c r="B9" s="34" t="s">
        <v>97</v>
      </c>
      <c r="C9" s="35">
        <f>'Stat de plată'!$Y$38</f>
        <v>1637</v>
      </c>
      <c r="D9" s="35">
        <f>'Luna anterioară'!$Y$38</f>
        <v>1601</v>
      </c>
      <c r="E9" s="35">
        <f t="shared" si="0"/>
        <v>36</v>
      </c>
    </row>
    <row r="10" spans="2:5" x14ac:dyDescent="0.2">
      <c r="B10" s="34" t="s">
        <v>98</v>
      </c>
      <c r="C10" s="35">
        <f>'Stat de plată'!$AB$38</f>
        <v>707</v>
      </c>
      <c r="D10" s="35">
        <f>'Luna anterioară'!$AB$38</f>
        <v>700</v>
      </c>
      <c r="E10" s="35">
        <f t="shared" si="0"/>
        <v>7</v>
      </c>
    </row>
    <row r="11" spans="2:5" x14ac:dyDescent="0.2">
      <c r="B11" s="34" t="s">
        <v>99</v>
      </c>
      <c r="C11" s="35">
        <f>'Stat de plată'!$Z$38</f>
        <v>18986</v>
      </c>
      <c r="D11" s="35">
        <f>'Luna anterioară'!$Z$38</f>
        <v>18813</v>
      </c>
      <c r="E11" s="35">
        <f t="shared" si="0"/>
        <v>173</v>
      </c>
    </row>
    <row r="12" spans="2:5" x14ac:dyDescent="0.2">
      <c r="B12" s="34" t="s">
        <v>100</v>
      </c>
      <c r="C12" s="35">
        <f>'Stat de plată'!$M$38</f>
        <v>5500</v>
      </c>
      <c r="D12" s="35">
        <f>'Luna anterioară'!$M$38</f>
        <v>5500</v>
      </c>
      <c r="E12" s="35">
        <f t="shared" si="0"/>
        <v>0</v>
      </c>
    </row>
    <row r="13" spans="2:5" x14ac:dyDescent="0.2">
      <c r="B13" s="34" t="s">
        <v>52</v>
      </c>
      <c r="C13" s="35">
        <f>'Stat de plată'!$N$38</f>
        <v>350</v>
      </c>
      <c r="D13" s="35">
        <f>'Luna anterioară'!$N$38</f>
        <v>350</v>
      </c>
      <c r="E13" s="35">
        <f t="shared" si="0"/>
        <v>0</v>
      </c>
    </row>
    <row r="14" spans="2:5" x14ac:dyDescent="0.2">
      <c r="B14" s="4" t="s">
        <v>101</v>
      </c>
      <c r="C14" s="36">
        <f>'Stat de plată'!$AA$38</f>
        <v>13136</v>
      </c>
      <c r="D14" s="36">
        <f>'Luna anterioară'!$AA$38</f>
        <v>12963</v>
      </c>
      <c r="E14" s="36">
        <f t="shared" si="0"/>
        <v>173</v>
      </c>
    </row>
    <row r="15" spans="2:5" x14ac:dyDescent="0.2">
      <c r="B15" s="34" t="s">
        <v>102</v>
      </c>
      <c r="C15" s="35">
        <f>'Stat de plată'!$AC$38</f>
        <v>32329</v>
      </c>
      <c r="D15" s="35">
        <f>'Luna anterioară'!$AC$38</f>
        <v>32000</v>
      </c>
      <c r="E15" s="35">
        <f t="shared" si="0"/>
        <v>329</v>
      </c>
    </row>
    <row r="17" spans="2:3" ht="15.75" x14ac:dyDescent="0.25">
      <c r="B17" s="37" t="s">
        <v>103</v>
      </c>
    </row>
    <row r="18" spans="2:3" x14ac:dyDescent="0.2">
      <c r="B18" s="34" t="s">
        <v>104</v>
      </c>
      <c r="C18" s="38">
        <f>C7+C8+C9+C10</f>
        <v>13343</v>
      </c>
    </row>
    <row r="19" spans="2:3" x14ac:dyDescent="0.2">
      <c r="B19" s="34" t="s">
        <v>105</v>
      </c>
      <c r="C19" s="39" t="str">
        <f>"25."&amp;TEXT(MONTH(EDATE('Stat de plată'!$AL$4,1)),"00")&amp;"."&amp;YEAR(EDATE('Stat de plată'!$AL$4,1))</f>
        <v>25.10.2026</v>
      </c>
    </row>
    <row r="21" spans="2:3" x14ac:dyDescent="0.2">
      <c r="B21" s="14" t="s">
        <v>106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5CF50-5859-42F6-B1A7-DF0665C959EF}">
  <dimension ref="B1:I65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40.7109375" style="1" customWidth="1"/>
    <col min="3" max="3" width="22.7109375" style="1" customWidth="1"/>
    <col min="4" max="5" width="15.7109375" style="1" customWidth="1"/>
    <col min="6" max="6" width="3.7109375" style="1" customWidth="1"/>
    <col min="7" max="7" width="14.7109375" style="1" customWidth="1"/>
    <col min="8" max="16384" width="11.42578125" style="1"/>
  </cols>
  <sheetData>
    <row r="1" spans="2:9" ht="21" x14ac:dyDescent="0.35">
      <c r="B1" s="2" t="s">
        <v>0</v>
      </c>
    </row>
    <row r="2" spans="2:9" x14ac:dyDescent="0.2">
      <c r="G2" s="10" t="s">
        <v>18</v>
      </c>
      <c r="I2" s="15" t="s">
        <v>20</v>
      </c>
    </row>
    <row r="3" spans="2:9" x14ac:dyDescent="0.2">
      <c r="B3" s="4" t="s">
        <v>1</v>
      </c>
      <c r="C3" s="5" t="s">
        <v>2</v>
      </c>
      <c r="G3" s="11">
        <f>DATE(2026,1,1)</f>
        <v>46023</v>
      </c>
      <c r="I3" s="15" t="s">
        <v>21</v>
      </c>
    </row>
    <row r="4" spans="2:9" x14ac:dyDescent="0.2">
      <c r="B4" s="4" t="s">
        <v>3</v>
      </c>
      <c r="C4" s="5" t="s">
        <v>4</v>
      </c>
      <c r="G4" s="11">
        <f>DATE(2026,1,2)</f>
        <v>46024</v>
      </c>
      <c r="I4" s="15" t="s">
        <v>22</v>
      </c>
    </row>
    <row r="5" spans="2:9" x14ac:dyDescent="0.2">
      <c r="B5" s="4" t="s">
        <v>5</v>
      </c>
      <c r="C5" s="6">
        <v>0.25</v>
      </c>
      <c r="G5" s="11">
        <f>DATE(2026,1,6)</f>
        <v>46028</v>
      </c>
    </row>
    <row r="6" spans="2:9" x14ac:dyDescent="0.2">
      <c r="B6" s="4" t="s">
        <v>6</v>
      </c>
      <c r="C6" s="6">
        <v>0.1</v>
      </c>
      <c r="G6" s="11">
        <f>DATE(2026,1,7)</f>
        <v>46029</v>
      </c>
    </row>
    <row r="7" spans="2:9" x14ac:dyDescent="0.2">
      <c r="B7" s="4" t="s">
        <v>7</v>
      </c>
      <c r="C7" s="6">
        <v>0.1</v>
      </c>
      <c r="G7" s="11">
        <f>DATE(2026,1,24)</f>
        <v>46046</v>
      </c>
    </row>
    <row r="8" spans="2:9" x14ac:dyDescent="0.2">
      <c r="B8" s="4" t="s">
        <v>8</v>
      </c>
      <c r="C8" s="6">
        <v>2.2499999999999999E-2</v>
      </c>
      <c r="G8" s="11">
        <f>DATE(2026,4,10)</f>
        <v>46122</v>
      </c>
    </row>
    <row r="9" spans="2:9" x14ac:dyDescent="0.2">
      <c r="B9" s="4" t="s">
        <v>9</v>
      </c>
      <c r="C9" s="6">
        <v>0.75</v>
      </c>
      <c r="G9" s="11">
        <f>DATE(2026,4,12)</f>
        <v>46124</v>
      </c>
    </row>
    <row r="10" spans="2:9" x14ac:dyDescent="0.2">
      <c r="B10" s="4" t="s">
        <v>10</v>
      </c>
      <c r="C10" s="7">
        <v>8</v>
      </c>
      <c r="G10" s="11">
        <f>DATE(2026,4,13)</f>
        <v>46125</v>
      </c>
    </row>
    <row r="11" spans="2:9" x14ac:dyDescent="0.2">
      <c r="B11" s="4" t="s">
        <v>11</v>
      </c>
      <c r="C11" s="8">
        <v>0.1</v>
      </c>
      <c r="G11" s="11">
        <f>DATE(2026,5,1)</f>
        <v>46143</v>
      </c>
    </row>
    <row r="12" spans="2:9" x14ac:dyDescent="0.2">
      <c r="G12" s="11">
        <f>DATE(2026,5,31)</f>
        <v>46173</v>
      </c>
    </row>
    <row r="13" spans="2:9" x14ac:dyDescent="0.2">
      <c r="B13" s="9" t="s">
        <v>12</v>
      </c>
      <c r="G13" s="11">
        <f>DATE(2026,6,1)</f>
        <v>46174</v>
      </c>
    </row>
    <row r="14" spans="2:9" x14ac:dyDescent="0.2">
      <c r="B14" s="10" t="s">
        <v>13</v>
      </c>
      <c r="C14" s="10" t="s">
        <v>14</v>
      </c>
      <c r="D14" s="10" t="s">
        <v>15</v>
      </c>
      <c r="E14" s="10" t="s">
        <v>16</v>
      </c>
      <c r="G14" s="11">
        <f>DATE(2026,8,15)</f>
        <v>46249</v>
      </c>
    </row>
    <row r="15" spans="2:9" x14ac:dyDescent="0.2">
      <c r="B15" s="11">
        <f>DATE(2026,1,1)</f>
        <v>46023</v>
      </c>
      <c r="C15" s="12">
        <v>4050</v>
      </c>
      <c r="D15" s="12">
        <v>300</v>
      </c>
      <c r="E15" s="12">
        <v>4300</v>
      </c>
      <c r="G15" s="11">
        <f>DATE(2026,11,30)</f>
        <v>46356</v>
      </c>
    </row>
    <row r="16" spans="2:9" x14ac:dyDescent="0.2">
      <c r="B16" s="11">
        <f>DATE(2026,7,1)</f>
        <v>46204</v>
      </c>
      <c r="C16" s="12">
        <v>4325</v>
      </c>
      <c r="D16" s="12">
        <v>200</v>
      </c>
      <c r="E16" s="12">
        <v>4600</v>
      </c>
      <c r="G16" s="11">
        <f>DATE(2026,12,1)</f>
        <v>46357</v>
      </c>
    </row>
    <row r="17" spans="2:7" x14ac:dyDescent="0.2">
      <c r="B17" s="13"/>
      <c r="C17" s="12"/>
      <c r="D17" s="12"/>
      <c r="E17" s="12"/>
      <c r="G17" s="11">
        <f>DATE(2026,12,25)</f>
        <v>46381</v>
      </c>
    </row>
    <row r="18" spans="2:7" x14ac:dyDescent="0.2">
      <c r="B18" s="13"/>
      <c r="C18" s="12"/>
      <c r="D18" s="12"/>
      <c r="E18" s="12"/>
      <c r="G18" s="11">
        <f>DATE(2026,12,26)</f>
        <v>46382</v>
      </c>
    </row>
    <row r="19" spans="2:7" x14ac:dyDescent="0.2">
      <c r="B19" s="13"/>
      <c r="C19" s="12"/>
      <c r="D19" s="12"/>
      <c r="E19" s="12"/>
      <c r="G19" s="13"/>
    </row>
    <row r="20" spans="2:7" x14ac:dyDescent="0.2">
      <c r="B20" s="13"/>
      <c r="C20" s="12"/>
      <c r="D20" s="12"/>
      <c r="E20" s="12"/>
      <c r="G20" s="13"/>
    </row>
    <row r="21" spans="2:7" x14ac:dyDescent="0.2">
      <c r="B21" s="13"/>
      <c r="C21" s="12"/>
      <c r="D21" s="12"/>
      <c r="E21" s="12"/>
      <c r="G21" s="13"/>
    </row>
    <row r="22" spans="2:7" x14ac:dyDescent="0.2">
      <c r="B22" s="14" t="s">
        <v>17</v>
      </c>
      <c r="G22" s="13"/>
    </row>
    <row r="23" spans="2:7" x14ac:dyDescent="0.2">
      <c r="G23" s="13"/>
    </row>
    <row r="24" spans="2:7" x14ac:dyDescent="0.2">
      <c r="G24" s="13"/>
    </row>
    <row r="25" spans="2:7" x14ac:dyDescent="0.2">
      <c r="G25" s="13"/>
    </row>
    <row r="26" spans="2:7" x14ac:dyDescent="0.2">
      <c r="G26" s="13"/>
    </row>
    <row r="27" spans="2:7" x14ac:dyDescent="0.2">
      <c r="G27" s="13"/>
    </row>
    <row r="28" spans="2:7" x14ac:dyDescent="0.2">
      <c r="G28" s="13"/>
    </row>
    <row r="29" spans="2:7" x14ac:dyDescent="0.2">
      <c r="G29" s="13"/>
    </row>
    <row r="30" spans="2:7" x14ac:dyDescent="0.2">
      <c r="G30" s="13"/>
    </row>
    <row r="31" spans="2:7" x14ac:dyDescent="0.2">
      <c r="G31" s="13"/>
    </row>
    <row r="32" spans="2:7" x14ac:dyDescent="0.2">
      <c r="G32" s="13"/>
    </row>
    <row r="33" spans="7:7" x14ac:dyDescent="0.2">
      <c r="G33" s="13"/>
    </row>
    <row r="34" spans="7:7" x14ac:dyDescent="0.2">
      <c r="G34" s="13"/>
    </row>
    <row r="35" spans="7:7" x14ac:dyDescent="0.2">
      <c r="G35" s="13"/>
    </row>
    <row r="36" spans="7:7" x14ac:dyDescent="0.2">
      <c r="G36" s="13"/>
    </row>
    <row r="37" spans="7:7" x14ac:dyDescent="0.2">
      <c r="G37" s="13"/>
    </row>
    <row r="38" spans="7:7" x14ac:dyDescent="0.2">
      <c r="G38" s="13"/>
    </row>
    <row r="39" spans="7:7" x14ac:dyDescent="0.2">
      <c r="G39" s="13"/>
    </row>
    <row r="40" spans="7:7" x14ac:dyDescent="0.2">
      <c r="G40" s="13"/>
    </row>
    <row r="41" spans="7:7" x14ac:dyDescent="0.2">
      <c r="G41" s="14" t="s">
        <v>19</v>
      </c>
    </row>
    <row r="50" spans="2:9" x14ac:dyDescent="0.2">
      <c r="I50" s="15" t="s">
        <v>23</v>
      </c>
    </row>
    <row r="51" spans="2:9" x14ac:dyDescent="0.2">
      <c r="I51" s="15" t="s">
        <v>24</v>
      </c>
    </row>
    <row r="52" spans="2:9" x14ac:dyDescent="0.2">
      <c r="I52" s="15" t="s">
        <v>25</v>
      </c>
    </row>
    <row r="53" spans="2:9" x14ac:dyDescent="0.2">
      <c r="I53" s="15" t="s">
        <v>26</v>
      </c>
    </row>
    <row r="54" spans="2:9" x14ac:dyDescent="0.2">
      <c r="I54" s="15" t="s">
        <v>27</v>
      </c>
    </row>
    <row r="55" spans="2:9" x14ac:dyDescent="0.2">
      <c r="I55" s="15" t="s">
        <v>28</v>
      </c>
    </row>
    <row r="56" spans="2:9" x14ac:dyDescent="0.2">
      <c r="I56" s="15" t="s">
        <v>29</v>
      </c>
    </row>
    <row r="57" spans="2:9" x14ac:dyDescent="0.2">
      <c r="I57" s="15" t="s">
        <v>30</v>
      </c>
    </row>
    <row r="58" spans="2:9" x14ac:dyDescent="0.2">
      <c r="I58" s="15" t="s">
        <v>31</v>
      </c>
    </row>
    <row r="59" spans="2:9" x14ac:dyDescent="0.2">
      <c r="I59" s="15" t="s">
        <v>32</v>
      </c>
    </row>
    <row r="60" spans="2:9" x14ac:dyDescent="0.2">
      <c r="I60" s="15" t="s">
        <v>33</v>
      </c>
    </row>
    <row r="61" spans="2:9" x14ac:dyDescent="0.2">
      <c r="I61" s="15" t="s">
        <v>34</v>
      </c>
    </row>
    <row r="63" spans="2:9" x14ac:dyDescent="0.2">
      <c r="B63" s="40" t="s">
        <v>107</v>
      </c>
    </row>
    <row r="64" spans="2:9" x14ac:dyDescent="0.2">
      <c r="B64" s="41" t="s">
        <v>108</v>
      </c>
    </row>
    <row r="65" spans="2:2" x14ac:dyDescent="0.2">
      <c r="B65" s="42" t="s">
        <v>109</v>
      </c>
    </row>
  </sheetData>
  <hyperlinks>
    <hyperlink ref="B65" r:id="rId1" tooltip="Instrucțiuni și alte modele gratuite" xr:uid="{477D1B27-779A-47F3-931D-4E11C38715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18</vt:i4>
      </vt:variant>
    </vt:vector>
  </HeadingPairs>
  <TitlesOfParts>
    <vt:vector size="22" baseType="lpstr">
      <vt:lpstr>Stat de plată</vt:lpstr>
      <vt:lpstr>Luna anterioară</vt:lpstr>
      <vt:lpstr>Centralizator</vt:lpstr>
      <vt:lpstr>Setări</vt:lpstr>
      <vt:lpstr>'Luna anterioară'!Área_de_impresión</vt:lpstr>
      <vt:lpstr>'Stat de plată'!Área_de_impresión</vt:lpstr>
      <vt:lpstr>CIF</vt:lpstr>
      <vt:lpstr>CotaCAM</vt:lpstr>
      <vt:lpstr>CotaCAS</vt:lpstr>
      <vt:lpstr>CotaCASS</vt:lpstr>
      <vt:lpstr>CotaImp</vt:lpstr>
      <vt:lpstr>DaNu</vt:lpstr>
      <vt:lpstr>Firma</vt:lpstr>
      <vt:lpstr>ListaLuniSP</vt:lpstr>
      <vt:lpstr>NormaZi</vt:lpstr>
      <vt:lpstr>PerData</vt:lpstr>
      <vt:lpstr>PerNetax</vt:lpstr>
      <vt:lpstr>PerPlafon</vt:lpstr>
      <vt:lpstr>PerSM</vt:lpstr>
      <vt:lpstr>PragDif</vt:lpstr>
      <vt:lpstr>Sarbatori</vt:lpstr>
      <vt:lpstr>SporSupl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stat de plată Excel 2026</dc:title>
  <dc:subject>Model Excel gratuit în limba română</dc:subject>
  <dc:creator>Ray Moreno · modelexcel.ro</dc:creator>
  <cp:keywords>modelexcel.ro, model Excel, Model stat de plată Excel 2026</cp:keywords>
  <dc:description>© 2026 Ray Moreno – modelexcel.ro. Model gratuit: îl poți folosi și adapta în activitatea ta. Nu este permisă revânzarea lui sau publicarea pe alte site-uri. https://modelexcel.ro/model-stat-de-plata-excel/</dc:description>
  <cp:lastModifiedBy>Ray Moreno · modelexcel.ro</cp:lastModifiedBy>
  <dcterms:created xsi:type="dcterms:W3CDTF">2026-10-11T15:09:26Z</dcterms:created>
  <dcterms:modified xsi:type="dcterms:W3CDTF">2026-10-13T17:30:56Z</dcterms:modified>
  <cp:category>Model Excel</cp:category>
</cp:coreProperties>
</file>